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800" yWindow="-15" windowWidth="11400" windowHeight="8070" tabRatio="894"/>
  </bookViews>
  <sheets>
    <sheet name="Kalend" sheetId="36" r:id="rId1"/>
    <sheet name="Üldreiting" sheetId="44" r:id="rId2"/>
    <sheet name="1" sheetId="69" r:id="rId3"/>
    <sheet name="2" sheetId="73" r:id="rId4"/>
    <sheet name="3Mb" sheetId="62" state="hidden" r:id="rId5"/>
    <sheet name="3M" sheetId="61" r:id="rId6"/>
    <sheet name="3Nb" sheetId="63" state="hidden" r:id="rId7"/>
    <sheet name="3Na (2)" sheetId="74" state="hidden" r:id="rId8"/>
    <sheet name="3N" sheetId="51" r:id="rId9"/>
    <sheet name="3J" sheetId="64" state="hidden" r:id="rId10"/>
    <sheet name="3Ja" sheetId="53" state="hidden" r:id="rId11"/>
    <sheet name="4" sheetId="75" r:id="rId12"/>
    <sheet name="5" sheetId="76" r:id="rId13"/>
    <sheet name="6" sheetId="77" r:id="rId14"/>
    <sheet name="7" sheetId="78" r:id="rId15"/>
    <sheet name="KV-2" sheetId="66" state="hidden" r:id="rId16"/>
    <sheet name="KV-F" sheetId="57" state="hidden" r:id="rId17"/>
    <sheet name="8M" sheetId="67" r:id="rId18"/>
    <sheet name="8N" sheetId="31" r:id="rId19"/>
    <sheet name="9" sheetId="79" r:id="rId20"/>
    <sheet name="10" sheetId="81" r:id="rId21"/>
    <sheet name="11" sheetId="82" r:id="rId22"/>
    <sheet name="12" sheetId="83" r:id="rId23"/>
    <sheet name="Ee-So" sheetId="49" state="hidden" r:id="rId24"/>
    <sheet name="Juhend" sheetId="28" r:id="rId25"/>
    <sheet name="Arvestus" sheetId="27" r:id="rId26"/>
    <sheet name="Punktid" sheetId="30" r:id="rId27"/>
    <sheet name="Litsentsid" sheetId="38" r:id="rId28"/>
    <sheet name="KV juhend" sheetId="52" state="hidden" r:id="rId29"/>
    <sheet name="PEMV" sheetId="71" r:id="rId30"/>
    <sheet name="P-EV" sheetId="72" r:id="rId31"/>
  </sheets>
  <externalReferences>
    <externalReference r:id="rId32"/>
  </externalReferences>
  <definedNames>
    <definedName name="_xlnm._FilterDatabase" localSheetId="0" hidden="1">Kalend!$A$4:$J$26</definedName>
    <definedName name="_xlnm._FilterDatabase" localSheetId="1" hidden="1">Üldreiting!$A$8:$AP$203</definedName>
    <definedName name="a" localSheetId="2">#REF!</definedName>
    <definedName name="a" localSheetId="20">#REF!</definedName>
    <definedName name="a" localSheetId="21">#REF!</definedName>
    <definedName name="a" localSheetId="22">#REF!</definedName>
    <definedName name="a" localSheetId="3">#REF!</definedName>
    <definedName name="a" localSheetId="7">#REF!</definedName>
    <definedName name="a" localSheetId="11">#REF!</definedName>
    <definedName name="a" localSheetId="12">#REF!</definedName>
    <definedName name="a" localSheetId="13">#REF!</definedName>
    <definedName name="a" localSheetId="14">#REF!</definedName>
    <definedName name="a" localSheetId="19">#REF!</definedName>
    <definedName name="a" localSheetId="29">#REF!</definedName>
    <definedName name="a">#REF!</definedName>
    <definedName name="Nimed" localSheetId="2">#REF!</definedName>
    <definedName name="Nimed" localSheetId="20">#REF!</definedName>
    <definedName name="Nimed" localSheetId="21">#REF!</definedName>
    <definedName name="Nimed" localSheetId="22">#REF!</definedName>
    <definedName name="Nimed" localSheetId="3">#REF!</definedName>
    <definedName name="Nimed" localSheetId="9">#REF!</definedName>
    <definedName name="Nimed" localSheetId="10">#REF!</definedName>
    <definedName name="Nimed" localSheetId="5">#REF!</definedName>
    <definedName name="Nimed" localSheetId="4">#REF!</definedName>
    <definedName name="Nimed" localSheetId="8">#REF!</definedName>
    <definedName name="Nimed" localSheetId="7">#REF!</definedName>
    <definedName name="Nimed" localSheetId="6">#REF!</definedName>
    <definedName name="Nimed" localSheetId="11">#REF!</definedName>
    <definedName name="Nimed" localSheetId="12">#REF!</definedName>
    <definedName name="Nimed" localSheetId="13">#REF!</definedName>
    <definedName name="Nimed" localSheetId="14">#REF!</definedName>
    <definedName name="Nimed" localSheetId="19">#REF!</definedName>
    <definedName name="Nimed" localSheetId="15">#REF!</definedName>
    <definedName name="Nimed" localSheetId="16">#REF!</definedName>
    <definedName name="Nimed" localSheetId="29">#REF!</definedName>
    <definedName name="Nimed" localSheetId="30">#REF!</definedName>
    <definedName name="Nimed">#REF!</definedName>
    <definedName name="_xlnm.Print_Area" localSheetId="20">'10'!$A$1:$L$312</definedName>
    <definedName name="_xlnm.Print_Area" localSheetId="25">Arvestus!#REF!</definedName>
    <definedName name="_xlnm.Print_Area" localSheetId="23">'Ee-So'!$A$1:$I$63</definedName>
    <definedName name="_xlnm.Print_Titles" localSheetId="2">'1'!$1:$2</definedName>
    <definedName name="_xlnm.Print_Titles" localSheetId="20">'10'!$1:$2</definedName>
    <definedName name="_xlnm.Print_Titles" localSheetId="21">'11'!$1:$2</definedName>
    <definedName name="_xlnm.Print_Titles" localSheetId="22">'12'!$1:$2</definedName>
    <definedName name="_xlnm.Print_Titles" localSheetId="3">'2'!$1:$2</definedName>
    <definedName name="_xlnm.Print_Titles" localSheetId="9">'3J'!$1:$2</definedName>
    <definedName name="_xlnm.Print_Titles" localSheetId="10">'3Ja'!$1:$2</definedName>
    <definedName name="_xlnm.Print_Titles" localSheetId="5">'3M'!$1:$7</definedName>
    <definedName name="_xlnm.Print_Titles" localSheetId="4">'3Mb'!$1:$2</definedName>
    <definedName name="_xlnm.Print_Titles" localSheetId="8">'3N'!$1:$2</definedName>
    <definedName name="_xlnm.Print_Titles" localSheetId="7">'3Na (2)'!$1:$2</definedName>
    <definedName name="_xlnm.Print_Titles" localSheetId="6">'3Nb'!$1:$2</definedName>
    <definedName name="_xlnm.Print_Titles" localSheetId="11">'4'!$1:$2</definedName>
    <definedName name="_xlnm.Print_Titles" localSheetId="12">'5'!$1:$2</definedName>
    <definedName name="_xlnm.Print_Titles" localSheetId="13">'6'!$1:$2</definedName>
    <definedName name="_xlnm.Print_Titles" localSheetId="14">'7'!$1:$2</definedName>
    <definedName name="_xlnm.Print_Titles" localSheetId="17">'8M'!$1:$2</definedName>
    <definedName name="_xlnm.Print_Titles" localSheetId="18">'8N'!$1:$2</definedName>
    <definedName name="_xlnm.Print_Titles" localSheetId="19">'9'!$1:$2</definedName>
    <definedName name="_xlnm.Print_Titles" localSheetId="23">'Ee-So'!$1:$2</definedName>
    <definedName name="_xlnm.Print_Titles" localSheetId="0">Kalend!$1:$1</definedName>
    <definedName name="_xlnm.Print_Titles" localSheetId="15">'KV-2'!$1:$2</definedName>
    <definedName name="_xlnm.Print_Titles" localSheetId="16">'KV-F'!$1:$2</definedName>
    <definedName name="_xlnm.Print_Titles" localSheetId="1">Üldreiting!$1:$8</definedName>
    <definedName name="sd" localSheetId="2">#REF!</definedName>
    <definedName name="sd" localSheetId="20">#REF!</definedName>
    <definedName name="sd" localSheetId="21">#REF!</definedName>
    <definedName name="sd" localSheetId="22">#REF!</definedName>
    <definedName name="sd" localSheetId="3">#REF!</definedName>
    <definedName name="sd" localSheetId="9">#REF!</definedName>
    <definedName name="sd" localSheetId="5">#REF!</definedName>
    <definedName name="sd" localSheetId="4">#REF!</definedName>
    <definedName name="sd" localSheetId="7">#REF!</definedName>
    <definedName name="sd" localSheetId="6">#REF!</definedName>
    <definedName name="sd" localSheetId="11">#REF!</definedName>
    <definedName name="sd" localSheetId="12">#REF!</definedName>
    <definedName name="sd" localSheetId="13">#REF!</definedName>
    <definedName name="sd" localSheetId="14">#REF!</definedName>
    <definedName name="sd" localSheetId="19">#REF!</definedName>
    <definedName name="sd" localSheetId="15">#REF!</definedName>
    <definedName name="sd" localSheetId="29">#REF!</definedName>
    <definedName name="sd" localSheetId="30">#REF!</definedName>
    <definedName name="sd">#REF!</definedName>
    <definedName name="Voka" localSheetId="2">#REF!</definedName>
    <definedName name="Voka" localSheetId="20">#REF!</definedName>
    <definedName name="Voka" localSheetId="21">#REF!</definedName>
    <definedName name="Voka" localSheetId="22">#REF!</definedName>
    <definedName name="Voka" localSheetId="3">#REF!</definedName>
    <definedName name="Voka" localSheetId="7">#REF!</definedName>
    <definedName name="Voka" localSheetId="11">#REF!</definedName>
    <definedName name="Voka" localSheetId="12">#REF!</definedName>
    <definedName name="Voka" localSheetId="13">#REF!</definedName>
    <definedName name="Voka" localSheetId="14">#REF!</definedName>
    <definedName name="Voka" localSheetId="19">#REF!</definedName>
    <definedName name="Voka" localSheetId="29">#REF!</definedName>
    <definedName name="Voka">#REF!</definedName>
  </definedNames>
  <calcPr calcId="145621"/>
</workbook>
</file>

<file path=xl/calcChain.xml><?xml version="1.0" encoding="utf-8"?>
<calcChain xmlns="http://schemas.openxmlformats.org/spreadsheetml/2006/main">
  <c r="C10" i="36" l="1"/>
  <c r="O10" i="44" l="1"/>
  <c r="O11" i="44"/>
  <c r="O12" i="44"/>
  <c r="O13" i="44"/>
  <c r="O14" i="44"/>
  <c r="O15" i="44"/>
  <c r="O16" i="44"/>
  <c r="O17" i="44"/>
  <c r="O18" i="44"/>
  <c r="O19" i="44"/>
  <c r="O20" i="44"/>
  <c r="O21" i="44"/>
  <c r="O22" i="44"/>
  <c r="O23" i="44"/>
  <c r="O25" i="44"/>
  <c r="O26" i="44"/>
  <c r="O27" i="44"/>
  <c r="O28" i="44"/>
  <c r="O29" i="44"/>
  <c r="O30" i="44"/>
  <c r="O31" i="44"/>
  <c r="O32" i="44"/>
  <c r="O33" i="44"/>
  <c r="O34" i="44"/>
  <c r="O35" i="44"/>
  <c r="O36" i="44"/>
  <c r="O37" i="44"/>
  <c r="O38" i="44"/>
  <c r="O39" i="44"/>
  <c r="O40" i="44"/>
  <c r="O41" i="44"/>
  <c r="O42" i="44"/>
  <c r="O43" i="44"/>
  <c r="O44" i="44"/>
  <c r="O45" i="44"/>
  <c r="O46" i="44"/>
  <c r="O47" i="44"/>
  <c r="O48" i="44"/>
  <c r="O49" i="44"/>
  <c r="O50" i="44"/>
  <c r="O51" i="44"/>
  <c r="O52" i="44"/>
  <c r="O53" i="44"/>
  <c r="O54" i="44"/>
  <c r="O55" i="44"/>
  <c r="O56" i="44"/>
  <c r="O57" i="44"/>
  <c r="O58" i="44"/>
  <c r="O59" i="44"/>
  <c r="O60" i="44"/>
  <c r="O61" i="44"/>
  <c r="O62" i="44"/>
  <c r="O63" i="44"/>
  <c r="O64" i="44"/>
  <c r="O66" i="44"/>
  <c r="O68" i="44"/>
  <c r="O69" i="44"/>
  <c r="O70" i="44"/>
  <c r="O72" i="44"/>
  <c r="O73" i="44"/>
  <c r="O74" i="44"/>
  <c r="O75" i="44"/>
  <c r="O76" i="44"/>
  <c r="O77" i="44"/>
  <c r="O78" i="44"/>
  <c r="O79" i="44"/>
  <c r="O80" i="44"/>
  <c r="O81" i="44"/>
  <c r="O82" i="44"/>
  <c r="O83" i="44"/>
  <c r="O84" i="44"/>
  <c r="O85" i="44"/>
  <c r="O86" i="44"/>
  <c r="O87" i="44"/>
  <c r="O88" i="44"/>
  <c r="O89" i="44"/>
  <c r="O92" i="44"/>
  <c r="O93" i="44"/>
  <c r="O94" i="44"/>
  <c r="O95" i="44"/>
  <c r="O96" i="44"/>
  <c r="O97" i="44"/>
  <c r="O98" i="44"/>
  <c r="O99" i="44"/>
  <c r="O100" i="44"/>
  <c r="O101" i="44"/>
  <c r="O102" i="44"/>
  <c r="O103" i="44"/>
  <c r="O104" i="44"/>
  <c r="O105" i="44"/>
  <c r="O106" i="44"/>
  <c r="O107" i="44"/>
  <c r="O108" i="44"/>
  <c r="O109" i="44"/>
  <c r="O110" i="44"/>
  <c r="O111" i="44"/>
  <c r="O112" i="44"/>
  <c r="O113" i="44"/>
  <c r="O114" i="44"/>
  <c r="O115" i="44"/>
  <c r="O116" i="44"/>
  <c r="O117" i="44"/>
  <c r="O118" i="44"/>
  <c r="O119" i="44"/>
  <c r="O120" i="44"/>
  <c r="O122" i="44"/>
  <c r="O123" i="44"/>
  <c r="O124" i="44"/>
  <c r="O125" i="44"/>
  <c r="O126" i="44"/>
  <c r="O127" i="44"/>
  <c r="O128" i="44"/>
  <c r="O129" i="44"/>
  <c r="O131" i="44"/>
  <c r="O132" i="44"/>
  <c r="O133" i="44"/>
  <c r="O134" i="44"/>
  <c r="O135" i="44"/>
  <c r="O136" i="44"/>
  <c r="O137" i="44"/>
  <c r="O138" i="44"/>
  <c r="O140" i="44"/>
  <c r="O141" i="44"/>
  <c r="O142" i="44"/>
  <c r="O143" i="44"/>
  <c r="O144" i="44"/>
  <c r="O145" i="44"/>
  <c r="O146" i="44"/>
  <c r="O147" i="44"/>
  <c r="O148" i="44"/>
  <c r="O149" i="44"/>
  <c r="O150" i="44"/>
  <c r="O151" i="44"/>
  <c r="O152" i="44"/>
  <c r="O153" i="44"/>
  <c r="O154" i="44"/>
  <c r="O155" i="44"/>
  <c r="O156" i="44"/>
  <c r="O157" i="44"/>
  <c r="O158" i="44"/>
  <c r="O159" i="44"/>
  <c r="O160" i="44"/>
  <c r="O162" i="44"/>
  <c r="O164" i="44"/>
  <c r="O165" i="44"/>
  <c r="O166" i="44"/>
  <c r="O167" i="44"/>
  <c r="O168" i="44"/>
  <c r="O169" i="44"/>
  <c r="O170" i="44"/>
  <c r="O171" i="44"/>
  <c r="O172" i="44"/>
  <c r="O173" i="44"/>
  <c r="O174" i="44"/>
  <c r="O175" i="44"/>
  <c r="O176" i="44"/>
  <c r="O177" i="44"/>
  <c r="O179" i="44"/>
  <c r="O180" i="44"/>
  <c r="O181" i="44"/>
  <c r="O182" i="44"/>
  <c r="O183" i="44"/>
  <c r="O184" i="44"/>
  <c r="O185" i="44"/>
  <c r="O186" i="44"/>
  <c r="O187" i="44"/>
  <c r="O188" i="44"/>
  <c r="O189" i="44"/>
  <c r="O190" i="44"/>
  <c r="O191" i="44"/>
  <c r="O193" i="44"/>
  <c r="O194" i="44"/>
  <c r="O195" i="44"/>
  <c r="O196" i="44"/>
  <c r="O197" i="44"/>
  <c r="O198" i="44"/>
  <c r="O199" i="44"/>
  <c r="O200" i="44"/>
  <c r="O201" i="44"/>
  <c r="O9" i="44"/>
  <c r="U8" i="44" l="1"/>
  <c r="V8" i="44"/>
  <c r="W8" i="44"/>
  <c r="AA8" i="44"/>
  <c r="AB8" i="44"/>
  <c r="AC8" i="44"/>
  <c r="AD8" i="44"/>
  <c r="AE8" i="44"/>
  <c r="AI8" i="44"/>
  <c r="AJ8" i="44"/>
  <c r="AK8" i="44"/>
  <c r="AL8" i="44"/>
  <c r="X8" i="44"/>
  <c r="Y8" i="44"/>
  <c r="AF8" i="44"/>
  <c r="AG8" i="44"/>
  <c r="Z8" i="44"/>
  <c r="AH8" i="44"/>
  <c r="AE11" i="44"/>
  <c r="AE13" i="44"/>
  <c r="AE16" i="44"/>
  <c r="AE19" i="44"/>
  <c r="AE21" i="44"/>
  <c r="AE22" i="44"/>
  <c r="AE28" i="44"/>
  <c r="AE32" i="44"/>
  <c r="AE37" i="44"/>
  <c r="AE38" i="44"/>
  <c r="AE41" i="44"/>
  <c r="AE45" i="44"/>
  <c r="AE46" i="44"/>
  <c r="AE50" i="44"/>
  <c r="AE51" i="44"/>
  <c r="AE59" i="44"/>
  <c r="AE63" i="44"/>
  <c r="AE68" i="44"/>
  <c r="AE70" i="44"/>
  <c r="AE80" i="44"/>
  <c r="AE81" i="44"/>
  <c r="AE82" i="44"/>
  <c r="AE83" i="44"/>
  <c r="AE87" i="44"/>
  <c r="AE93" i="44"/>
  <c r="AE102" i="44"/>
  <c r="AE105" i="44"/>
  <c r="AE107" i="44"/>
  <c r="AE121" i="44"/>
  <c r="AE124" i="44"/>
  <c r="AE130" i="44"/>
  <c r="AE136" i="44"/>
  <c r="AE139" i="44"/>
  <c r="AE143" i="44"/>
  <c r="AE144" i="44"/>
  <c r="AE148" i="44"/>
  <c r="AE149" i="44"/>
  <c r="AE153" i="44"/>
  <c r="AE154" i="44"/>
  <c r="AE155" i="44"/>
  <c r="AE159" i="44"/>
  <c r="AE160" i="44"/>
  <c r="AE163" i="44"/>
  <c r="AE164" i="44"/>
  <c r="AE165" i="44"/>
  <c r="AE166" i="44"/>
  <c r="AE168" i="44"/>
  <c r="AE169" i="44"/>
  <c r="AE174" i="44"/>
  <c r="AE175" i="44"/>
  <c r="AE179" i="44"/>
  <c r="AE180" i="44"/>
  <c r="AE181" i="44"/>
  <c r="AE182" i="44"/>
  <c r="AE185" i="44"/>
  <c r="AE188" i="44"/>
  <c r="AE193" i="44"/>
  <c r="AE194" i="44"/>
  <c r="AE195" i="44"/>
  <c r="AE197" i="44"/>
  <c r="AE198" i="44"/>
  <c r="D1" i="38" l="1"/>
  <c r="C27" i="36"/>
  <c r="C29" i="36"/>
  <c r="C28" i="36"/>
  <c r="C25" i="36"/>
  <c r="C24" i="36"/>
  <c r="C23" i="36"/>
  <c r="C21" i="36"/>
  <c r="C20" i="36"/>
  <c r="C19" i="36"/>
  <c r="C18" i="36"/>
  <c r="C16" i="36"/>
  <c r="C15" i="36"/>
  <c r="C9" i="36" l="1"/>
  <c r="C8" i="36"/>
  <c r="C7" i="36"/>
  <c r="C6" i="36"/>
  <c r="C14" i="36"/>
  <c r="C13" i="36"/>
  <c r="C12" i="36"/>
  <c r="AD6" i="44" l="1"/>
  <c r="AL6" i="44"/>
  <c r="AK6" i="44"/>
  <c r="AJ6" i="44"/>
  <c r="AI6" i="44"/>
  <c r="AE6" i="44"/>
  <c r="AC6" i="44"/>
  <c r="AB6" i="44"/>
  <c r="AA6" i="44"/>
  <c r="W6" i="44"/>
  <c r="V6" i="44"/>
  <c r="U6" i="44"/>
  <c r="Q10" i="44" l="1"/>
  <c r="Q11" i="44"/>
  <c r="Q12" i="44"/>
  <c r="Q13" i="44"/>
  <c r="Q14" i="44"/>
  <c r="Q15" i="44"/>
  <c r="Q16" i="44"/>
  <c r="Q17" i="44"/>
  <c r="Q18" i="44"/>
  <c r="Q19" i="44"/>
  <c r="Q20" i="44"/>
  <c r="Q21" i="44"/>
  <c r="Q22" i="44"/>
  <c r="Q23" i="44"/>
  <c r="Q24" i="44"/>
  <c r="Q25" i="44"/>
  <c r="Q26" i="44"/>
  <c r="Q27" i="44"/>
  <c r="Q28" i="44"/>
  <c r="Q29" i="44"/>
  <c r="Q30" i="44"/>
  <c r="Q31" i="44"/>
  <c r="Q32" i="44"/>
  <c r="Q33" i="44"/>
  <c r="Q34" i="44"/>
  <c r="Q35" i="44"/>
  <c r="Q36" i="44"/>
  <c r="Q37" i="44"/>
  <c r="Q38" i="44"/>
  <c r="Q39" i="44"/>
  <c r="Q40" i="44"/>
  <c r="Q41" i="44"/>
  <c r="Q42" i="44"/>
  <c r="Q43" i="44"/>
  <c r="Q44" i="44"/>
  <c r="Q45" i="44"/>
  <c r="Q46" i="44"/>
  <c r="Q47" i="44"/>
  <c r="Q49" i="44"/>
  <c r="Q48" i="44"/>
  <c r="Q50" i="44"/>
  <c r="Q51" i="44"/>
  <c r="Q52" i="44"/>
  <c r="Q53" i="44"/>
  <c r="Q54" i="44"/>
  <c r="Q55" i="44"/>
  <c r="Q56" i="44"/>
  <c r="Q57" i="44"/>
  <c r="Q58" i="44"/>
  <c r="Q59" i="44"/>
  <c r="Q60" i="44"/>
  <c r="Q61" i="44"/>
  <c r="Q62" i="44"/>
  <c r="Q63" i="44"/>
  <c r="Q64" i="44"/>
  <c r="Q65" i="44"/>
  <c r="Q66" i="44"/>
  <c r="Q67" i="44"/>
  <c r="Q68" i="44"/>
  <c r="Q69" i="44"/>
  <c r="Q70" i="44"/>
  <c r="Q71" i="44"/>
  <c r="Q72" i="44"/>
  <c r="Q73" i="44"/>
  <c r="Q74" i="44"/>
  <c r="Q75" i="44"/>
  <c r="Q76" i="44"/>
  <c r="Q77" i="44"/>
  <c r="Q78" i="44"/>
  <c r="Q79" i="44"/>
  <c r="Q80" i="44"/>
  <c r="Q82" i="44"/>
  <c r="Q81" i="44"/>
  <c r="Q83" i="44"/>
  <c r="Q84" i="44"/>
  <c r="Q85" i="44"/>
  <c r="Q86" i="44"/>
  <c r="Q87" i="44"/>
  <c r="Q88" i="44"/>
  <c r="Q89" i="44"/>
  <c r="Q90" i="44"/>
  <c r="Q92" i="44"/>
  <c r="Q91" i="44"/>
  <c r="Q93" i="44"/>
  <c r="Q94" i="44"/>
  <c r="Q96" i="44"/>
  <c r="Q95" i="44"/>
  <c r="Q97" i="44"/>
  <c r="Q98" i="44"/>
  <c r="Q99" i="44"/>
  <c r="Q100" i="44"/>
  <c r="Q101" i="44"/>
  <c r="Q102" i="44"/>
  <c r="Q103" i="44"/>
  <c r="Q106" i="44"/>
  <c r="Q104" i="44"/>
  <c r="Q105" i="44"/>
  <c r="Q107" i="44"/>
  <c r="Q108" i="44"/>
  <c r="Q109" i="44"/>
  <c r="Q110" i="44"/>
  <c r="Q111" i="44"/>
  <c r="Q112" i="44"/>
  <c r="Q113" i="44"/>
  <c r="Q114" i="44"/>
  <c r="Q115" i="44"/>
  <c r="Q116" i="44"/>
  <c r="Q117" i="44"/>
  <c r="Q118" i="44"/>
  <c r="Q119" i="44"/>
  <c r="Q120" i="44"/>
  <c r="Q121" i="44"/>
  <c r="Q122" i="44"/>
  <c r="Q123" i="44"/>
  <c r="Q124" i="44"/>
  <c r="Q125" i="44"/>
  <c r="Q126" i="44"/>
  <c r="Q127" i="44"/>
  <c r="Q128" i="44"/>
  <c r="Q129" i="44"/>
  <c r="Q130" i="44"/>
  <c r="Q131" i="44"/>
  <c r="Q132" i="44"/>
  <c r="Q134" i="44"/>
  <c r="Q133" i="44"/>
  <c r="Q135" i="44"/>
  <c r="Q136" i="44"/>
  <c r="Q137" i="44"/>
  <c r="Q138" i="44"/>
  <c r="Q140" i="44"/>
  <c r="Q139" i="44"/>
  <c r="Q141" i="44"/>
  <c r="Q151" i="44"/>
  <c r="Q142" i="44"/>
  <c r="Q146" i="44"/>
  <c r="Q154" i="44"/>
  <c r="Q150" i="44"/>
  <c r="Q153" i="44"/>
  <c r="Q155" i="44"/>
  <c r="Q157" i="44"/>
  <c r="Q143" i="44"/>
  <c r="Q149" i="44"/>
  <c r="Q152" i="44"/>
  <c r="Q147" i="44"/>
  <c r="Q156" i="44"/>
  <c r="Q144" i="44"/>
  <c r="Q145" i="44"/>
  <c r="Q148" i="44"/>
  <c r="Q158" i="44"/>
  <c r="Q159" i="44"/>
  <c r="Q160" i="44"/>
  <c r="Q161" i="44"/>
  <c r="Q162" i="44"/>
  <c r="Q163" i="44"/>
  <c r="Q164" i="44"/>
  <c r="Q165" i="44"/>
  <c r="Q166" i="44"/>
  <c r="Q167" i="44"/>
  <c r="Q168" i="44"/>
  <c r="Q169" i="44"/>
  <c r="Q170" i="44"/>
  <c r="Q171" i="44"/>
  <c r="Q172" i="44"/>
  <c r="Q173" i="44"/>
  <c r="Q174" i="44"/>
  <c r="Q175" i="44"/>
  <c r="Q176" i="44"/>
  <c r="Q177" i="44"/>
  <c r="Q178" i="44"/>
  <c r="Q179" i="44"/>
  <c r="Q180" i="44"/>
  <c r="Q181" i="44"/>
  <c r="Q182" i="44"/>
  <c r="Q183" i="44"/>
  <c r="Q184" i="44"/>
  <c r="Q185" i="44"/>
  <c r="Q186" i="44"/>
  <c r="Q187" i="44"/>
  <c r="Q188" i="44"/>
  <c r="Q189" i="44"/>
  <c r="Q190" i="44"/>
  <c r="Q191" i="44"/>
  <c r="Q192" i="44"/>
  <c r="Q193" i="44"/>
  <c r="Q194" i="44"/>
  <c r="Q195" i="44"/>
  <c r="Q196" i="44"/>
  <c r="Q197" i="44"/>
  <c r="Q198" i="44"/>
  <c r="Q199" i="44"/>
  <c r="Q200" i="44"/>
  <c r="Q201" i="44"/>
  <c r="Q9" i="44"/>
  <c r="H1" i="31" l="1"/>
  <c r="S19" i="81" l="1"/>
  <c r="U19" i="81"/>
  <c r="W19" i="81"/>
  <c r="Y19" i="81"/>
  <c r="Z19" i="81" s="1"/>
  <c r="AA19" i="81"/>
  <c r="AB19" i="81" s="1"/>
  <c r="S20" i="81"/>
  <c r="U20" i="81"/>
  <c r="W20" i="81"/>
  <c r="Y20" i="81"/>
  <c r="Z20" i="81"/>
  <c r="AA20" i="81"/>
  <c r="AB20" i="81"/>
  <c r="S21" i="81"/>
  <c r="U21" i="81"/>
  <c r="W21" i="81"/>
  <c r="Y21" i="81"/>
  <c r="Z21" i="81" s="1"/>
  <c r="AA21" i="81"/>
  <c r="AB21" i="81" s="1"/>
  <c r="S22" i="81"/>
  <c r="T22" i="81"/>
  <c r="U22" i="81"/>
  <c r="V22" i="81"/>
  <c r="W22" i="81"/>
  <c r="X22" i="81"/>
  <c r="Y22" i="81"/>
  <c r="Z22" i="81"/>
  <c r="AA22" i="81"/>
  <c r="AB22" i="81"/>
  <c r="S23" i="81"/>
  <c r="T23" i="81" s="1"/>
  <c r="U23" i="81"/>
  <c r="V23" i="81" s="1"/>
  <c r="W23" i="81"/>
  <c r="X23" i="81" s="1"/>
  <c r="Y23" i="81"/>
  <c r="Z23" i="81" s="1"/>
  <c r="AA23" i="81"/>
  <c r="AB23" i="81" s="1"/>
  <c r="S24" i="81"/>
  <c r="T24" i="81"/>
  <c r="U24" i="81"/>
  <c r="V24" i="81"/>
  <c r="W24" i="81"/>
  <c r="X24" i="81"/>
  <c r="Y24" i="81"/>
  <c r="Z24" i="81"/>
  <c r="AA24" i="81"/>
  <c r="AB24" i="81"/>
  <c r="S25" i="81"/>
  <c r="U25" i="81"/>
  <c r="W25" i="81"/>
  <c r="Y25" i="81"/>
  <c r="Z25" i="81" s="1"/>
  <c r="AA25" i="81"/>
  <c r="AB25" i="81" s="1"/>
  <c r="S26" i="81"/>
  <c r="U26" i="81"/>
  <c r="W26" i="81"/>
  <c r="Y26" i="81"/>
  <c r="Z26" i="81"/>
  <c r="AA26" i="81"/>
  <c r="AB26" i="81"/>
  <c r="S27" i="81"/>
  <c r="U27" i="81"/>
  <c r="W27" i="81"/>
  <c r="Y27" i="81"/>
  <c r="Z27" i="81" s="1"/>
  <c r="AA27" i="81"/>
  <c r="AB27" i="81" s="1"/>
  <c r="S28" i="81"/>
  <c r="T28" i="81"/>
  <c r="U28" i="81"/>
  <c r="V28" i="81"/>
  <c r="W28" i="81"/>
  <c r="X28" i="81"/>
  <c r="Y28" i="81"/>
  <c r="Z28" i="81"/>
  <c r="AA28" i="81"/>
  <c r="AB28" i="81"/>
  <c r="S29" i="81"/>
  <c r="T29" i="81" s="1"/>
  <c r="U29" i="81"/>
  <c r="V29" i="81" s="1"/>
  <c r="W29" i="81"/>
  <c r="X29" i="81" s="1"/>
  <c r="Y29" i="81"/>
  <c r="Z29" i="81" s="1"/>
  <c r="AA29" i="81"/>
  <c r="AB29" i="81" s="1"/>
  <c r="S30" i="81"/>
  <c r="T30" i="81"/>
  <c r="U30" i="81"/>
  <c r="V30" i="81"/>
  <c r="W30" i="81"/>
  <c r="X30" i="81"/>
  <c r="Y30" i="81"/>
  <c r="Z30" i="81"/>
  <c r="AA30" i="81"/>
  <c r="AB30" i="81"/>
  <c r="S31" i="81"/>
  <c r="T31" i="81" s="1"/>
  <c r="U31" i="81"/>
  <c r="V31" i="81" s="1"/>
  <c r="W31" i="81"/>
  <c r="X31" i="81" s="1"/>
  <c r="Y31" i="81"/>
  <c r="Z31" i="81" s="1"/>
  <c r="AA31" i="81"/>
  <c r="AB31" i="81" s="1"/>
  <c r="S32" i="81"/>
  <c r="T32" i="81"/>
  <c r="U32" i="81"/>
  <c r="V32" i="81"/>
  <c r="W32" i="81"/>
  <c r="X32" i="81"/>
  <c r="Y32" i="81"/>
  <c r="Z32" i="81"/>
  <c r="AA32" i="81"/>
  <c r="AB32" i="81"/>
  <c r="S33" i="81"/>
  <c r="T33" i="81" s="1"/>
  <c r="U33" i="81"/>
  <c r="V33" i="81" s="1"/>
  <c r="W33" i="81"/>
  <c r="X33" i="81" s="1"/>
  <c r="Y33" i="81"/>
  <c r="Z33" i="81" s="1"/>
  <c r="AA33" i="81"/>
  <c r="AB33" i="81" s="1"/>
  <c r="S34" i="81"/>
  <c r="T34" i="81"/>
  <c r="U34" i="81"/>
  <c r="V34" i="81"/>
  <c r="W34" i="81"/>
  <c r="X34" i="81"/>
  <c r="Y34" i="81"/>
  <c r="Z34" i="81"/>
  <c r="AA34" i="81"/>
  <c r="AB34" i="81"/>
  <c r="S35" i="81"/>
  <c r="T35" i="81" s="1"/>
  <c r="U35" i="81"/>
  <c r="V35" i="81" s="1"/>
  <c r="W35" i="81"/>
  <c r="X35" i="81" s="1"/>
  <c r="Y35" i="81"/>
  <c r="Z35" i="81" s="1"/>
  <c r="AA35" i="81"/>
  <c r="AB35" i="81" s="1"/>
  <c r="S36" i="81"/>
  <c r="T36" i="81"/>
  <c r="U36" i="81"/>
  <c r="V36" i="81"/>
  <c r="W36" i="81"/>
  <c r="X36" i="81"/>
  <c r="Y36" i="81"/>
  <c r="Z36" i="81"/>
  <c r="AA36" i="81"/>
  <c r="AB36" i="81"/>
  <c r="S37" i="81"/>
  <c r="T37" i="81" s="1"/>
  <c r="U37" i="81"/>
  <c r="V37" i="81" s="1"/>
  <c r="W37" i="81"/>
  <c r="X37" i="81" s="1"/>
  <c r="Y37" i="81"/>
  <c r="Z37" i="81" s="1"/>
  <c r="AA37" i="81"/>
  <c r="AB37" i="81" s="1"/>
  <c r="S38" i="81"/>
  <c r="T38" i="81"/>
  <c r="U38" i="81"/>
  <c r="V38" i="81"/>
  <c r="W38" i="81"/>
  <c r="X38" i="81"/>
  <c r="Y38" i="81"/>
  <c r="Z38" i="81"/>
  <c r="AA38" i="81"/>
  <c r="AB38" i="81"/>
  <c r="S39" i="81"/>
  <c r="T39" i="81" s="1"/>
  <c r="U39" i="81"/>
  <c r="V39" i="81" s="1"/>
  <c r="W39" i="81"/>
  <c r="X39" i="81" s="1"/>
  <c r="Y39" i="81"/>
  <c r="Z39" i="81" s="1"/>
  <c r="AA39" i="81"/>
  <c r="AB39" i="81" s="1"/>
  <c r="S40" i="81"/>
  <c r="T40" i="81"/>
  <c r="U40" i="81"/>
  <c r="V40" i="81"/>
  <c r="W40" i="81"/>
  <c r="X40" i="81"/>
  <c r="Y40" i="81"/>
  <c r="Z40" i="81"/>
  <c r="AA40" i="81"/>
  <c r="AB40" i="81"/>
  <c r="S41" i="81"/>
  <c r="T41" i="81" s="1"/>
  <c r="U41" i="81"/>
  <c r="V41" i="81" s="1"/>
  <c r="W41" i="81"/>
  <c r="X41" i="81" s="1"/>
  <c r="Y41" i="81"/>
  <c r="Z41" i="81" s="1"/>
  <c r="AA41" i="81"/>
  <c r="AB41" i="81" s="1"/>
  <c r="S42" i="81"/>
  <c r="T42" i="81"/>
  <c r="U42" i="81"/>
  <c r="V42" i="81"/>
  <c r="W42" i="81"/>
  <c r="X42" i="81"/>
  <c r="Y42" i="81"/>
  <c r="Z42" i="81"/>
  <c r="AA42" i="81"/>
  <c r="AB42" i="81"/>
  <c r="S43" i="81"/>
  <c r="T43" i="81" s="1"/>
  <c r="U43" i="81"/>
  <c r="V43" i="81" s="1"/>
  <c r="W43" i="81"/>
  <c r="X43" i="81" s="1"/>
  <c r="Y43" i="81"/>
  <c r="Z43" i="81" s="1"/>
  <c r="AA43" i="81"/>
  <c r="AB43" i="81" s="1"/>
  <c r="S44" i="81"/>
  <c r="T44" i="81"/>
  <c r="U44" i="81"/>
  <c r="V44" i="81"/>
  <c r="W44" i="81"/>
  <c r="X44" i="81"/>
  <c r="Y44" i="81"/>
  <c r="Z44" i="81"/>
  <c r="AA44" i="81"/>
  <c r="AB44" i="81"/>
  <c r="S45" i="81"/>
  <c r="T45" i="81" s="1"/>
  <c r="U45" i="81"/>
  <c r="V45" i="81" s="1"/>
  <c r="W45" i="81"/>
  <c r="X45" i="81" s="1"/>
  <c r="Y45" i="81"/>
  <c r="Z45" i="81" s="1"/>
  <c r="AA45" i="81"/>
  <c r="AB45" i="81" s="1"/>
  <c r="S46" i="81"/>
  <c r="T46" i="81"/>
  <c r="U46" i="81"/>
  <c r="V46" i="81"/>
  <c r="W46" i="81"/>
  <c r="X46" i="81"/>
  <c r="Y46" i="81"/>
  <c r="Z46" i="81"/>
  <c r="AA46" i="81"/>
  <c r="AB46" i="81"/>
  <c r="S47" i="81"/>
  <c r="T47" i="81"/>
  <c r="U47" i="81"/>
  <c r="V47" i="81"/>
  <c r="W47" i="81"/>
  <c r="X47" i="81"/>
  <c r="Y47" i="81"/>
  <c r="Z47" i="81"/>
  <c r="AA47" i="81"/>
  <c r="AB47" i="81"/>
  <c r="S48" i="81"/>
  <c r="T48" i="81" s="1"/>
  <c r="U48" i="81"/>
  <c r="V48" i="81" s="1"/>
  <c r="W48" i="81"/>
  <c r="X48" i="81" s="1"/>
  <c r="Y48" i="81"/>
  <c r="Z48" i="81" s="1"/>
  <c r="AA48" i="81"/>
  <c r="AB48" i="81" s="1"/>
  <c r="S49" i="81"/>
  <c r="T49" i="81"/>
  <c r="U49" i="81"/>
  <c r="V49" i="81"/>
  <c r="W49" i="81"/>
  <c r="X49" i="81"/>
  <c r="Y49" i="81"/>
  <c r="Z49" i="81"/>
  <c r="AA49" i="81"/>
  <c r="AB49" i="81"/>
  <c r="S50" i="81"/>
  <c r="T50" i="81" s="1"/>
  <c r="U50" i="81"/>
  <c r="V50" i="81" s="1"/>
  <c r="W50" i="81"/>
  <c r="X50" i="81" s="1"/>
  <c r="Y50" i="81"/>
  <c r="Z50" i="81" s="1"/>
  <c r="AA50" i="81"/>
  <c r="AB50" i="81" s="1"/>
  <c r="S51" i="81"/>
  <c r="T51" i="81"/>
  <c r="U51" i="81"/>
  <c r="V51" i="81"/>
  <c r="W51" i="81"/>
  <c r="X51" i="81"/>
  <c r="Y51" i="81"/>
  <c r="Z51" i="81"/>
  <c r="AA51" i="81"/>
  <c r="AB51" i="81"/>
  <c r="S52" i="81"/>
  <c r="T52" i="81" s="1"/>
  <c r="U52" i="81"/>
  <c r="V52" i="81" s="1"/>
  <c r="W52" i="81"/>
  <c r="X52" i="81" s="1"/>
  <c r="Y52" i="81"/>
  <c r="Z52" i="81" s="1"/>
  <c r="AA52" i="81"/>
  <c r="AB52" i="81" s="1"/>
  <c r="S53" i="81"/>
  <c r="T53" i="81"/>
  <c r="U53" i="81"/>
  <c r="V53" i="81"/>
  <c r="W53" i="81"/>
  <c r="X53" i="81"/>
  <c r="Y53" i="81"/>
  <c r="Z53" i="81"/>
  <c r="AA53" i="81"/>
  <c r="AB53" i="81"/>
  <c r="S54" i="81"/>
  <c r="T54" i="81" s="1"/>
  <c r="U54" i="81"/>
  <c r="V54" i="81" s="1"/>
  <c r="W54" i="81"/>
  <c r="X54" i="81" s="1"/>
  <c r="Y54" i="81"/>
  <c r="Z54" i="81" s="1"/>
  <c r="AA54" i="81"/>
  <c r="AB54" i="81" s="1"/>
  <c r="S55" i="81"/>
  <c r="T55" i="81"/>
  <c r="U55" i="81"/>
  <c r="V55" i="81"/>
  <c r="W55" i="81"/>
  <c r="X55" i="81"/>
  <c r="Y55" i="81"/>
  <c r="Z55" i="81"/>
  <c r="AA55" i="81"/>
  <c r="AB55" i="81"/>
  <c r="S56" i="81"/>
  <c r="T56" i="81" s="1"/>
  <c r="U56" i="81"/>
  <c r="V56" i="81" s="1"/>
  <c r="W56" i="81"/>
  <c r="X56" i="81" s="1"/>
  <c r="Y56" i="81"/>
  <c r="Z56" i="81" s="1"/>
  <c r="AA56" i="81"/>
  <c r="AB56" i="81" s="1"/>
  <c r="S57" i="81"/>
  <c r="T57" i="81"/>
  <c r="U57" i="81"/>
  <c r="V57" i="81"/>
  <c r="W57" i="81"/>
  <c r="X57" i="81"/>
  <c r="Y57" i="81"/>
  <c r="Z57" i="81"/>
  <c r="AA57" i="81"/>
  <c r="AB57" i="81"/>
  <c r="S58" i="81"/>
  <c r="T58" i="81" s="1"/>
  <c r="U58" i="81"/>
  <c r="V58" i="81" s="1"/>
  <c r="W58" i="81"/>
  <c r="X58" i="81" s="1"/>
  <c r="Y58" i="81"/>
  <c r="Z58" i="81" s="1"/>
  <c r="AA58" i="81"/>
  <c r="AB58" i="81" s="1"/>
  <c r="S59" i="81"/>
  <c r="T59" i="81"/>
  <c r="U59" i="81"/>
  <c r="V59" i="81"/>
  <c r="W59" i="81"/>
  <c r="X59" i="81"/>
  <c r="Y59" i="81"/>
  <c r="Z59" i="81"/>
  <c r="AA59" i="81"/>
  <c r="AB59" i="81"/>
  <c r="S60" i="81"/>
  <c r="T60" i="81" s="1"/>
  <c r="U60" i="81"/>
  <c r="V60" i="81" s="1"/>
  <c r="W60" i="81"/>
  <c r="X60" i="81" s="1"/>
  <c r="Y60" i="81"/>
  <c r="Z60" i="81" s="1"/>
  <c r="AA60" i="81"/>
  <c r="AB60" i="81" s="1"/>
  <c r="S61" i="81"/>
  <c r="T61" i="81"/>
  <c r="U61" i="81"/>
  <c r="V61" i="81"/>
  <c r="W61" i="81"/>
  <c r="X61" i="81"/>
  <c r="Y61" i="81"/>
  <c r="Z61" i="81"/>
  <c r="AA61" i="81"/>
  <c r="AB61" i="81"/>
  <c r="S62" i="81"/>
  <c r="T62" i="81" s="1"/>
  <c r="U62" i="81"/>
  <c r="V62" i="81" s="1"/>
  <c r="W62" i="81"/>
  <c r="X62" i="81" s="1"/>
  <c r="Y62" i="81"/>
  <c r="Z62" i="81" s="1"/>
  <c r="AA62" i="81"/>
  <c r="AB62" i="81" s="1"/>
  <c r="S63" i="81"/>
  <c r="T63" i="81"/>
  <c r="U63" i="81"/>
  <c r="V63" i="81"/>
  <c r="W63" i="81"/>
  <c r="X63" i="81"/>
  <c r="Y63" i="81"/>
  <c r="Z63" i="81"/>
  <c r="AA63" i="81"/>
  <c r="AB63" i="81"/>
  <c r="S64" i="81"/>
  <c r="T64" i="81" s="1"/>
  <c r="U64" i="81"/>
  <c r="V64" i="81" s="1"/>
  <c r="W64" i="81"/>
  <c r="X64" i="81" s="1"/>
  <c r="Y64" i="81"/>
  <c r="Z64" i="81" s="1"/>
  <c r="AA64" i="81"/>
  <c r="AB64" i="81" s="1"/>
  <c r="S65" i="81"/>
  <c r="T65" i="81"/>
  <c r="U65" i="81"/>
  <c r="V65" i="81"/>
  <c r="W65" i="81"/>
  <c r="X65" i="81"/>
  <c r="Y65" i="81"/>
  <c r="Z65" i="81"/>
  <c r="AA65" i="81"/>
  <c r="AB65" i="81"/>
  <c r="S66" i="81"/>
  <c r="T66" i="81" s="1"/>
  <c r="U66" i="81"/>
  <c r="V66" i="81" s="1"/>
  <c r="W66" i="81"/>
  <c r="X66" i="81" s="1"/>
  <c r="Y66" i="81"/>
  <c r="Z66" i="81" s="1"/>
  <c r="AA66" i="81"/>
  <c r="AB66" i="81" s="1"/>
  <c r="S67" i="81"/>
  <c r="T67" i="81"/>
  <c r="U67" i="81"/>
  <c r="V67" i="81"/>
  <c r="W67" i="81"/>
  <c r="X67" i="81"/>
  <c r="Y67" i="81"/>
  <c r="Z67" i="81"/>
  <c r="AA67" i="81"/>
  <c r="AB67" i="81"/>
  <c r="S68" i="81"/>
  <c r="T68" i="81" s="1"/>
  <c r="U68" i="81"/>
  <c r="V68" i="81" s="1"/>
  <c r="W68" i="81"/>
  <c r="X68" i="81" s="1"/>
  <c r="Y68" i="81"/>
  <c r="Z68" i="81" s="1"/>
  <c r="AA68" i="81"/>
  <c r="AB68" i="81" s="1"/>
  <c r="S69" i="81"/>
  <c r="T69" i="81"/>
  <c r="U69" i="81"/>
  <c r="V69" i="81"/>
  <c r="W69" i="81"/>
  <c r="X69" i="81"/>
  <c r="Y69" i="81"/>
  <c r="Z69" i="81"/>
  <c r="AA69" i="81"/>
  <c r="AB69" i="81"/>
  <c r="S70" i="81"/>
  <c r="T70" i="81" s="1"/>
  <c r="U70" i="81"/>
  <c r="V70" i="81" s="1"/>
  <c r="W70" i="81"/>
  <c r="X70" i="81" s="1"/>
  <c r="Y70" i="81"/>
  <c r="Z70" i="81" s="1"/>
  <c r="AA70" i="81"/>
  <c r="AB70" i="81" s="1"/>
  <c r="S71" i="81"/>
  <c r="T71" i="81"/>
  <c r="U71" i="81"/>
  <c r="V71" i="81"/>
  <c r="W71" i="81"/>
  <c r="X71" i="81"/>
  <c r="Y71" i="81"/>
  <c r="Z71" i="81"/>
  <c r="AA71" i="81"/>
  <c r="AB71" i="81"/>
  <c r="S72" i="81"/>
  <c r="T72" i="81" s="1"/>
  <c r="U72" i="81"/>
  <c r="V72" i="81" s="1"/>
  <c r="W72" i="81"/>
  <c r="X72" i="81" s="1"/>
  <c r="Y72" i="81"/>
  <c r="Z72" i="81" s="1"/>
  <c r="AA72" i="81"/>
  <c r="AB72" i="81" s="1"/>
  <c r="S73" i="81"/>
  <c r="T73" i="81"/>
  <c r="U73" i="81"/>
  <c r="V73" i="81"/>
  <c r="W73" i="81"/>
  <c r="X73" i="81"/>
  <c r="Y73" i="81"/>
  <c r="Z73" i="81"/>
  <c r="AA73" i="81"/>
  <c r="AB73" i="81"/>
  <c r="S74" i="81"/>
  <c r="T74" i="81" s="1"/>
  <c r="U74" i="81"/>
  <c r="V74" i="81" s="1"/>
  <c r="W74" i="81"/>
  <c r="X74" i="81" s="1"/>
  <c r="Y74" i="81"/>
  <c r="Z74" i="81" s="1"/>
  <c r="AA74" i="81"/>
  <c r="AB74" i="81" s="1"/>
  <c r="S75" i="81"/>
  <c r="T75" i="81"/>
  <c r="U75" i="81"/>
  <c r="V75" i="81"/>
  <c r="W75" i="81"/>
  <c r="X75" i="81"/>
  <c r="Y75" i="81"/>
  <c r="Z75" i="81"/>
  <c r="AA75" i="81"/>
  <c r="AB75" i="81"/>
  <c r="S76" i="81"/>
  <c r="T76" i="81" s="1"/>
  <c r="U76" i="81"/>
  <c r="V76" i="81" s="1"/>
  <c r="W76" i="81"/>
  <c r="X76" i="81" s="1"/>
  <c r="Y76" i="81"/>
  <c r="Z76" i="81" s="1"/>
  <c r="AA76" i="81"/>
  <c r="AB76" i="81" s="1"/>
  <c r="S77" i="81"/>
  <c r="T77" i="81"/>
  <c r="U77" i="81"/>
  <c r="V77" i="81"/>
  <c r="W77" i="81"/>
  <c r="X77" i="81"/>
  <c r="Y77" i="81"/>
  <c r="Z77" i="81"/>
  <c r="AA77" i="81"/>
  <c r="AB77" i="81"/>
  <c r="S78" i="81"/>
  <c r="T78" i="81" s="1"/>
  <c r="U78" i="81"/>
  <c r="V78" i="81" s="1"/>
  <c r="W78" i="81"/>
  <c r="X78" i="81" s="1"/>
  <c r="Y78" i="81"/>
  <c r="Z78" i="81" s="1"/>
  <c r="AA78" i="81"/>
  <c r="AB78" i="81" s="1"/>
  <c r="S79" i="81"/>
  <c r="T79" i="81"/>
  <c r="U79" i="81"/>
  <c r="V79" i="81"/>
  <c r="W79" i="81"/>
  <c r="X79" i="81"/>
  <c r="Y79" i="81"/>
  <c r="Z79" i="81"/>
  <c r="AA79" i="81"/>
  <c r="AB79" i="81"/>
  <c r="S80" i="81"/>
  <c r="T80" i="81" s="1"/>
  <c r="U80" i="81"/>
  <c r="V80" i="81" s="1"/>
  <c r="W80" i="81"/>
  <c r="X80" i="81" s="1"/>
  <c r="Y80" i="81"/>
  <c r="Z80" i="81" s="1"/>
  <c r="AA80" i="81"/>
  <c r="AB80" i="81" s="1"/>
  <c r="S81" i="81"/>
  <c r="T81" i="81"/>
  <c r="U81" i="81"/>
  <c r="V81" i="81"/>
  <c r="W81" i="81"/>
  <c r="X81" i="81"/>
  <c r="Y81" i="81"/>
  <c r="Z81" i="81"/>
  <c r="AA81" i="81"/>
  <c r="AB81" i="81"/>
  <c r="S82" i="81"/>
  <c r="T82" i="81" s="1"/>
  <c r="U82" i="81"/>
  <c r="V82" i="81" s="1"/>
  <c r="W82" i="81"/>
  <c r="X82" i="81" s="1"/>
  <c r="Y82" i="81"/>
  <c r="Z82" i="81" s="1"/>
  <c r="AA82" i="81"/>
  <c r="AB82" i="81" s="1"/>
  <c r="S83" i="81"/>
  <c r="T83" i="81"/>
  <c r="U83" i="81"/>
  <c r="V83" i="81"/>
  <c r="W83" i="81"/>
  <c r="X83" i="81"/>
  <c r="Y83" i="81"/>
  <c r="Z83" i="81"/>
  <c r="AA83" i="81"/>
  <c r="AB83" i="81"/>
  <c r="S84" i="81"/>
  <c r="T84" i="81" s="1"/>
  <c r="U84" i="81"/>
  <c r="V84" i="81" s="1"/>
  <c r="W84" i="81"/>
  <c r="X84" i="81" s="1"/>
  <c r="Y84" i="81"/>
  <c r="Z84" i="81" s="1"/>
  <c r="AA84" i="81"/>
  <c r="AB84" i="81" s="1"/>
  <c r="S85" i="81"/>
  <c r="T85" i="81"/>
  <c r="U85" i="81"/>
  <c r="V85" i="81"/>
  <c r="W85" i="81"/>
  <c r="X85" i="81"/>
  <c r="Y85" i="81"/>
  <c r="Z85" i="81"/>
  <c r="AA85" i="81"/>
  <c r="AB85" i="81"/>
  <c r="S86" i="81"/>
  <c r="T86" i="81" s="1"/>
  <c r="U86" i="81"/>
  <c r="V86" i="81" s="1"/>
  <c r="W86" i="81"/>
  <c r="X86" i="81" s="1"/>
  <c r="Y86" i="81"/>
  <c r="Z86" i="81" s="1"/>
  <c r="AA86" i="81"/>
  <c r="AB86" i="81" s="1"/>
  <c r="S87" i="81"/>
  <c r="T87" i="81"/>
  <c r="U87" i="81"/>
  <c r="V87" i="81"/>
  <c r="W87" i="81"/>
  <c r="X87" i="81"/>
  <c r="Y87" i="81"/>
  <c r="Z87" i="81"/>
  <c r="AA87" i="81"/>
  <c r="AB87" i="81"/>
  <c r="S88" i="81"/>
  <c r="T88" i="81" s="1"/>
  <c r="U88" i="81"/>
  <c r="V88" i="81" s="1"/>
  <c r="W88" i="81"/>
  <c r="X88" i="81" s="1"/>
  <c r="Y88" i="81"/>
  <c r="Z88" i="81" s="1"/>
  <c r="AA88" i="81"/>
  <c r="AB88" i="81" s="1"/>
  <c r="S89" i="81"/>
  <c r="T89" i="81"/>
  <c r="U89" i="81"/>
  <c r="V89" i="81"/>
  <c r="W89" i="81"/>
  <c r="X89" i="81"/>
  <c r="Y89" i="81"/>
  <c r="Z89" i="81"/>
  <c r="AA89" i="81"/>
  <c r="AB89" i="81"/>
  <c r="S90" i="81"/>
  <c r="T90" i="81" s="1"/>
  <c r="U90" i="81"/>
  <c r="V90" i="81" s="1"/>
  <c r="W90" i="81"/>
  <c r="X90" i="81" s="1"/>
  <c r="Y90" i="81"/>
  <c r="Z90" i="81" s="1"/>
  <c r="AA90" i="81"/>
  <c r="AB90" i="81" s="1"/>
  <c r="S91" i="81"/>
  <c r="T91" i="81"/>
  <c r="U91" i="81"/>
  <c r="V91" i="81"/>
  <c r="W91" i="81"/>
  <c r="X91" i="81"/>
  <c r="Y91" i="81"/>
  <c r="Z91" i="81"/>
  <c r="AA91" i="81"/>
  <c r="AB91" i="81"/>
  <c r="S92" i="81"/>
  <c r="T92" i="81" s="1"/>
  <c r="U92" i="81"/>
  <c r="V92" i="81" s="1"/>
  <c r="W92" i="81"/>
  <c r="X92" i="81" s="1"/>
  <c r="Y92" i="81"/>
  <c r="Z92" i="81" s="1"/>
  <c r="AA92" i="81"/>
  <c r="AB92" i="81" s="1"/>
  <c r="S93" i="81"/>
  <c r="T93" i="81"/>
  <c r="U93" i="81"/>
  <c r="V93" i="81"/>
  <c r="W93" i="81"/>
  <c r="X93" i="81"/>
  <c r="Y93" i="81"/>
  <c r="Z93" i="81"/>
  <c r="AA93" i="81"/>
  <c r="AB93" i="81"/>
  <c r="S94" i="81"/>
  <c r="T94" i="81" s="1"/>
  <c r="U94" i="81"/>
  <c r="V94" i="81" s="1"/>
  <c r="W94" i="81"/>
  <c r="X94" i="81" s="1"/>
  <c r="Y94" i="81"/>
  <c r="Z94" i="81" s="1"/>
  <c r="AA94" i="81"/>
  <c r="AB94" i="81" s="1"/>
  <c r="S95" i="81"/>
  <c r="T95" i="81"/>
  <c r="U95" i="81"/>
  <c r="V95" i="81"/>
  <c r="W95" i="81"/>
  <c r="X95" i="81"/>
  <c r="Y95" i="81"/>
  <c r="Z95" i="81"/>
  <c r="AA95" i="81"/>
  <c r="AB95" i="81"/>
  <c r="S96" i="81"/>
  <c r="T96" i="81" s="1"/>
  <c r="U96" i="81"/>
  <c r="V96" i="81" s="1"/>
  <c r="W96" i="81"/>
  <c r="X96" i="81" s="1"/>
  <c r="Y96" i="81"/>
  <c r="Z96" i="81" s="1"/>
  <c r="AA96" i="81"/>
  <c r="AB96" i="81" s="1"/>
  <c r="S97" i="81"/>
  <c r="T97" i="81"/>
  <c r="U97" i="81"/>
  <c r="V97" i="81"/>
  <c r="W97" i="81"/>
  <c r="X97" i="81"/>
  <c r="Y97" i="81"/>
  <c r="Z97" i="81"/>
  <c r="AA97" i="81"/>
  <c r="AB97" i="81"/>
  <c r="S98" i="81"/>
  <c r="T98" i="81" s="1"/>
  <c r="U98" i="81"/>
  <c r="V98" i="81" s="1"/>
  <c r="W98" i="81"/>
  <c r="X98" i="81"/>
  <c r="Y98" i="81"/>
  <c r="Z98" i="81"/>
  <c r="AA98" i="81"/>
  <c r="AB98" i="81"/>
  <c r="S8" i="81"/>
  <c r="U8" i="81"/>
  <c r="W8" i="81"/>
  <c r="Y8" i="81"/>
  <c r="Z8" i="81" s="1"/>
  <c r="AA8" i="81"/>
  <c r="AB8" i="81" s="1"/>
  <c r="S9" i="81"/>
  <c r="U9" i="81"/>
  <c r="W9" i="81"/>
  <c r="Y9" i="81"/>
  <c r="Z9" i="81" s="1"/>
  <c r="AA9" i="81"/>
  <c r="AB9" i="81" s="1"/>
  <c r="S10" i="81"/>
  <c r="U10" i="81"/>
  <c r="W10" i="81"/>
  <c r="Y10" i="81"/>
  <c r="Z10" i="81" s="1"/>
  <c r="AA10" i="81"/>
  <c r="AB10" i="81" s="1"/>
  <c r="S11" i="81"/>
  <c r="T11" i="81" s="1"/>
  <c r="U11" i="81"/>
  <c r="V11" i="81" s="1"/>
  <c r="W11" i="81"/>
  <c r="X11" i="81" s="1"/>
  <c r="Y11" i="81"/>
  <c r="Z11" i="81" s="1"/>
  <c r="AA11" i="81"/>
  <c r="AB11" i="81" s="1"/>
  <c r="S12" i="81"/>
  <c r="T12" i="81" s="1"/>
  <c r="U12" i="81"/>
  <c r="V12" i="81" s="1"/>
  <c r="W12" i="81"/>
  <c r="X12" i="81" s="1"/>
  <c r="Y12" i="81"/>
  <c r="Z12" i="81" s="1"/>
  <c r="AA12" i="81"/>
  <c r="AB12" i="81" s="1"/>
  <c r="S13" i="81"/>
  <c r="U13" i="81"/>
  <c r="W13" i="81"/>
  <c r="Y13" i="81"/>
  <c r="Z13" i="81" s="1"/>
  <c r="AA13" i="81"/>
  <c r="AB13" i="81" s="1"/>
  <c r="S14" i="81"/>
  <c r="U14" i="81"/>
  <c r="W14" i="81"/>
  <c r="Y14" i="81"/>
  <c r="Z14" i="81" s="1"/>
  <c r="AA14" i="81"/>
  <c r="AB14" i="81" s="1"/>
  <c r="S15" i="81"/>
  <c r="U15" i="81"/>
  <c r="W15" i="81"/>
  <c r="Y15" i="81"/>
  <c r="Z15" i="81" s="1"/>
  <c r="AA15" i="81"/>
  <c r="AB15" i="81" s="1"/>
  <c r="S16" i="81"/>
  <c r="T16" i="81" s="1"/>
  <c r="U16" i="81"/>
  <c r="V16" i="81" s="1"/>
  <c r="W16" i="81"/>
  <c r="X16" i="81" s="1"/>
  <c r="Y16" i="81"/>
  <c r="Z16" i="81" s="1"/>
  <c r="AA16" i="81"/>
  <c r="AB16" i="81" s="1"/>
  <c r="S17" i="81"/>
  <c r="T17" i="81" s="1"/>
  <c r="U17" i="81"/>
  <c r="V17" i="81" s="1"/>
  <c r="W17" i="81"/>
  <c r="X17" i="81" s="1"/>
  <c r="Y17" i="81"/>
  <c r="Z17" i="81" s="1"/>
  <c r="AA17" i="81"/>
  <c r="AB17" i="81" s="1"/>
  <c r="S18" i="81"/>
  <c r="T18" i="81" s="1"/>
  <c r="U18" i="81"/>
  <c r="V18" i="81" s="1"/>
  <c r="W18" i="81"/>
  <c r="X18" i="81" s="1"/>
  <c r="Y18" i="81"/>
  <c r="Z18" i="81" s="1"/>
  <c r="AA18" i="81"/>
  <c r="AB18" i="81" s="1"/>
  <c r="AA7" i="81"/>
  <c r="Y7" i="81"/>
  <c r="W7" i="81"/>
  <c r="U7" i="81"/>
  <c r="S7" i="81"/>
  <c r="AI8" i="82"/>
  <c r="AK8" i="82"/>
  <c r="AM8" i="82"/>
  <c r="AO8" i="82"/>
  <c r="AP8" i="82" s="1"/>
  <c r="AQ8" i="82"/>
  <c r="AR8" i="82" s="1"/>
  <c r="AI9" i="82"/>
  <c r="AK9" i="82"/>
  <c r="AM9" i="82"/>
  <c r="AO9" i="82"/>
  <c r="AP9" i="82" s="1"/>
  <c r="AQ9" i="82"/>
  <c r="AR9" i="82" s="1"/>
  <c r="AI10" i="82"/>
  <c r="AK10" i="82"/>
  <c r="AM10" i="82"/>
  <c r="AO10" i="82"/>
  <c r="AP10" i="82" s="1"/>
  <c r="AQ10" i="82"/>
  <c r="AR10" i="82" s="1"/>
  <c r="AI11" i="82"/>
  <c r="AK11" i="82"/>
  <c r="AM11" i="82"/>
  <c r="AO11" i="82"/>
  <c r="AP11" i="82" s="1"/>
  <c r="AQ11" i="82"/>
  <c r="AR11" i="82" s="1"/>
  <c r="AI12" i="82"/>
  <c r="AK12" i="82"/>
  <c r="AM12" i="82"/>
  <c r="AO12" i="82"/>
  <c r="AP12" i="82" s="1"/>
  <c r="AQ12" i="82"/>
  <c r="AR12" i="82" s="1"/>
  <c r="AI13" i="82"/>
  <c r="AK13" i="82"/>
  <c r="AM13" i="82"/>
  <c r="AO13" i="82"/>
  <c r="AP13" i="82" s="1"/>
  <c r="AQ13" i="82"/>
  <c r="AR13" i="82" s="1"/>
  <c r="AI14" i="82"/>
  <c r="AK14" i="82"/>
  <c r="AM14" i="82"/>
  <c r="AO14" i="82"/>
  <c r="AP14" i="82" s="1"/>
  <c r="AQ14" i="82"/>
  <c r="AR14" i="82" s="1"/>
  <c r="AI15" i="82"/>
  <c r="AK15" i="82"/>
  <c r="AM15" i="82"/>
  <c r="AO15" i="82"/>
  <c r="AP15" i="82" s="1"/>
  <c r="AQ15" i="82"/>
  <c r="AR15" i="82" s="1"/>
  <c r="AI16" i="82"/>
  <c r="AK16" i="82"/>
  <c r="AM16" i="82"/>
  <c r="AO16" i="82"/>
  <c r="AP16" i="82" s="1"/>
  <c r="AQ16" i="82"/>
  <c r="AR16" i="82" s="1"/>
  <c r="AI17" i="82"/>
  <c r="AK17" i="82"/>
  <c r="AM17" i="82"/>
  <c r="AO17" i="82"/>
  <c r="AP17" i="82" s="1"/>
  <c r="AQ17" i="82"/>
  <c r="AR17" i="82" s="1"/>
  <c r="AI18" i="82"/>
  <c r="AK18" i="82"/>
  <c r="AM18" i="82"/>
  <c r="AO18" i="82"/>
  <c r="AP18" i="82" s="1"/>
  <c r="AQ18" i="82"/>
  <c r="AR18" i="82" s="1"/>
  <c r="AI19" i="82"/>
  <c r="AK19" i="82"/>
  <c r="AM19" i="82"/>
  <c r="AO19" i="82"/>
  <c r="AP19" i="82" s="1"/>
  <c r="AQ19" i="82"/>
  <c r="AR19" i="82" s="1"/>
  <c r="AI20" i="82"/>
  <c r="AK20" i="82"/>
  <c r="AM20" i="82"/>
  <c r="AO20" i="82"/>
  <c r="AP20" i="82" s="1"/>
  <c r="AQ20" i="82"/>
  <c r="AR20" i="82" s="1"/>
  <c r="AI21" i="82"/>
  <c r="AK21" i="82"/>
  <c r="AM21" i="82"/>
  <c r="AO21" i="82"/>
  <c r="AP21" i="82" s="1"/>
  <c r="AQ21" i="82"/>
  <c r="AR21" i="82" s="1"/>
  <c r="AI22" i="82"/>
  <c r="AK22" i="82"/>
  <c r="AM22" i="82"/>
  <c r="AO22" i="82"/>
  <c r="AP22" i="82" s="1"/>
  <c r="AQ22" i="82"/>
  <c r="AR22" i="82" s="1"/>
  <c r="AI23" i="82"/>
  <c r="AK23" i="82"/>
  <c r="AM23" i="82"/>
  <c r="AO23" i="82"/>
  <c r="AP23" i="82" s="1"/>
  <c r="AQ23" i="82"/>
  <c r="AR23" i="82" s="1"/>
  <c r="AI24" i="82"/>
  <c r="AK24" i="82"/>
  <c r="AM24" i="82"/>
  <c r="AO24" i="82"/>
  <c r="AP24" i="82" s="1"/>
  <c r="AQ24" i="82"/>
  <c r="AR24" i="82" s="1"/>
  <c r="AI25" i="82"/>
  <c r="AK25" i="82"/>
  <c r="AM25" i="82"/>
  <c r="AO25" i="82"/>
  <c r="AP25" i="82" s="1"/>
  <c r="AQ25" i="82"/>
  <c r="AR25" i="82" s="1"/>
  <c r="AQ7" i="82"/>
  <c r="AO7" i="82"/>
  <c r="AM7" i="82"/>
  <c r="AK7" i="82"/>
  <c r="AI7" i="82"/>
  <c r="AI8" i="83"/>
  <c r="AK8" i="83"/>
  <c r="AM8" i="83"/>
  <c r="AN8" i="83" s="1"/>
  <c r="AO8" i="83"/>
  <c r="AP8" i="83" s="1"/>
  <c r="AI9" i="83"/>
  <c r="AK9" i="83"/>
  <c r="AM9" i="83"/>
  <c r="AN9" i="83" s="1"/>
  <c r="AO9" i="83"/>
  <c r="AP9" i="83" s="1"/>
  <c r="AI10" i="83"/>
  <c r="AK10" i="83"/>
  <c r="AM10" i="83"/>
  <c r="AN10" i="83" s="1"/>
  <c r="AO10" i="83"/>
  <c r="AP10" i="83" s="1"/>
  <c r="AI11" i="83"/>
  <c r="AK11" i="83"/>
  <c r="AM11" i="83"/>
  <c r="AN11" i="83" s="1"/>
  <c r="AO11" i="83"/>
  <c r="AP11" i="83" s="1"/>
  <c r="AI12" i="83"/>
  <c r="AK12" i="83"/>
  <c r="AM12" i="83"/>
  <c r="AN12" i="83" s="1"/>
  <c r="AO12" i="83"/>
  <c r="AP12" i="83" s="1"/>
  <c r="AI13" i="83"/>
  <c r="AK13" i="83"/>
  <c r="AM13" i="83"/>
  <c r="AN13" i="83" s="1"/>
  <c r="AO13" i="83"/>
  <c r="AP13" i="83" s="1"/>
  <c r="AI14" i="83"/>
  <c r="AK14" i="83"/>
  <c r="AM14" i="83"/>
  <c r="AN14" i="83" s="1"/>
  <c r="AO14" i="83"/>
  <c r="AP14" i="83" s="1"/>
  <c r="AI15" i="83"/>
  <c r="AK15" i="83"/>
  <c r="AM15" i="83"/>
  <c r="AN15" i="83" s="1"/>
  <c r="AO15" i="83"/>
  <c r="AP15" i="83" s="1"/>
  <c r="AI16" i="83"/>
  <c r="AK16" i="83"/>
  <c r="AM16" i="83"/>
  <c r="AN16" i="83" s="1"/>
  <c r="AO16" i="83"/>
  <c r="AP16" i="83" s="1"/>
  <c r="AI17" i="83"/>
  <c r="AK17" i="83"/>
  <c r="AM17" i="83"/>
  <c r="AN17" i="83" s="1"/>
  <c r="AO17" i="83"/>
  <c r="AP17" i="83" s="1"/>
  <c r="AI18" i="83"/>
  <c r="AK18" i="83"/>
  <c r="AM18" i="83"/>
  <c r="AN18" i="83" s="1"/>
  <c r="AO18" i="83"/>
  <c r="AP18" i="83" s="1"/>
  <c r="AI19" i="83"/>
  <c r="AK19" i="83"/>
  <c r="AM19" i="83"/>
  <c r="AN19" i="83" s="1"/>
  <c r="AO19" i="83"/>
  <c r="AP19" i="83" s="1"/>
  <c r="AI20" i="83"/>
  <c r="AK20" i="83"/>
  <c r="AM20" i="83"/>
  <c r="AN20" i="83" s="1"/>
  <c r="AO20" i="83"/>
  <c r="AP20" i="83" s="1"/>
  <c r="AI21" i="83"/>
  <c r="AK21" i="83"/>
  <c r="AL21" i="83" s="1"/>
  <c r="AM21" i="83"/>
  <c r="AO21" i="83"/>
  <c r="AI22" i="83"/>
  <c r="AK22" i="83"/>
  <c r="AM22" i="83"/>
  <c r="AN22" i="83" s="1"/>
  <c r="AO22" i="83"/>
  <c r="AP22" i="83" s="1"/>
  <c r="AI23" i="83"/>
  <c r="AK23" i="83"/>
  <c r="AM23" i="83"/>
  <c r="AN23" i="83" s="1"/>
  <c r="AO23" i="83"/>
  <c r="AP23" i="83" s="1"/>
  <c r="AI24" i="83"/>
  <c r="AK24" i="83"/>
  <c r="AM24" i="83"/>
  <c r="AN24" i="83" s="1"/>
  <c r="AO24" i="83"/>
  <c r="AP24" i="83" s="1"/>
  <c r="AI25" i="83"/>
  <c r="AK25" i="83"/>
  <c r="AL25" i="83" s="1"/>
  <c r="AM25" i="83"/>
  <c r="AO25" i="83"/>
  <c r="AI26" i="83"/>
  <c r="AK26" i="83"/>
  <c r="AM26" i="83"/>
  <c r="AN26" i="83" s="1"/>
  <c r="AO26" i="83"/>
  <c r="AP26" i="83" s="1"/>
  <c r="AI27" i="83"/>
  <c r="AK27" i="83"/>
  <c r="AM27" i="83"/>
  <c r="AN27" i="83" s="1"/>
  <c r="AO27" i="83"/>
  <c r="AP27" i="83" s="1"/>
  <c r="AI28" i="83"/>
  <c r="AK28" i="83"/>
  <c r="AM28" i="83"/>
  <c r="AN28" i="83" s="1"/>
  <c r="AO28" i="83"/>
  <c r="AP28" i="83" s="1"/>
  <c r="AI29" i="83"/>
  <c r="AK29" i="83"/>
  <c r="AM29" i="83"/>
  <c r="AN29" i="83"/>
  <c r="AO29" i="83"/>
  <c r="AP29" i="83"/>
  <c r="AI30" i="83"/>
  <c r="AK30" i="83"/>
  <c r="AM30" i="83"/>
  <c r="AN30" i="83"/>
  <c r="AO30" i="83"/>
  <c r="AP30" i="83"/>
  <c r="AI31" i="83"/>
  <c r="AK31" i="83"/>
  <c r="AM31" i="83"/>
  <c r="AN31" i="83"/>
  <c r="AO31" i="83"/>
  <c r="AP31" i="83"/>
  <c r="AI32" i="83"/>
  <c r="AK32" i="83"/>
  <c r="AM32" i="83"/>
  <c r="AN32" i="83"/>
  <c r="AO32" i="83"/>
  <c r="AP32" i="83"/>
  <c r="AI33" i="83"/>
  <c r="AK33" i="83"/>
  <c r="AM33" i="83"/>
  <c r="AN33" i="83"/>
  <c r="AO33" i="83"/>
  <c r="AP33" i="83"/>
  <c r="AI34" i="83"/>
  <c r="AJ34" i="83"/>
  <c r="AK34" i="83"/>
  <c r="AL34" i="83"/>
  <c r="AM34" i="83"/>
  <c r="AN34" i="83"/>
  <c r="AO34" i="83"/>
  <c r="AP34" i="83"/>
  <c r="AI35" i="83"/>
  <c r="AJ35" i="83"/>
  <c r="AK35" i="83"/>
  <c r="AL35" i="83"/>
  <c r="AM35" i="83"/>
  <c r="AN35" i="83"/>
  <c r="AO35" i="83"/>
  <c r="AP35" i="83"/>
  <c r="AI36" i="83"/>
  <c r="AJ36" i="83"/>
  <c r="AK36" i="83"/>
  <c r="AL36" i="83"/>
  <c r="AM36" i="83"/>
  <c r="AN36" i="83"/>
  <c r="AO36" i="83"/>
  <c r="AP36" i="83"/>
  <c r="AI37" i="83"/>
  <c r="AJ37" i="83"/>
  <c r="AK37" i="83"/>
  <c r="AL37" i="83"/>
  <c r="AM37" i="83"/>
  <c r="AN37" i="83"/>
  <c r="AO37" i="83"/>
  <c r="AP37" i="83"/>
  <c r="AI38" i="83"/>
  <c r="AJ38" i="83"/>
  <c r="AK38" i="83"/>
  <c r="AL38" i="83"/>
  <c r="AM38" i="83"/>
  <c r="AN38" i="83"/>
  <c r="AO38" i="83"/>
  <c r="AP38" i="83"/>
  <c r="AI39" i="83"/>
  <c r="AJ39" i="83"/>
  <c r="AK39" i="83"/>
  <c r="AL39" i="83"/>
  <c r="AM39" i="83"/>
  <c r="AN39" i="83"/>
  <c r="AO39" i="83"/>
  <c r="AP39" i="83"/>
  <c r="AI40" i="83"/>
  <c r="AJ40" i="83"/>
  <c r="AK40" i="83"/>
  <c r="AL40" i="83"/>
  <c r="AM40" i="83"/>
  <c r="AN40" i="83"/>
  <c r="AO40" i="83"/>
  <c r="AP40" i="83"/>
  <c r="AI41" i="83"/>
  <c r="AJ41" i="83"/>
  <c r="AK41" i="83"/>
  <c r="AL41" i="83"/>
  <c r="AM41" i="83"/>
  <c r="AN41" i="83"/>
  <c r="AO41" i="83"/>
  <c r="AP41" i="83"/>
  <c r="AI42" i="83"/>
  <c r="AJ42" i="83"/>
  <c r="AK42" i="83"/>
  <c r="AL42" i="83"/>
  <c r="AM42" i="83"/>
  <c r="AN42" i="83"/>
  <c r="AO42" i="83"/>
  <c r="AP42" i="83"/>
  <c r="AI43" i="83"/>
  <c r="AJ43" i="83"/>
  <c r="AK43" i="83"/>
  <c r="AL43" i="83"/>
  <c r="AM43" i="83"/>
  <c r="AN43" i="83"/>
  <c r="AO43" i="83"/>
  <c r="AP43" i="83"/>
  <c r="AI44" i="83"/>
  <c r="AJ44" i="83"/>
  <c r="AK44" i="83"/>
  <c r="AL44" i="83"/>
  <c r="AM44" i="83"/>
  <c r="AN44" i="83"/>
  <c r="AO44" i="83"/>
  <c r="AP44" i="83"/>
  <c r="AI45" i="83"/>
  <c r="AJ45" i="83"/>
  <c r="AK45" i="83"/>
  <c r="AL45" i="83"/>
  <c r="AM45" i="83"/>
  <c r="AN45" i="83"/>
  <c r="AO45" i="83"/>
  <c r="AP45" i="83"/>
  <c r="AI46" i="83"/>
  <c r="AJ46" i="83"/>
  <c r="AK46" i="83"/>
  <c r="AL46" i="83"/>
  <c r="AM46" i="83"/>
  <c r="AN46" i="83"/>
  <c r="AO46" i="83"/>
  <c r="AP46" i="83"/>
  <c r="AI47" i="83"/>
  <c r="AJ47" i="83"/>
  <c r="AK47" i="83"/>
  <c r="AL47" i="83"/>
  <c r="AM47" i="83"/>
  <c r="AN47" i="83"/>
  <c r="AO47" i="83"/>
  <c r="AP47" i="83"/>
  <c r="AI48" i="83"/>
  <c r="AJ48" i="83"/>
  <c r="AK48" i="83"/>
  <c r="AL48" i="83"/>
  <c r="AM48" i="83"/>
  <c r="AN48" i="83"/>
  <c r="AO48" i="83"/>
  <c r="AP48" i="83"/>
  <c r="AI49" i="83"/>
  <c r="AJ49" i="83"/>
  <c r="AK49" i="83"/>
  <c r="AL49" i="83"/>
  <c r="AM49" i="83"/>
  <c r="AN49" i="83"/>
  <c r="AO49" i="83"/>
  <c r="AP49" i="83"/>
  <c r="AI50" i="83"/>
  <c r="AJ50" i="83"/>
  <c r="AK50" i="83"/>
  <c r="AL50" i="83"/>
  <c r="AM50" i="83"/>
  <c r="AN50" i="83"/>
  <c r="AO50" i="83"/>
  <c r="AP50" i="83"/>
  <c r="AI51" i="83"/>
  <c r="AJ51" i="83"/>
  <c r="AK51" i="83"/>
  <c r="AL51" i="83"/>
  <c r="AM51" i="83"/>
  <c r="AN51" i="83"/>
  <c r="AO51" i="83"/>
  <c r="AP51" i="83"/>
  <c r="AI52" i="83"/>
  <c r="AJ52" i="83"/>
  <c r="AK52" i="83"/>
  <c r="AL52" i="83"/>
  <c r="AM52" i="83"/>
  <c r="AN52" i="83"/>
  <c r="AO52" i="83"/>
  <c r="AP52" i="83"/>
  <c r="AI53" i="83"/>
  <c r="AJ53" i="83"/>
  <c r="AK53" i="83"/>
  <c r="AL53" i="83"/>
  <c r="AM53" i="83"/>
  <c r="AN53" i="83"/>
  <c r="AO53" i="83"/>
  <c r="AP53" i="83"/>
  <c r="AI54" i="83"/>
  <c r="AJ54" i="83"/>
  <c r="AK54" i="83"/>
  <c r="AL54" i="83"/>
  <c r="AM54" i="83"/>
  <c r="AN54" i="83"/>
  <c r="AO54" i="83"/>
  <c r="AP54" i="83"/>
  <c r="AI55" i="83"/>
  <c r="AJ55" i="83"/>
  <c r="AK55" i="83"/>
  <c r="AL55" i="83"/>
  <c r="AM55" i="83"/>
  <c r="AN55" i="83"/>
  <c r="AO55" i="83"/>
  <c r="AP55" i="83"/>
  <c r="AI56" i="83"/>
  <c r="AJ56" i="83"/>
  <c r="AK56" i="83"/>
  <c r="AL56" i="83"/>
  <c r="AM56" i="83"/>
  <c r="AN56" i="83"/>
  <c r="AO56" i="83"/>
  <c r="AP56" i="83"/>
  <c r="AI57" i="83"/>
  <c r="AJ57" i="83"/>
  <c r="AK57" i="83"/>
  <c r="AL57" i="83"/>
  <c r="AM57" i="83"/>
  <c r="AN57" i="83"/>
  <c r="AO57" i="83"/>
  <c r="AP57" i="83"/>
  <c r="AI58" i="83"/>
  <c r="AJ58" i="83"/>
  <c r="AK58" i="83"/>
  <c r="AL58" i="83"/>
  <c r="AM58" i="83"/>
  <c r="AN58" i="83"/>
  <c r="AO58" i="83"/>
  <c r="AP58" i="83"/>
  <c r="AI59" i="83"/>
  <c r="AJ59" i="83"/>
  <c r="AK59" i="83"/>
  <c r="AL59" i="83"/>
  <c r="AM59" i="83"/>
  <c r="AN59" i="83"/>
  <c r="AO59" i="83"/>
  <c r="AP59" i="83"/>
  <c r="AI60" i="83"/>
  <c r="AJ60" i="83"/>
  <c r="AK60" i="83"/>
  <c r="AL60" i="83"/>
  <c r="AM60" i="83"/>
  <c r="AN60" i="83"/>
  <c r="AO60" i="83"/>
  <c r="AP60" i="83"/>
  <c r="AI61" i="83"/>
  <c r="AJ61" i="83"/>
  <c r="AK61" i="83"/>
  <c r="AL61" i="83"/>
  <c r="AM61" i="83"/>
  <c r="AN61" i="83"/>
  <c r="AO61" i="83"/>
  <c r="AP61" i="83"/>
  <c r="AI62" i="83"/>
  <c r="AJ62" i="83"/>
  <c r="AK62" i="83"/>
  <c r="AL62" i="83"/>
  <c r="AM62" i="83"/>
  <c r="AN62" i="83"/>
  <c r="AO62" i="83"/>
  <c r="AP62" i="83"/>
  <c r="AI63" i="83"/>
  <c r="AJ63" i="83"/>
  <c r="AK63" i="83"/>
  <c r="AL63" i="83"/>
  <c r="AM63" i="83"/>
  <c r="AN63" i="83"/>
  <c r="AO63" i="83"/>
  <c r="AP63" i="83"/>
  <c r="AI64" i="83"/>
  <c r="AJ64" i="83"/>
  <c r="AK64" i="83"/>
  <c r="AL64" i="83"/>
  <c r="AM64" i="83"/>
  <c r="AN64" i="83"/>
  <c r="AO64" i="83"/>
  <c r="AP64" i="83"/>
  <c r="AI65" i="83"/>
  <c r="AJ65" i="83"/>
  <c r="AK65" i="83"/>
  <c r="AL65" i="83"/>
  <c r="AM65" i="83"/>
  <c r="AN65" i="83"/>
  <c r="AO65" i="83"/>
  <c r="AP65" i="83"/>
  <c r="AI66" i="83"/>
  <c r="AJ66" i="83"/>
  <c r="AK66" i="83"/>
  <c r="AL66" i="83"/>
  <c r="AM66" i="83"/>
  <c r="AN66" i="83"/>
  <c r="AO66" i="83"/>
  <c r="AP66" i="83"/>
  <c r="AI67" i="83"/>
  <c r="AJ67" i="83"/>
  <c r="AK67" i="83"/>
  <c r="AL67" i="83"/>
  <c r="AM67" i="83"/>
  <c r="AN67" i="83"/>
  <c r="AO67" i="83"/>
  <c r="AP67" i="83"/>
  <c r="AI68" i="83"/>
  <c r="AJ68" i="83"/>
  <c r="AK68" i="83"/>
  <c r="AL68" i="83"/>
  <c r="AM68" i="83"/>
  <c r="AN68" i="83"/>
  <c r="AO68" i="83"/>
  <c r="AP68" i="83"/>
  <c r="AI69" i="83"/>
  <c r="AJ69" i="83"/>
  <c r="AK69" i="83"/>
  <c r="AL69" i="83"/>
  <c r="AM69" i="83"/>
  <c r="AN69" i="83"/>
  <c r="AO69" i="83"/>
  <c r="AP69" i="83"/>
  <c r="AI70" i="83"/>
  <c r="AJ70" i="83"/>
  <c r="AK70" i="83"/>
  <c r="AL70" i="83"/>
  <c r="AM70" i="83"/>
  <c r="AN70" i="83"/>
  <c r="AO70" i="83"/>
  <c r="AP70" i="83"/>
  <c r="AI71" i="83"/>
  <c r="AJ71" i="83"/>
  <c r="AK71" i="83"/>
  <c r="AL71" i="83"/>
  <c r="AM71" i="83"/>
  <c r="AN71" i="83"/>
  <c r="AO71" i="83"/>
  <c r="AP71" i="83"/>
  <c r="AI72" i="83"/>
  <c r="AJ72" i="83"/>
  <c r="AK72" i="83"/>
  <c r="AL72" i="83"/>
  <c r="AM72" i="83"/>
  <c r="AN72" i="83"/>
  <c r="AO72" i="83"/>
  <c r="AP72" i="83"/>
  <c r="AI73" i="83"/>
  <c r="AJ73" i="83"/>
  <c r="AK73" i="83"/>
  <c r="AL73" i="83"/>
  <c r="AM73" i="83"/>
  <c r="AN73" i="83"/>
  <c r="AO73" i="83"/>
  <c r="AP73" i="83"/>
  <c r="AI74" i="83"/>
  <c r="AJ74" i="83"/>
  <c r="AK74" i="83"/>
  <c r="AL74" i="83"/>
  <c r="AM74" i="83"/>
  <c r="AN74" i="83"/>
  <c r="AO74" i="83"/>
  <c r="AP74" i="83"/>
  <c r="AI75" i="83"/>
  <c r="AJ75" i="83"/>
  <c r="AK75" i="83"/>
  <c r="AL75" i="83"/>
  <c r="AM75" i="83"/>
  <c r="AN75" i="83"/>
  <c r="AO75" i="83"/>
  <c r="AP75" i="83"/>
  <c r="AI76" i="83"/>
  <c r="AJ76" i="83"/>
  <c r="AK76" i="83"/>
  <c r="AL76" i="83"/>
  <c r="AM76" i="83"/>
  <c r="AN76" i="83"/>
  <c r="AO76" i="83"/>
  <c r="AP76" i="83"/>
  <c r="AI77" i="83"/>
  <c r="AJ77" i="83"/>
  <c r="AK77" i="83"/>
  <c r="AL77" i="83"/>
  <c r="AM77" i="83"/>
  <c r="AN77" i="83"/>
  <c r="AO77" i="83"/>
  <c r="AP77" i="83"/>
  <c r="AI78" i="83"/>
  <c r="AJ78" i="83"/>
  <c r="AK78" i="83"/>
  <c r="AL78" i="83"/>
  <c r="AM78" i="83"/>
  <c r="AN78" i="83"/>
  <c r="AO78" i="83"/>
  <c r="AP78" i="83"/>
  <c r="AI79" i="83"/>
  <c r="AJ79" i="83"/>
  <c r="AK79" i="83"/>
  <c r="AL79" i="83"/>
  <c r="AM79" i="83"/>
  <c r="AN79" i="83"/>
  <c r="AO79" i="83"/>
  <c r="AP79" i="83"/>
  <c r="AI80" i="83"/>
  <c r="AJ80" i="83"/>
  <c r="AK80" i="83"/>
  <c r="AL80" i="83"/>
  <c r="AM80" i="83"/>
  <c r="AN80" i="83"/>
  <c r="AO80" i="83"/>
  <c r="AP80" i="83"/>
  <c r="AI81" i="83"/>
  <c r="AJ81" i="83"/>
  <c r="AK81" i="83"/>
  <c r="AL81" i="83"/>
  <c r="AM81" i="83"/>
  <c r="AN81" i="83"/>
  <c r="AO81" i="83"/>
  <c r="AP81" i="83"/>
  <c r="AI82" i="83"/>
  <c r="AJ82" i="83"/>
  <c r="AK82" i="83"/>
  <c r="AL82" i="83"/>
  <c r="AM82" i="83"/>
  <c r="AN82" i="83"/>
  <c r="AO82" i="83"/>
  <c r="AP82" i="83"/>
  <c r="AI83" i="83"/>
  <c r="AJ83" i="83"/>
  <c r="AK83" i="83"/>
  <c r="AL83" i="83"/>
  <c r="AM83" i="83"/>
  <c r="AN83" i="83"/>
  <c r="AO83" i="83"/>
  <c r="AP83" i="83"/>
  <c r="AI84" i="83"/>
  <c r="AJ84" i="83"/>
  <c r="AK84" i="83"/>
  <c r="AL84" i="83"/>
  <c r="AM84" i="83"/>
  <c r="AN84" i="83"/>
  <c r="AO84" i="83"/>
  <c r="AP84" i="83"/>
  <c r="AI85" i="83"/>
  <c r="AJ85" i="83"/>
  <c r="AK85" i="83"/>
  <c r="AL85" i="83"/>
  <c r="AM85" i="83"/>
  <c r="AN85" i="83"/>
  <c r="AO85" i="83"/>
  <c r="AP85" i="83"/>
  <c r="AI86" i="83"/>
  <c r="AJ86" i="83"/>
  <c r="AK86" i="83"/>
  <c r="AL86" i="83"/>
  <c r="AM86" i="83"/>
  <c r="AN86" i="83"/>
  <c r="AO86" i="83"/>
  <c r="AP86" i="83"/>
  <c r="AI87" i="83"/>
  <c r="AJ87" i="83"/>
  <c r="AK87" i="83"/>
  <c r="AL87" i="83"/>
  <c r="AM87" i="83"/>
  <c r="AN87" i="83"/>
  <c r="AO87" i="83"/>
  <c r="AP87" i="83"/>
  <c r="AI88" i="83"/>
  <c r="AJ88" i="83"/>
  <c r="AK88" i="83"/>
  <c r="AL88" i="83"/>
  <c r="AM88" i="83"/>
  <c r="AN88" i="83"/>
  <c r="AO88" i="83"/>
  <c r="AP88" i="83"/>
  <c r="AI89" i="83"/>
  <c r="AJ89" i="83"/>
  <c r="AK89" i="83"/>
  <c r="AL89" i="83"/>
  <c r="AM89" i="83"/>
  <c r="AN89" i="83"/>
  <c r="AO89" i="83"/>
  <c r="AP89" i="83"/>
  <c r="AI90" i="83"/>
  <c r="AJ90" i="83"/>
  <c r="AK90" i="83"/>
  <c r="AL90" i="83"/>
  <c r="AM90" i="83"/>
  <c r="AN90" i="83"/>
  <c r="AO90" i="83"/>
  <c r="AP90" i="83"/>
  <c r="AI91" i="83"/>
  <c r="AJ91" i="83"/>
  <c r="AK91" i="83"/>
  <c r="AL91" i="83"/>
  <c r="AM91" i="83"/>
  <c r="AN91" i="83"/>
  <c r="AO91" i="83"/>
  <c r="AP91" i="83"/>
  <c r="AI92" i="83"/>
  <c r="AJ92" i="83"/>
  <c r="AK92" i="83"/>
  <c r="AL92" i="83"/>
  <c r="AM92" i="83"/>
  <c r="AN92" i="83"/>
  <c r="AO92" i="83"/>
  <c r="AP92" i="83"/>
  <c r="AI93" i="83"/>
  <c r="AJ93" i="83"/>
  <c r="AK93" i="83"/>
  <c r="AL93" i="83"/>
  <c r="AM93" i="83"/>
  <c r="AN93" i="83"/>
  <c r="AO93" i="83"/>
  <c r="AP93" i="83"/>
  <c r="AI94" i="83"/>
  <c r="AJ94" i="83"/>
  <c r="AK94" i="83"/>
  <c r="AL94" i="83"/>
  <c r="AM94" i="83"/>
  <c r="AN94" i="83"/>
  <c r="AO94" i="83"/>
  <c r="AP94" i="83"/>
  <c r="AI95" i="83"/>
  <c r="AJ95" i="83"/>
  <c r="AK95" i="83"/>
  <c r="AL95" i="83"/>
  <c r="AM95" i="83"/>
  <c r="AN95" i="83"/>
  <c r="AO95" i="83"/>
  <c r="AP95" i="83"/>
  <c r="AI96" i="83"/>
  <c r="AJ96" i="83"/>
  <c r="AK96" i="83"/>
  <c r="AL96" i="83"/>
  <c r="AM96" i="83"/>
  <c r="AN96" i="83"/>
  <c r="AO96" i="83"/>
  <c r="AP96" i="83"/>
  <c r="AI97" i="83"/>
  <c r="AJ97" i="83"/>
  <c r="AK97" i="83"/>
  <c r="AL97" i="83"/>
  <c r="AM97" i="83"/>
  <c r="AN97" i="83"/>
  <c r="AO97" i="83"/>
  <c r="AP97" i="83"/>
  <c r="AI98" i="83"/>
  <c r="AJ98" i="83"/>
  <c r="AK98" i="83"/>
  <c r="AL98" i="83"/>
  <c r="AM98" i="83"/>
  <c r="AN98" i="83"/>
  <c r="AO98" i="83"/>
  <c r="AP98" i="83"/>
  <c r="AI99" i="83"/>
  <c r="AJ99" i="83"/>
  <c r="AK99" i="83"/>
  <c r="AL99" i="83"/>
  <c r="AM99" i="83"/>
  <c r="AN99" i="83"/>
  <c r="AO99" i="83"/>
  <c r="AP99" i="83"/>
  <c r="AO7" i="83"/>
  <c r="AM7" i="83"/>
  <c r="AK7" i="83"/>
  <c r="AI7" i="83"/>
  <c r="R33" i="83"/>
  <c r="R31" i="83"/>
  <c r="R30" i="83"/>
  <c r="R29" i="83"/>
  <c r="R28" i="83"/>
  <c r="R27" i="83"/>
  <c r="R26" i="83"/>
  <c r="R25" i="83"/>
  <c r="R24" i="83"/>
  <c r="R23" i="83"/>
  <c r="R22" i="83"/>
  <c r="R21" i="83"/>
  <c r="R20" i="83"/>
  <c r="R19" i="83"/>
  <c r="R18" i="83"/>
  <c r="R17" i="83"/>
  <c r="R16" i="83"/>
  <c r="R15" i="83"/>
  <c r="R14" i="83"/>
  <c r="R13" i="83"/>
  <c r="R12" i="83"/>
  <c r="R11" i="83"/>
  <c r="R10" i="83"/>
  <c r="R9" i="83"/>
  <c r="R8" i="83"/>
  <c r="R7" i="83"/>
  <c r="N33" i="83"/>
  <c r="N32" i="83"/>
  <c r="N31" i="83"/>
  <c r="N30" i="83"/>
  <c r="N29" i="83"/>
  <c r="N28" i="83"/>
  <c r="N27" i="83"/>
  <c r="N26" i="83"/>
  <c r="N25" i="83"/>
  <c r="N23" i="83"/>
  <c r="N22" i="83"/>
  <c r="N21" i="83"/>
  <c r="N20" i="83"/>
  <c r="N19" i="83"/>
  <c r="N18" i="83"/>
  <c r="N17" i="83"/>
  <c r="N16" i="83"/>
  <c r="N15" i="83"/>
  <c r="N14" i="83"/>
  <c r="N13" i="83"/>
  <c r="N12" i="83"/>
  <c r="N11" i="83"/>
  <c r="N10" i="83"/>
  <c r="N9" i="83"/>
  <c r="N8" i="83"/>
  <c r="N7" i="83"/>
  <c r="J33" i="83"/>
  <c r="J32" i="83"/>
  <c r="J31" i="83"/>
  <c r="J30" i="83"/>
  <c r="J29" i="83"/>
  <c r="J28" i="83"/>
  <c r="J27" i="83"/>
  <c r="J26" i="83"/>
  <c r="J24" i="83"/>
  <c r="J23" i="83"/>
  <c r="J22" i="83"/>
  <c r="J21" i="83"/>
  <c r="J20" i="83"/>
  <c r="J19" i="83"/>
  <c r="J18" i="83"/>
  <c r="J17" i="83"/>
  <c r="J16" i="83"/>
  <c r="J15" i="83"/>
  <c r="J14" i="83"/>
  <c r="J13" i="83"/>
  <c r="J12" i="83"/>
  <c r="J11" i="83"/>
  <c r="J10" i="83"/>
  <c r="J9" i="83"/>
  <c r="J8" i="83"/>
  <c r="J7" i="83"/>
  <c r="F33" i="83"/>
  <c r="F32" i="83"/>
  <c r="F31" i="83"/>
  <c r="F30" i="83"/>
  <c r="F29" i="83"/>
  <c r="F28" i="83"/>
  <c r="F27" i="83"/>
  <c r="F26" i="83"/>
  <c r="F25" i="83"/>
  <c r="F24" i="83"/>
  <c r="F23" i="83"/>
  <c r="F22" i="83"/>
  <c r="F21" i="83"/>
  <c r="F20" i="83"/>
  <c r="F19" i="83"/>
  <c r="F18" i="83"/>
  <c r="F17" i="83"/>
  <c r="F16" i="83"/>
  <c r="F15" i="83"/>
  <c r="F14" i="83"/>
  <c r="F7" i="83"/>
  <c r="F13" i="83"/>
  <c r="F12" i="83"/>
  <c r="F11" i="83"/>
  <c r="F10" i="83"/>
  <c r="F9" i="83"/>
  <c r="R95" i="81" l="1"/>
  <c r="R91" i="81"/>
  <c r="R87" i="81"/>
  <c r="R83" i="81"/>
  <c r="R79" i="81"/>
  <c r="R75" i="81"/>
  <c r="R71" i="81"/>
  <c r="R67" i="81"/>
  <c r="R63" i="81"/>
  <c r="R59" i="81"/>
  <c r="R55" i="81"/>
  <c r="R51" i="81"/>
  <c r="R46" i="81"/>
  <c r="R42" i="81"/>
  <c r="R38" i="81"/>
  <c r="R34" i="81"/>
  <c r="R30" i="81"/>
  <c r="R24" i="81"/>
  <c r="R97" i="81"/>
  <c r="R93" i="81"/>
  <c r="R89" i="81"/>
  <c r="R85" i="81"/>
  <c r="R81" i="81"/>
  <c r="R77" i="81"/>
  <c r="R73" i="81"/>
  <c r="R69" i="81"/>
  <c r="R65" i="81"/>
  <c r="R61" i="81"/>
  <c r="R57" i="81"/>
  <c r="R53" i="81"/>
  <c r="R49" i="81"/>
  <c r="R44" i="81"/>
  <c r="R40" i="81"/>
  <c r="R36" i="81"/>
  <c r="R32" i="81"/>
  <c r="R28" i="81"/>
  <c r="R22" i="81"/>
  <c r="R98" i="81"/>
  <c r="R96" i="81"/>
  <c r="R94" i="81"/>
  <c r="R92" i="81"/>
  <c r="R90" i="81"/>
  <c r="R88" i="81"/>
  <c r="R86" i="81"/>
  <c r="R84" i="81"/>
  <c r="R82" i="81"/>
  <c r="R80" i="81"/>
  <c r="R78" i="81"/>
  <c r="R76" i="81"/>
  <c r="R74" i="81"/>
  <c r="R72" i="81"/>
  <c r="R70" i="81"/>
  <c r="R68" i="81"/>
  <c r="R66" i="81"/>
  <c r="R64" i="81"/>
  <c r="R62" i="81"/>
  <c r="R60" i="81"/>
  <c r="R58" i="81"/>
  <c r="R56" i="81"/>
  <c r="R54" i="81"/>
  <c r="R52" i="81"/>
  <c r="R50" i="81"/>
  <c r="R48" i="81"/>
  <c r="R47" i="81"/>
  <c r="R23" i="81"/>
  <c r="R45" i="81"/>
  <c r="R43" i="81"/>
  <c r="R41" i="81"/>
  <c r="R39" i="81"/>
  <c r="R37" i="81"/>
  <c r="R35" i="81"/>
  <c r="R33" i="81"/>
  <c r="R31" i="81"/>
  <c r="R29" i="81"/>
  <c r="B319" i="61"/>
  <c r="AI28" i="61" s="1"/>
  <c r="B318" i="61"/>
  <c r="AI27" i="61" s="1"/>
  <c r="D138" i="44"/>
  <c r="F138" i="44"/>
  <c r="B139" i="44"/>
  <c r="D131" i="44"/>
  <c r="F131" i="44"/>
  <c r="N138" i="44"/>
  <c r="N131" i="44"/>
  <c r="N221" i="83"/>
  <c r="R221" i="83" s="1"/>
  <c r="N220" i="83"/>
  <c r="R220" i="83" s="1"/>
  <c r="N219" i="83"/>
  <c r="R219" i="83" s="1"/>
  <c r="N218" i="83"/>
  <c r="R218" i="83" s="1"/>
  <c r="N217" i="83"/>
  <c r="R217" i="83" s="1"/>
  <c r="AA31" i="83"/>
  <c r="AC31" i="83"/>
  <c r="AE31" i="83"/>
  <c r="AF31" i="83" s="1"/>
  <c r="AA32" i="83"/>
  <c r="AC32" i="83"/>
  <c r="AE32" i="83"/>
  <c r="AA33" i="83"/>
  <c r="AC33" i="83"/>
  <c r="AE33" i="83"/>
  <c r="AF33" i="83" s="1"/>
  <c r="A4" i="83"/>
  <c r="A2" i="83"/>
  <c r="T333" i="83"/>
  <c r="T330" i="83"/>
  <c r="AE30" i="83"/>
  <c r="AC30" i="83"/>
  <c r="AA30" i="83"/>
  <c r="AE29" i="83"/>
  <c r="AC29" i="83"/>
  <c r="AA29" i="83"/>
  <c r="AE28" i="83"/>
  <c r="AC28" i="83"/>
  <c r="AA28" i="83"/>
  <c r="AE27" i="83"/>
  <c r="AC27" i="83"/>
  <c r="AA27" i="83"/>
  <c r="AE26" i="83"/>
  <c r="AC26" i="83"/>
  <c r="AA26" i="83"/>
  <c r="AE25" i="83"/>
  <c r="AC25" i="83"/>
  <c r="AA25" i="83"/>
  <c r="AE24" i="83"/>
  <c r="AC24" i="83"/>
  <c r="AA24" i="83"/>
  <c r="AE23" i="83"/>
  <c r="AC23" i="83"/>
  <c r="AA23" i="83"/>
  <c r="AE22" i="83"/>
  <c r="AC22" i="83"/>
  <c r="AA22" i="83"/>
  <c r="AE21" i="83"/>
  <c r="AC21" i="83"/>
  <c r="AA21" i="83"/>
  <c r="AE20" i="83"/>
  <c r="AC20" i="83"/>
  <c r="AA20" i="83"/>
  <c r="AE19" i="83"/>
  <c r="AC19" i="83"/>
  <c r="AA19" i="83"/>
  <c r="AE18" i="83"/>
  <c r="AC18" i="83"/>
  <c r="AA18" i="83"/>
  <c r="AE17" i="83"/>
  <c r="AC17" i="83"/>
  <c r="AA17" i="83"/>
  <c r="AE16" i="83"/>
  <c r="AC16" i="83"/>
  <c r="AA16" i="83"/>
  <c r="AE15" i="83"/>
  <c r="AC15" i="83"/>
  <c r="AA15" i="83"/>
  <c r="AE14" i="83"/>
  <c r="AC14" i="83"/>
  <c r="AA14" i="83"/>
  <c r="AE13" i="83"/>
  <c r="AC13" i="83"/>
  <c r="AA13" i="83"/>
  <c r="AE12" i="83"/>
  <c r="AC12" i="83"/>
  <c r="AA12" i="83"/>
  <c r="AE11" i="83"/>
  <c r="AC11" i="83"/>
  <c r="AA11" i="83"/>
  <c r="AE10" i="83"/>
  <c r="AC10" i="83"/>
  <c r="AA10" i="83"/>
  <c r="AE9" i="83"/>
  <c r="AC9" i="83"/>
  <c r="AA9" i="83"/>
  <c r="AE8" i="83"/>
  <c r="AC8" i="83"/>
  <c r="AA8" i="83"/>
  <c r="AE7" i="83"/>
  <c r="AC7" i="83"/>
  <c r="AA7" i="83"/>
  <c r="K1" i="83"/>
  <c r="G1" i="83"/>
  <c r="R25" i="82"/>
  <c r="R23" i="82"/>
  <c r="R22" i="82"/>
  <c r="R21" i="82"/>
  <c r="R20" i="82"/>
  <c r="R19" i="82"/>
  <c r="R18" i="82"/>
  <c r="R17" i="82"/>
  <c r="R16" i="82"/>
  <c r="R15" i="82"/>
  <c r="R14" i="82"/>
  <c r="R13" i="82"/>
  <c r="R12" i="82"/>
  <c r="R11" i="82"/>
  <c r="R10" i="82"/>
  <c r="R9" i="82"/>
  <c r="R8" i="82"/>
  <c r="R7" i="82"/>
  <c r="N24" i="82"/>
  <c r="N23" i="82"/>
  <c r="N22" i="82"/>
  <c r="N21" i="82"/>
  <c r="N20" i="82"/>
  <c r="N19" i="82"/>
  <c r="N18" i="82"/>
  <c r="N17" i="82"/>
  <c r="N16" i="82"/>
  <c r="N15" i="82"/>
  <c r="N14" i="82"/>
  <c r="N13" i="82"/>
  <c r="N12" i="82"/>
  <c r="N11" i="82"/>
  <c r="N10" i="82"/>
  <c r="N9" i="82"/>
  <c r="N8" i="82"/>
  <c r="N7" i="82"/>
  <c r="J25" i="82"/>
  <c r="J24" i="82"/>
  <c r="J23" i="82"/>
  <c r="J22" i="82"/>
  <c r="J21" i="82"/>
  <c r="J20" i="82"/>
  <c r="J18" i="82"/>
  <c r="J17" i="82"/>
  <c r="J16" i="82"/>
  <c r="J15" i="82"/>
  <c r="J14" i="82"/>
  <c r="J13" i="82"/>
  <c r="J12" i="82"/>
  <c r="J11" i="82"/>
  <c r="J10" i="82"/>
  <c r="J9" i="82"/>
  <c r="J8" i="82"/>
  <c r="J7" i="82"/>
  <c r="F25" i="82"/>
  <c r="F24" i="82"/>
  <c r="F23" i="82"/>
  <c r="F22" i="82"/>
  <c r="F21" i="82"/>
  <c r="F20" i="82"/>
  <c r="F19" i="82"/>
  <c r="F18" i="82"/>
  <c r="F17" i="82"/>
  <c r="F16" i="82"/>
  <c r="F15" i="82"/>
  <c r="F14" i="82"/>
  <c r="F13" i="82"/>
  <c r="F11" i="82"/>
  <c r="F10" i="82"/>
  <c r="F9" i="82"/>
  <c r="F8" i="82"/>
  <c r="F7" i="82"/>
  <c r="V183" i="82"/>
  <c r="V182" i="82"/>
  <c r="V181" i="82"/>
  <c r="V180" i="82"/>
  <c r="V179" i="82"/>
  <c r="AF30" i="83" l="1"/>
  <c r="AF28" i="83"/>
  <c r="T217" i="83"/>
  <c r="S217" i="83"/>
  <c r="V217" i="83" s="1"/>
  <c r="S218" i="83"/>
  <c r="T218" i="83"/>
  <c r="T219" i="83"/>
  <c r="S219" i="83"/>
  <c r="V219" i="83" s="1"/>
  <c r="T220" i="83"/>
  <c r="S220" i="83"/>
  <c r="V220" i="83" s="1"/>
  <c r="T221" i="83"/>
  <c r="S221" i="83"/>
  <c r="V221" i="83" s="1"/>
  <c r="AF27" i="83"/>
  <c r="AF29" i="83"/>
  <c r="AF7" i="83"/>
  <c r="AF8" i="83"/>
  <c r="AF9" i="83"/>
  <c r="AF10" i="83"/>
  <c r="AF11" i="83"/>
  <c r="AF12" i="83"/>
  <c r="AF13" i="83"/>
  <c r="AF14" i="83"/>
  <c r="AF15" i="83"/>
  <c r="AF16" i="83"/>
  <c r="AF17" i="83"/>
  <c r="AF18" i="83"/>
  <c r="AF19" i="83"/>
  <c r="AF20" i="83"/>
  <c r="AF21" i="83"/>
  <c r="AF22" i="83"/>
  <c r="AF23" i="83"/>
  <c r="AF24" i="83"/>
  <c r="AF25" i="83"/>
  <c r="AF26" i="83"/>
  <c r="AF32" i="83"/>
  <c r="N183" i="82"/>
  <c r="R183" i="82" s="1"/>
  <c r="N182" i="82"/>
  <c r="R182" i="82" s="1"/>
  <c r="N181" i="82"/>
  <c r="R181" i="82" s="1"/>
  <c r="N180" i="82"/>
  <c r="R180" i="82" s="1"/>
  <c r="N179" i="82"/>
  <c r="R179" i="82" s="1"/>
  <c r="V218" i="83" l="1"/>
  <c r="S180" i="82"/>
  <c r="T180" i="82"/>
  <c r="T183" i="82"/>
  <c r="S183" i="82"/>
  <c r="T179" i="82"/>
  <c r="S179" i="82"/>
  <c r="T181" i="82"/>
  <c r="S181" i="82"/>
  <c r="S182" i="82"/>
  <c r="T182" i="82"/>
  <c r="AP7" i="83" l="1"/>
  <c r="AN7" i="83"/>
  <c r="AA25" i="82" l="1"/>
  <c r="AC25" i="82"/>
  <c r="AE25" i="82"/>
  <c r="AF25" i="82" s="1"/>
  <c r="A4" i="82"/>
  <c r="A2" i="82"/>
  <c r="AE24" i="82"/>
  <c r="AC24" i="82"/>
  <c r="AA24" i="82"/>
  <c r="AE23" i="82"/>
  <c r="AC23" i="82"/>
  <c r="AA23" i="82"/>
  <c r="AE22" i="82"/>
  <c r="AC22" i="82"/>
  <c r="AA22" i="82"/>
  <c r="AE21" i="82"/>
  <c r="AC21" i="82"/>
  <c r="AA21" i="82"/>
  <c r="AE20" i="82"/>
  <c r="AC20" i="82"/>
  <c r="AA20" i="82"/>
  <c r="AE19" i="82"/>
  <c r="AC19" i="82"/>
  <c r="AA19" i="82"/>
  <c r="AE18" i="82"/>
  <c r="AC18" i="82"/>
  <c r="AA18" i="82"/>
  <c r="AE17" i="82"/>
  <c r="AC17" i="82"/>
  <c r="AA17" i="82"/>
  <c r="AE16" i="82"/>
  <c r="AC16" i="82"/>
  <c r="AA16" i="82"/>
  <c r="AE15" i="82"/>
  <c r="AC15" i="82"/>
  <c r="AA15" i="82"/>
  <c r="AE14" i="82"/>
  <c r="AC14" i="82"/>
  <c r="AA14" i="82"/>
  <c r="AE13" i="82"/>
  <c r="AC13" i="82"/>
  <c r="AA13" i="82"/>
  <c r="AE12" i="82"/>
  <c r="AC12" i="82"/>
  <c r="AA12" i="82"/>
  <c r="AE11" i="82"/>
  <c r="AC11" i="82"/>
  <c r="AA11" i="82"/>
  <c r="AE10" i="82"/>
  <c r="AC10" i="82"/>
  <c r="AA10" i="82"/>
  <c r="AE9" i="82"/>
  <c r="AC9" i="82"/>
  <c r="AA9" i="82"/>
  <c r="AE8" i="82"/>
  <c r="AC8" i="82"/>
  <c r="AA8" i="82"/>
  <c r="AE7" i="82"/>
  <c r="AC7" i="82"/>
  <c r="AA7" i="82"/>
  <c r="K1" i="82"/>
  <c r="G1" i="82"/>
  <c r="AF24" i="82" l="1"/>
  <c r="AF7" i="82"/>
  <c r="AF8" i="82"/>
  <c r="AF9" i="82"/>
  <c r="AF10" i="82"/>
  <c r="AF11" i="82"/>
  <c r="AF12" i="82"/>
  <c r="AF13" i="82"/>
  <c r="AF14" i="82"/>
  <c r="AF15" i="82"/>
  <c r="AF16" i="82"/>
  <c r="AF17" i="82"/>
  <c r="AF18" i="82"/>
  <c r="AF19" i="82"/>
  <c r="AF20" i="82"/>
  <c r="AF21" i="82"/>
  <c r="AF22" i="82"/>
  <c r="AF23" i="82"/>
  <c r="B160" i="44"/>
  <c r="F160" i="44"/>
  <c r="D161" i="44"/>
  <c r="D162" i="44"/>
  <c r="F162" i="44"/>
  <c r="D100" i="44"/>
  <c r="F100" i="44"/>
  <c r="B163" i="44"/>
  <c r="B164" i="44"/>
  <c r="F164" i="44"/>
  <c r="B165" i="44"/>
  <c r="F165" i="44"/>
  <c r="D117" i="44"/>
  <c r="F117" i="44"/>
  <c r="B166" i="44"/>
  <c r="F166" i="44"/>
  <c r="D167" i="44"/>
  <c r="F167" i="44"/>
  <c r="D122" i="44"/>
  <c r="F122" i="44"/>
  <c r="B168" i="44"/>
  <c r="F168" i="44"/>
  <c r="B169" i="44"/>
  <c r="F169" i="44"/>
  <c r="D170" i="44"/>
  <c r="F170" i="44"/>
  <c r="D171" i="44"/>
  <c r="F171" i="44"/>
  <c r="D172" i="44"/>
  <c r="F172" i="44"/>
  <c r="D173" i="44"/>
  <c r="F173" i="44"/>
  <c r="B174" i="44"/>
  <c r="F174" i="44"/>
  <c r="B175" i="44"/>
  <c r="F175" i="44"/>
  <c r="D104" i="44"/>
  <c r="F104" i="44"/>
  <c r="D95" i="44"/>
  <c r="F95" i="44"/>
  <c r="D176" i="44"/>
  <c r="F176" i="44"/>
  <c r="B105" i="44"/>
  <c r="F105" i="44"/>
  <c r="D177" i="44"/>
  <c r="F177" i="44"/>
  <c r="D178" i="44"/>
  <c r="B179" i="44"/>
  <c r="F179" i="44"/>
  <c r="D88" i="44"/>
  <c r="F88" i="44"/>
  <c r="B180" i="44"/>
  <c r="F180" i="44"/>
  <c r="D97" i="44"/>
  <c r="F97" i="44"/>
  <c r="B181" i="44"/>
  <c r="F181" i="44"/>
  <c r="B182" i="44"/>
  <c r="F182" i="44"/>
  <c r="D123" i="44"/>
  <c r="F123" i="44"/>
  <c r="D183" i="44"/>
  <c r="F183" i="44"/>
  <c r="D184" i="44"/>
  <c r="F184" i="44"/>
  <c r="B185" i="44"/>
  <c r="F185" i="44"/>
  <c r="D91" i="44"/>
  <c r="D186" i="44"/>
  <c r="F186" i="44"/>
  <c r="D187" i="44"/>
  <c r="F187" i="44"/>
  <c r="B136" i="44"/>
  <c r="F136" i="44"/>
  <c r="B188" i="44"/>
  <c r="F188" i="44"/>
  <c r="D189" i="44"/>
  <c r="F189" i="44"/>
  <c r="D190" i="44"/>
  <c r="F190" i="44"/>
  <c r="D191" i="44"/>
  <c r="F191" i="44"/>
  <c r="D192" i="44"/>
  <c r="B124" i="44"/>
  <c r="F124" i="44"/>
  <c r="B193" i="44"/>
  <c r="F193" i="44"/>
  <c r="B194" i="44"/>
  <c r="F194" i="44"/>
  <c r="B195" i="44"/>
  <c r="F195" i="44"/>
  <c r="D196" i="44"/>
  <c r="F196" i="44"/>
  <c r="B197" i="44"/>
  <c r="F197" i="44"/>
  <c r="B198" i="44"/>
  <c r="F198" i="44"/>
  <c r="D118" i="44"/>
  <c r="F118" i="44"/>
  <c r="D133" i="44"/>
  <c r="F133" i="44"/>
  <c r="D199" i="44"/>
  <c r="F199" i="44"/>
  <c r="D200" i="44"/>
  <c r="F200" i="44"/>
  <c r="D119" i="44"/>
  <c r="F119" i="44"/>
  <c r="D201" i="44"/>
  <c r="F201" i="44"/>
  <c r="N161" i="44"/>
  <c r="N162" i="44"/>
  <c r="N100" i="44"/>
  <c r="N117" i="44"/>
  <c r="N167" i="44"/>
  <c r="N122" i="44"/>
  <c r="N170" i="44"/>
  <c r="N171" i="44"/>
  <c r="N172" i="44"/>
  <c r="N173" i="44"/>
  <c r="N104" i="44"/>
  <c r="N95" i="44"/>
  <c r="N176" i="44"/>
  <c r="N177" i="44"/>
  <c r="N178" i="44"/>
  <c r="N88" i="44"/>
  <c r="N97" i="44"/>
  <c r="N123" i="44"/>
  <c r="N183" i="44"/>
  <c r="N184" i="44"/>
  <c r="N91" i="44"/>
  <c r="N186" i="44"/>
  <c r="N187" i="44"/>
  <c r="N189" i="44"/>
  <c r="N190" i="44"/>
  <c r="N191" i="44"/>
  <c r="N192" i="44"/>
  <c r="N196" i="44"/>
  <c r="N118" i="44"/>
  <c r="N133" i="44"/>
  <c r="N199" i="44"/>
  <c r="N200" i="44"/>
  <c r="N119" i="44"/>
  <c r="N201" i="44"/>
  <c r="G171" i="81"/>
  <c r="G169" i="81"/>
  <c r="G170" i="81" s="1"/>
  <c r="G162" i="81"/>
  <c r="G166" i="81"/>
  <c r="E162" i="81"/>
  <c r="E163" i="81"/>
  <c r="E161" i="81"/>
  <c r="E167" i="81"/>
  <c r="E171" i="81" s="1"/>
  <c r="E165" i="81"/>
  <c r="C153" i="81"/>
  <c r="C150" i="81"/>
  <c r="C148" i="81"/>
  <c r="C149" i="81" s="1"/>
  <c r="C146" i="81"/>
  <c r="C144" i="81"/>
  <c r="C145" i="81" s="1"/>
  <c r="C141" i="81"/>
  <c r="C142" i="81"/>
  <c r="C140" i="81"/>
  <c r="C28" i="81"/>
  <c r="G20" i="81"/>
  <c r="H173" i="81"/>
  <c r="E169" i="81"/>
  <c r="C161" i="81"/>
  <c r="H159" i="81"/>
  <c r="E157" i="81"/>
  <c r="H156" i="81"/>
  <c r="E155" i="81"/>
  <c r="H152" i="81"/>
  <c r="E151" i="81"/>
  <c r="H147" i="81"/>
  <c r="E143" i="81"/>
  <c r="A4" i="81"/>
  <c r="A3" i="81"/>
  <c r="A2" i="81"/>
  <c r="E52" i="81"/>
  <c r="C52" i="81"/>
  <c r="G52" i="81" s="1"/>
  <c r="G51" i="81"/>
  <c r="E51" i="81"/>
  <c r="G50" i="81"/>
  <c r="E50" i="81"/>
  <c r="G49" i="81"/>
  <c r="E46" i="81"/>
  <c r="C46" i="81"/>
  <c r="G46" i="81" s="1"/>
  <c r="G45" i="81"/>
  <c r="E45" i="81"/>
  <c r="G44" i="81"/>
  <c r="E44" i="81"/>
  <c r="G43" i="81"/>
  <c r="E40" i="81"/>
  <c r="C40" i="81"/>
  <c r="G40" i="81" s="1"/>
  <c r="G39" i="81"/>
  <c r="E39" i="81"/>
  <c r="G38" i="81"/>
  <c r="E38" i="81"/>
  <c r="G37" i="81"/>
  <c r="E34" i="81"/>
  <c r="C34" i="81"/>
  <c r="G34" i="81" s="1"/>
  <c r="G33" i="81"/>
  <c r="E33" i="81"/>
  <c r="G32" i="81"/>
  <c r="E32" i="81"/>
  <c r="G31" i="81"/>
  <c r="E28" i="81"/>
  <c r="E27" i="81"/>
  <c r="E26" i="81"/>
  <c r="G26" i="81" s="1"/>
  <c r="E22" i="81"/>
  <c r="C22" i="81"/>
  <c r="E21" i="81"/>
  <c r="E20" i="81"/>
  <c r="G19" i="81" s="1"/>
  <c r="E16" i="81"/>
  <c r="C16" i="81"/>
  <c r="E15" i="81"/>
  <c r="G15" i="81" s="1"/>
  <c r="E14" i="81"/>
  <c r="E10" i="81"/>
  <c r="E9" i="81"/>
  <c r="G9" i="81" s="1"/>
  <c r="G8" i="81"/>
  <c r="H1" i="81"/>
  <c r="H170" i="81" l="1"/>
  <c r="H164" i="81"/>
  <c r="H167" i="81"/>
  <c r="E166" i="81"/>
  <c r="C167" i="81"/>
  <c r="G25" i="81"/>
  <c r="G14" i="81"/>
  <c r="G13" i="81"/>
  <c r="G22" i="81"/>
  <c r="G28" i="81"/>
  <c r="G10" i="81"/>
  <c r="G7" i="81"/>
  <c r="G16" i="81"/>
  <c r="G21" i="81"/>
  <c r="G27" i="81"/>
  <c r="AR7" i="82" l="1"/>
  <c r="AP7" i="82"/>
  <c r="B112" i="81"/>
  <c r="C127" i="81" s="1"/>
  <c r="E128" i="81" s="1"/>
  <c r="H129" i="81" s="1"/>
  <c r="B108" i="81"/>
  <c r="C107" i="81" s="1"/>
  <c r="E117" i="81" s="1"/>
  <c r="H118" i="81" s="1"/>
  <c r="B104" i="81"/>
  <c r="C123" i="81" s="1"/>
  <c r="E131" i="81" s="1"/>
  <c r="H135" i="81" s="1"/>
  <c r="B154" i="81"/>
  <c r="B152" i="81"/>
  <c r="C165" i="81"/>
  <c r="B148" i="81"/>
  <c r="C163" i="81"/>
  <c r="B144" i="81"/>
  <c r="B140" i="81"/>
  <c r="B114" i="81"/>
  <c r="C115" i="81" s="1"/>
  <c r="E119" i="81" s="1"/>
  <c r="H121" i="81" s="1"/>
  <c r="B110" i="81"/>
  <c r="C111" i="81" s="1"/>
  <c r="E113" i="81" s="1"/>
  <c r="H109" i="81" s="1"/>
  <c r="B102" i="81"/>
  <c r="C103" i="81" s="1"/>
  <c r="E105" i="81" s="1"/>
  <c r="H114" i="81" s="1"/>
  <c r="B106" i="81"/>
  <c r="C125" i="81" s="1"/>
  <c r="E124" i="81" s="1"/>
  <c r="H126" i="81" s="1"/>
  <c r="B116" i="81"/>
  <c r="C129" i="81" s="1"/>
  <c r="E133" i="81" s="1"/>
  <c r="H132" i="81" s="1"/>
  <c r="A4" i="79"/>
  <c r="A2" i="79"/>
  <c r="AO333" i="79"/>
  <c r="AP333" i="79" s="1"/>
  <c r="AM333" i="79"/>
  <c r="AN333" i="79" s="1"/>
  <c r="AK333" i="79"/>
  <c r="AL333" i="79" s="1"/>
  <c r="AI333" i="79"/>
  <c r="AJ333" i="79" s="1"/>
  <c r="T333" i="79"/>
  <c r="AO332" i="79"/>
  <c r="AP332" i="79" s="1"/>
  <c r="AM332" i="79"/>
  <c r="AN332" i="79" s="1"/>
  <c r="AK332" i="79"/>
  <c r="AL332" i="79" s="1"/>
  <c r="AI332" i="79"/>
  <c r="AJ332" i="79" s="1"/>
  <c r="AP331" i="79"/>
  <c r="AO331" i="79"/>
  <c r="AN331" i="79"/>
  <c r="AM331" i="79"/>
  <c r="AL331" i="79"/>
  <c r="AK331" i="79"/>
  <c r="AJ331" i="79"/>
  <c r="AI331" i="79"/>
  <c r="AH331" i="79"/>
  <c r="AO330" i="79"/>
  <c r="AP330" i="79" s="1"/>
  <c r="AM330" i="79"/>
  <c r="AN330" i="79" s="1"/>
  <c r="AK330" i="79"/>
  <c r="AL330" i="79" s="1"/>
  <c r="AI330" i="79"/>
  <c r="AJ330" i="79" s="1"/>
  <c r="T330" i="79"/>
  <c r="AO329" i="79"/>
  <c r="AP329" i="79" s="1"/>
  <c r="AM329" i="79"/>
  <c r="AN329" i="79" s="1"/>
  <c r="AK329" i="79"/>
  <c r="AL329" i="79" s="1"/>
  <c r="AI329" i="79"/>
  <c r="AJ329" i="79" s="1"/>
  <c r="AP328" i="79"/>
  <c r="AO328" i="79"/>
  <c r="AN328" i="79"/>
  <c r="AM328" i="79"/>
  <c r="AL328" i="79"/>
  <c r="AK328" i="79"/>
  <c r="AJ328" i="79"/>
  <c r="AI328" i="79"/>
  <c r="AH328" i="79"/>
  <c r="AO327" i="79"/>
  <c r="AP327" i="79" s="1"/>
  <c r="AM327" i="79"/>
  <c r="AN327" i="79" s="1"/>
  <c r="AK327" i="79"/>
  <c r="AL327" i="79" s="1"/>
  <c r="AI327" i="79"/>
  <c r="AJ327" i="79" s="1"/>
  <c r="AP326" i="79"/>
  <c r="AO326" i="79"/>
  <c r="AN326" i="79"/>
  <c r="AM326" i="79"/>
  <c r="AL326" i="79"/>
  <c r="AK326" i="79"/>
  <c r="AJ326" i="79"/>
  <c r="AI326" i="79"/>
  <c r="AH326" i="79"/>
  <c r="AO325" i="79"/>
  <c r="AP325" i="79" s="1"/>
  <c r="AM325" i="79"/>
  <c r="AN325" i="79" s="1"/>
  <c r="AK325" i="79"/>
  <c r="AL325" i="79" s="1"/>
  <c r="AI325" i="79"/>
  <c r="AJ325" i="79" s="1"/>
  <c r="AP324" i="79"/>
  <c r="AO324" i="79"/>
  <c r="AN324" i="79"/>
  <c r="AM324" i="79"/>
  <c r="AL324" i="79"/>
  <c r="AK324" i="79"/>
  <c r="AJ324" i="79"/>
  <c r="AI324" i="79"/>
  <c r="AH324" i="79"/>
  <c r="AO323" i="79"/>
  <c r="AP323" i="79" s="1"/>
  <c r="AM323" i="79"/>
  <c r="AN323" i="79" s="1"/>
  <c r="AK323" i="79"/>
  <c r="AL323" i="79" s="1"/>
  <c r="AI323" i="79"/>
  <c r="AJ323" i="79" s="1"/>
  <c r="AP322" i="79"/>
  <c r="AO322" i="79"/>
  <c r="AN322" i="79"/>
  <c r="AM322" i="79"/>
  <c r="AL322" i="79"/>
  <c r="AK322" i="79"/>
  <c r="AJ322" i="79"/>
  <c r="AI322" i="79"/>
  <c r="AH322" i="79"/>
  <c r="AO321" i="79"/>
  <c r="AP321" i="79" s="1"/>
  <c r="AM321" i="79"/>
  <c r="AN321" i="79" s="1"/>
  <c r="AK321" i="79"/>
  <c r="AL321" i="79" s="1"/>
  <c r="AI321" i="79"/>
  <c r="AJ321" i="79" s="1"/>
  <c r="AP320" i="79"/>
  <c r="AO320" i="79"/>
  <c r="AN320" i="79"/>
  <c r="AM320" i="79"/>
  <c r="AL320" i="79"/>
  <c r="AK320" i="79"/>
  <c r="AJ320" i="79"/>
  <c r="AI320" i="79"/>
  <c r="AO319" i="79"/>
  <c r="AP319" i="79" s="1"/>
  <c r="AM319" i="79"/>
  <c r="AN319" i="79" s="1"/>
  <c r="AK319" i="79"/>
  <c r="AL319" i="79" s="1"/>
  <c r="AI319" i="79"/>
  <c r="AJ319" i="79" s="1"/>
  <c r="AP318" i="79"/>
  <c r="AO318" i="79"/>
  <c r="AN318" i="79"/>
  <c r="AM318" i="79"/>
  <c r="AL318" i="79"/>
  <c r="AK318" i="79"/>
  <c r="AJ318" i="79"/>
  <c r="AH318" i="79" s="1"/>
  <c r="AI318" i="79"/>
  <c r="AE24" i="79"/>
  <c r="AC24" i="79"/>
  <c r="AA24" i="79"/>
  <c r="AE23" i="79"/>
  <c r="AC23" i="79"/>
  <c r="AA23" i="79"/>
  <c r="AE22" i="79"/>
  <c r="AC22" i="79"/>
  <c r="AA22" i="79"/>
  <c r="AE21" i="79"/>
  <c r="AC21" i="79"/>
  <c r="AA21" i="79"/>
  <c r="AE20" i="79"/>
  <c r="AC20" i="79"/>
  <c r="AA20" i="79"/>
  <c r="AE19" i="79"/>
  <c r="AC19" i="79"/>
  <c r="AA19" i="79"/>
  <c r="AE18" i="79"/>
  <c r="AC18" i="79"/>
  <c r="AA18" i="79"/>
  <c r="AE17" i="79"/>
  <c r="AC17" i="79"/>
  <c r="AA17" i="79"/>
  <c r="AE16" i="79"/>
  <c r="AC16" i="79"/>
  <c r="AA16" i="79"/>
  <c r="AE15" i="79"/>
  <c r="AC15" i="79"/>
  <c r="AA15" i="79"/>
  <c r="AE14" i="79"/>
  <c r="AC14" i="79"/>
  <c r="AA14" i="79"/>
  <c r="AE13" i="79"/>
  <c r="AC13" i="79"/>
  <c r="AA13" i="79"/>
  <c r="AE12" i="79"/>
  <c r="AC12" i="79"/>
  <c r="AA12" i="79"/>
  <c r="AE11" i="79"/>
  <c r="AC11" i="79"/>
  <c r="AA11" i="79"/>
  <c r="AE10" i="79"/>
  <c r="AC10" i="79"/>
  <c r="AA10" i="79"/>
  <c r="AE9" i="79"/>
  <c r="AC9" i="79"/>
  <c r="AA9" i="79"/>
  <c r="AE8" i="79"/>
  <c r="AC8" i="79"/>
  <c r="AA8" i="79"/>
  <c r="AE7" i="79"/>
  <c r="AC7" i="79"/>
  <c r="AA7" i="79"/>
  <c r="K1" i="79"/>
  <c r="G1" i="79"/>
  <c r="E146" i="31"/>
  <c r="E142" i="31"/>
  <c r="E28" i="31"/>
  <c r="E27" i="31"/>
  <c r="C28" i="31"/>
  <c r="E52" i="31"/>
  <c r="C52" i="31"/>
  <c r="E51" i="31"/>
  <c r="E50" i="31"/>
  <c r="G49" i="31"/>
  <c r="E46" i="31"/>
  <c r="C46" i="31"/>
  <c r="E45" i="31"/>
  <c r="E44" i="31"/>
  <c r="G44" i="31" s="1"/>
  <c r="E40" i="31"/>
  <c r="C40" i="31"/>
  <c r="E39" i="31"/>
  <c r="E38" i="31"/>
  <c r="E34" i="31"/>
  <c r="C34" i="31"/>
  <c r="E33" i="31"/>
  <c r="E32" i="31"/>
  <c r="G32" i="31" s="1"/>
  <c r="E26" i="31"/>
  <c r="G27" i="31" s="1"/>
  <c r="E22" i="31"/>
  <c r="C22" i="31"/>
  <c r="E21" i="31"/>
  <c r="G21" i="31" s="1"/>
  <c r="E20" i="31"/>
  <c r="E16" i="31"/>
  <c r="C16" i="31"/>
  <c r="E15" i="31"/>
  <c r="E14" i="31"/>
  <c r="E10" i="31"/>
  <c r="C10" i="31"/>
  <c r="E9" i="31"/>
  <c r="E8" i="31"/>
  <c r="N137" i="44"/>
  <c r="D137" i="44"/>
  <c r="F137" i="44"/>
  <c r="E10" i="67"/>
  <c r="C10" i="67"/>
  <c r="E9" i="67"/>
  <c r="E8" i="67"/>
  <c r="G8" i="67" s="1"/>
  <c r="C7" i="67"/>
  <c r="G7" i="67" s="1"/>
  <c r="AH333" i="79" l="1"/>
  <c r="AH320" i="79"/>
  <c r="G7" i="31"/>
  <c r="G13" i="31"/>
  <c r="B102" i="67"/>
  <c r="B124" i="67"/>
  <c r="AH332" i="79"/>
  <c r="AH321" i="79"/>
  <c r="AH325" i="79"/>
  <c r="AH329" i="79"/>
  <c r="AH330" i="79"/>
  <c r="B305" i="81"/>
  <c r="B304" i="81"/>
  <c r="B303" i="81"/>
  <c r="B300" i="81"/>
  <c r="B301" i="81"/>
  <c r="B302" i="81"/>
  <c r="B307" i="81"/>
  <c r="B310" i="81"/>
  <c r="B312" i="81"/>
  <c r="B311" i="81"/>
  <c r="AB7" i="81"/>
  <c r="Z7" i="81"/>
  <c r="B306" i="81"/>
  <c r="B309" i="81"/>
  <c r="B308" i="81"/>
  <c r="AF24" i="79"/>
  <c r="AF7" i="79"/>
  <c r="AF8" i="79"/>
  <c r="AF9" i="79"/>
  <c r="AF10" i="79"/>
  <c r="AF11" i="79"/>
  <c r="AF12" i="79"/>
  <c r="AF13" i="79"/>
  <c r="AF14" i="79"/>
  <c r="AF15" i="79"/>
  <c r="AF16" i="79"/>
  <c r="AF17" i="79"/>
  <c r="AF18" i="79"/>
  <c r="AF19" i="79"/>
  <c r="AF20" i="79"/>
  <c r="AF21" i="79"/>
  <c r="AF22" i="79"/>
  <c r="AF23" i="79"/>
  <c r="AH319" i="79"/>
  <c r="AH323" i="79"/>
  <c r="AH327" i="79"/>
  <c r="G15" i="31"/>
  <c r="G9" i="31"/>
  <c r="G19" i="31"/>
  <c r="G31" i="31"/>
  <c r="G38" i="31"/>
  <c r="G43" i="31"/>
  <c r="G45" i="31"/>
  <c r="G50" i="31"/>
  <c r="G33" i="31"/>
  <c r="G25" i="31"/>
  <c r="G8" i="31"/>
  <c r="G14" i="31"/>
  <c r="G16" i="31"/>
  <c r="G22" i="31"/>
  <c r="G34" i="31"/>
  <c r="G37" i="31"/>
  <c r="G39" i="31"/>
  <c r="G52" i="31"/>
  <c r="G10" i="31"/>
  <c r="G28" i="31"/>
  <c r="G40" i="31"/>
  <c r="G46" i="31"/>
  <c r="G51" i="31"/>
  <c r="G10" i="67"/>
  <c r="G9" i="67"/>
  <c r="AJ138" i="44" l="1"/>
  <c r="AJ139" i="44"/>
  <c r="AJ131" i="44"/>
  <c r="AJ12" i="44"/>
  <c r="AJ10" i="44"/>
  <c r="AJ15" i="44"/>
  <c r="AJ14" i="44"/>
  <c r="AJ21" i="44"/>
  <c r="AJ20" i="44"/>
  <c r="AJ26" i="44"/>
  <c r="AJ24" i="44"/>
  <c r="AJ37" i="44"/>
  <c r="AJ41" i="44"/>
  <c r="AJ25" i="44"/>
  <c r="AJ43" i="44"/>
  <c r="AJ38" i="44"/>
  <c r="AJ29" i="44"/>
  <c r="AJ51" i="44"/>
  <c r="AJ28" i="44"/>
  <c r="AJ55" i="44"/>
  <c r="AJ45" i="44"/>
  <c r="AJ33" i="44"/>
  <c r="AJ48" i="44"/>
  <c r="AJ63" i="44"/>
  <c r="AJ47" i="44"/>
  <c r="AJ56" i="44"/>
  <c r="AJ76" i="44"/>
  <c r="AJ85" i="44"/>
  <c r="AJ44" i="44"/>
  <c r="AJ64" i="44"/>
  <c r="AJ70" i="44"/>
  <c r="AJ69" i="44"/>
  <c r="AJ61" i="44"/>
  <c r="AJ68" i="44"/>
  <c r="AJ66" i="44"/>
  <c r="AJ52" i="44"/>
  <c r="AJ94" i="44"/>
  <c r="AJ73" i="44"/>
  <c r="AJ72" i="44"/>
  <c r="AJ101" i="44"/>
  <c r="AJ107" i="44"/>
  <c r="AJ108" i="44"/>
  <c r="AJ62" i="44"/>
  <c r="AJ111" i="44"/>
  <c r="AJ113" i="44"/>
  <c r="AJ115" i="44"/>
  <c r="AJ78" i="44"/>
  <c r="AJ77" i="44"/>
  <c r="AJ121" i="44"/>
  <c r="AJ98" i="44"/>
  <c r="AJ127" i="44"/>
  <c r="AJ81" i="44"/>
  <c r="AJ84" i="44"/>
  <c r="AJ92" i="44"/>
  <c r="AJ135" i="44"/>
  <c r="AJ140" i="44"/>
  <c r="AJ151" i="44"/>
  <c r="AJ146" i="44"/>
  <c r="AJ150" i="44"/>
  <c r="AJ155" i="44"/>
  <c r="AJ102" i="44"/>
  <c r="AJ143" i="44"/>
  <c r="AJ149" i="44"/>
  <c r="AJ147" i="44"/>
  <c r="AJ156" i="44"/>
  <c r="AJ144" i="44"/>
  <c r="AJ145" i="44"/>
  <c r="AJ148" i="44"/>
  <c r="AJ159" i="44"/>
  <c r="AJ161" i="44"/>
  <c r="AJ100" i="44"/>
  <c r="AJ164" i="44"/>
  <c r="AJ117" i="44"/>
  <c r="AJ167" i="44"/>
  <c r="AJ168" i="44"/>
  <c r="AJ170" i="44"/>
  <c r="AJ172" i="44"/>
  <c r="AJ174" i="44"/>
  <c r="AJ104" i="44"/>
  <c r="AJ176" i="44"/>
  <c r="AJ177" i="44"/>
  <c r="AJ179" i="44"/>
  <c r="AJ180" i="44"/>
  <c r="AJ181" i="44"/>
  <c r="AJ123" i="44"/>
  <c r="AJ184" i="44"/>
  <c r="AJ91" i="44"/>
  <c r="AJ187" i="44"/>
  <c r="AJ16" i="44"/>
  <c r="AJ11" i="44"/>
  <c r="AJ17" i="44"/>
  <c r="AJ13" i="44"/>
  <c r="AJ19" i="44"/>
  <c r="AJ22" i="44"/>
  <c r="AJ18" i="44"/>
  <c r="AJ27" i="44"/>
  <c r="AJ23" i="44"/>
  <c r="AJ31" i="44"/>
  <c r="AJ30" i="44"/>
  <c r="AJ40" i="44"/>
  <c r="AJ42" i="44"/>
  <c r="AJ35" i="44"/>
  <c r="AJ50" i="44"/>
  <c r="AJ34" i="44"/>
  <c r="AJ32" i="44"/>
  <c r="AJ36" i="44"/>
  <c r="AJ59" i="44"/>
  <c r="AJ39" i="44"/>
  <c r="AJ49" i="44"/>
  <c r="AJ54" i="44"/>
  <c r="AJ46" i="44"/>
  <c r="AJ53" i="44"/>
  <c r="AJ65" i="44"/>
  <c r="AJ67" i="44"/>
  <c r="AJ58" i="44"/>
  <c r="AJ60" i="44"/>
  <c r="AJ87" i="44"/>
  <c r="AJ57" i="44"/>
  <c r="AJ82" i="44"/>
  <c r="AJ89" i="44"/>
  <c r="AJ93" i="44"/>
  <c r="AJ75" i="44"/>
  <c r="AJ96" i="44"/>
  <c r="AJ74" i="44"/>
  <c r="AJ99" i="44"/>
  <c r="AJ106" i="44"/>
  <c r="AJ80" i="44"/>
  <c r="AJ109" i="44"/>
  <c r="AJ110" i="44"/>
  <c r="AJ83" i="44"/>
  <c r="AJ114" i="44"/>
  <c r="AJ116" i="44"/>
  <c r="AJ120" i="44"/>
  <c r="AJ79" i="44"/>
  <c r="AJ86" i="44"/>
  <c r="AJ126" i="44"/>
  <c r="AJ128" i="44"/>
  <c r="AJ130" i="44"/>
  <c r="AJ132" i="44"/>
  <c r="AJ134" i="44"/>
  <c r="AJ137" i="44"/>
  <c r="AJ141" i="44"/>
  <c r="AJ142" i="44"/>
  <c r="AJ154" i="44"/>
  <c r="AJ153" i="44"/>
  <c r="AJ157" i="44"/>
  <c r="AJ103" i="44"/>
  <c r="AJ71" i="44"/>
  <c r="AJ152" i="44"/>
  <c r="AJ90" i="44"/>
  <c r="AJ129" i="44"/>
  <c r="AJ125" i="44"/>
  <c r="AJ112" i="44"/>
  <c r="AJ158" i="44"/>
  <c r="AJ160" i="44"/>
  <c r="AJ162" i="44"/>
  <c r="AJ163" i="44"/>
  <c r="AJ165" i="44"/>
  <c r="AJ166" i="44"/>
  <c r="AJ122" i="44"/>
  <c r="AJ169" i="44"/>
  <c r="AJ171" i="44"/>
  <c r="AJ173" i="44"/>
  <c r="AJ175" i="44"/>
  <c r="AJ95" i="44"/>
  <c r="AJ105" i="44"/>
  <c r="AJ178" i="44"/>
  <c r="AJ88" i="44"/>
  <c r="AJ97" i="44"/>
  <c r="AJ183" i="44"/>
  <c r="AJ186" i="44"/>
  <c r="AJ188" i="44"/>
  <c r="AJ190" i="44"/>
  <c r="AJ192" i="44"/>
  <c r="AJ193" i="44"/>
  <c r="AJ195" i="44"/>
  <c r="AJ197" i="44"/>
  <c r="AJ118" i="44"/>
  <c r="AJ199" i="44"/>
  <c r="AJ119" i="44"/>
  <c r="AJ9" i="44"/>
  <c r="AJ182" i="44"/>
  <c r="AJ185" i="44"/>
  <c r="AJ136" i="44"/>
  <c r="AJ189" i="44"/>
  <c r="AJ191" i="44"/>
  <c r="AJ124" i="44"/>
  <c r="AJ194" i="44"/>
  <c r="AJ196" i="44"/>
  <c r="AJ198" i="44"/>
  <c r="AJ133" i="44"/>
  <c r="AJ200" i="44"/>
  <c r="AJ201" i="44"/>
  <c r="C140" i="31"/>
  <c r="E140" i="31" s="1"/>
  <c r="E141" i="31" s="1"/>
  <c r="B114" i="31"/>
  <c r="B110" i="31"/>
  <c r="B106" i="31"/>
  <c r="B102" i="31"/>
  <c r="C144" i="31"/>
  <c r="E144" i="31" s="1"/>
  <c r="E145" i="31" s="1"/>
  <c r="B116" i="31"/>
  <c r="C129" i="31" s="1"/>
  <c r="E133" i="31" s="1"/>
  <c r="B112" i="31"/>
  <c r="B108" i="31"/>
  <c r="B104" i="31"/>
  <c r="C198" i="67"/>
  <c r="E199" i="67" s="1"/>
  <c r="G197" i="67" l="1"/>
  <c r="J206" i="67" l="1"/>
  <c r="E52" i="67" l="1"/>
  <c r="C52" i="67"/>
  <c r="E51" i="67"/>
  <c r="E50" i="67"/>
  <c r="G50" i="67" s="1"/>
  <c r="C49" i="67"/>
  <c r="E46" i="67"/>
  <c r="C46" i="67"/>
  <c r="E45" i="67"/>
  <c r="G45" i="67" s="1"/>
  <c r="E44" i="67"/>
  <c r="C43" i="67"/>
  <c r="G43" i="67" s="1"/>
  <c r="E40" i="67"/>
  <c r="C40" i="67"/>
  <c r="E39" i="67"/>
  <c r="E38" i="67"/>
  <c r="G38" i="67" s="1"/>
  <c r="C37" i="67"/>
  <c r="E34" i="67"/>
  <c r="C34" i="67"/>
  <c r="E33" i="67"/>
  <c r="G33" i="67" s="1"/>
  <c r="E32" i="67"/>
  <c r="C31" i="67"/>
  <c r="G31" i="67" s="1"/>
  <c r="E22" i="67"/>
  <c r="C22" i="67"/>
  <c r="E21" i="67"/>
  <c r="E20" i="67"/>
  <c r="G20" i="67" s="1"/>
  <c r="C19" i="67"/>
  <c r="E16" i="67"/>
  <c r="C16" i="67"/>
  <c r="E15" i="67"/>
  <c r="G15" i="67" s="1"/>
  <c r="E14" i="67"/>
  <c r="C13" i="67"/>
  <c r="G13" i="67" s="1"/>
  <c r="E26" i="67"/>
  <c r="G26" i="67" s="1"/>
  <c r="B106" i="67" l="1"/>
  <c r="G49" i="67"/>
  <c r="G51" i="67"/>
  <c r="G52" i="67"/>
  <c r="J231" i="67" s="1"/>
  <c r="G44" i="67"/>
  <c r="G46" i="67"/>
  <c r="G37" i="67"/>
  <c r="G39" i="67"/>
  <c r="G40" i="67"/>
  <c r="G32" i="67"/>
  <c r="G34" i="67"/>
  <c r="G25" i="67"/>
  <c r="G27" i="67"/>
  <c r="G28" i="67"/>
  <c r="G19" i="67"/>
  <c r="G21" i="67"/>
  <c r="G22" i="67"/>
  <c r="G14" i="67"/>
  <c r="C206" i="67" s="1"/>
  <c r="E207" i="67" s="1"/>
  <c r="G211" i="67" s="1"/>
  <c r="J210" i="67" s="1"/>
  <c r="G16" i="67"/>
  <c r="B108" i="67" l="1"/>
  <c r="B110" i="67"/>
  <c r="C202" i="67"/>
  <c r="E203" i="67" s="1"/>
  <c r="G205" i="67" s="1"/>
  <c r="J201" i="67" s="1"/>
  <c r="C204" i="67"/>
  <c r="E220" i="67" s="1"/>
  <c r="G226" i="67" s="1"/>
  <c r="J228" i="67" s="1"/>
  <c r="B128" i="67"/>
  <c r="B132" i="67"/>
  <c r="B120" i="67"/>
  <c r="C194" i="67"/>
  <c r="E216" i="67" s="1"/>
  <c r="G217" i="67" s="1"/>
  <c r="J222" i="67" s="1"/>
  <c r="B114" i="67"/>
  <c r="B118" i="67"/>
  <c r="C208" i="67"/>
  <c r="E222" i="67" s="1"/>
  <c r="G221" i="67" s="1"/>
  <c r="J219" i="67" s="1"/>
  <c r="C200" i="67"/>
  <c r="E218" i="67" s="1"/>
  <c r="G224" i="67" s="1"/>
  <c r="J225" i="67" s="1"/>
  <c r="C196" i="67"/>
  <c r="E195" i="67" s="1"/>
  <c r="G209" i="67" s="1"/>
  <c r="J213" i="67" s="1"/>
  <c r="B116" i="67"/>
  <c r="B112" i="67"/>
  <c r="B104" i="67"/>
  <c r="B130" i="67"/>
  <c r="B126" i="67"/>
  <c r="B122" i="67"/>
  <c r="C123" i="67"/>
  <c r="C161" i="67"/>
  <c r="C119" i="67"/>
  <c r="C157" i="67"/>
  <c r="C159" i="67"/>
  <c r="C111" i="67"/>
  <c r="C127" i="67"/>
  <c r="C167" i="67"/>
  <c r="C169" i="67"/>
  <c r="C131" i="67"/>
  <c r="C155" i="67" l="1"/>
  <c r="C103" i="67"/>
  <c r="C165" i="67"/>
  <c r="C163" i="67"/>
  <c r="C115" i="67"/>
  <c r="C107" i="67"/>
  <c r="E121" i="67" l="1"/>
  <c r="E105" i="67"/>
  <c r="E140" i="67"/>
  <c r="E179" i="67"/>
  <c r="E183" i="67"/>
  <c r="E168" i="67"/>
  <c r="E160" i="67"/>
  <c r="E142" i="67"/>
  <c r="E113" i="67"/>
  <c r="E156" i="67"/>
  <c r="E138" i="67"/>
  <c r="E177" i="67"/>
  <c r="E129" i="67"/>
  <c r="E144" i="67"/>
  <c r="E181" i="67" l="1"/>
  <c r="E164" i="67"/>
  <c r="G109" i="67"/>
  <c r="G178" i="67"/>
  <c r="G143" i="67"/>
  <c r="G146" i="67"/>
  <c r="G158" i="67" l="1"/>
  <c r="G185" i="67"/>
  <c r="G172" i="67"/>
  <c r="G170" i="67"/>
  <c r="G187" i="67"/>
  <c r="G139" i="67"/>
  <c r="G131" i="67"/>
  <c r="J135" i="67" s="1"/>
  <c r="G125" i="67"/>
  <c r="G133" i="67"/>
  <c r="J132" i="67" s="1"/>
  <c r="G182" i="67"/>
  <c r="G148" i="67"/>
  <c r="J174" i="67" l="1"/>
  <c r="J189" i="67"/>
  <c r="J144" i="67"/>
  <c r="G166" i="67"/>
  <c r="J171" i="67"/>
  <c r="J186" i="67"/>
  <c r="J147" i="67"/>
  <c r="J141" i="67"/>
  <c r="J126" i="67" l="1"/>
  <c r="J150" i="67"/>
  <c r="J117" i="67"/>
  <c r="J180" i="67"/>
  <c r="J183" i="67"/>
  <c r="B301" i="67" l="1"/>
  <c r="R8" i="67" s="1"/>
  <c r="B303" i="67"/>
  <c r="R10" i="67" s="1"/>
  <c r="B305" i="67"/>
  <c r="R12" i="67" s="1"/>
  <c r="B307" i="67"/>
  <c r="R14" i="67" s="1"/>
  <c r="B300" i="67"/>
  <c r="B302" i="67"/>
  <c r="R9" i="67" s="1"/>
  <c r="B304" i="67"/>
  <c r="R11" i="67" s="1"/>
  <c r="B306" i="67"/>
  <c r="R13" i="67" s="1"/>
  <c r="J162" i="67"/>
  <c r="B309" i="67" s="1"/>
  <c r="R16" i="67" s="1"/>
  <c r="J167" i="67"/>
  <c r="B322" i="67" s="1"/>
  <c r="R29" i="67" s="1"/>
  <c r="AE10" i="44" l="1"/>
  <c r="AE24" i="44"/>
  <c r="AE26" i="44"/>
  <c r="AE34" i="44"/>
  <c r="AE9" i="44"/>
  <c r="AE27" i="44"/>
  <c r="AE35" i="44"/>
  <c r="AE69" i="44"/>
  <c r="R7" i="67"/>
  <c r="AF24" i="44"/>
  <c r="AF26" i="44"/>
  <c r="AF27" i="44"/>
  <c r="AF34" i="44"/>
  <c r="AF35" i="44"/>
  <c r="AF9" i="44"/>
  <c r="AF69" i="44"/>
  <c r="B318" i="67"/>
  <c r="R25" i="67" s="1"/>
  <c r="B314" i="67"/>
  <c r="R21" i="67" s="1"/>
  <c r="B310" i="67"/>
  <c r="R17" i="67" s="1"/>
  <c r="B323" i="67"/>
  <c r="R30" i="67" s="1"/>
  <c r="B319" i="67"/>
  <c r="R26" i="67" s="1"/>
  <c r="B315" i="67"/>
  <c r="R22" i="67" s="1"/>
  <c r="B311" i="67"/>
  <c r="R18" i="67" s="1"/>
  <c r="B324" i="67"/>
  <c r="R31" i="67" s="1"/>
  <c r="B320" i="67"/>
  <c r="R27" i="67" s="1"/>
  <c r="B316" i="67"/>
  <c r="R23" i="67" s="1"/>
  <c r="B312" i="67"/>
  <c r="R19" i="67" s="1"/>
  <c r="B308" i="67"/>
  <c r="AE14" i="44" s="1"/>
  <c r="B321" i="67"/>
  <c r="R28" i="67" s="1"/>
  <c r="B317" i="67"/>
  <c r="R24" i="67" s="1"/>
  <c r="B313" i="67"/>
  <c r="R20" i="67" s="1"/>
  <c r="AE191" i="44" l="1"/>
  <c r="AE187" i="44"/>
  <c r="AE177" i="44"/>
  <c r="AE171" i="44"/>
  <c r="AE161" i="44"/>
  <c r="AE151" i="44"/>
  <c r="AE145" i="44"/>
  <c r="AE137" i="44"/>
  <c r="AE133" i="44"/>
  <c r="AE129" i="44"/>
  <c r="AE125" i="44"/>
  <c r="AE119" i="44"/>
  <c r="AE115" i="44"/>
  <c r="AE111" i="44"/>
  <c r="AE103" i="44"/>
  <c r="AE99" i="44"/>
  <c r="AE95" i="44"/>
  <c r="AE89" i="44"/>
  <c r="AE79" i="44"/>
  <c r="AE75" i="44"/>
  <c r="AE71" i="44"/>
  <c r="AE67" i="44"/>
  <c r="AE61" i="44"/>
  <c r="AE55" i="44"/>
  <c r="AE49" i="44"/>
  <c r="AE43" i="44"/>
  <c r="AE31" i="44"/>
  <c r="AE23" i="44"/>
  <c r="AE15" i="44"/>
  <c r="AE199" i="44"/>
  <c r="AE200" i="44"/>
  <c r="AE192" i="44"/>
  <c r="AE186" i="44"/>
  <c r="AE178" i="44"/>
  <c r="AE172" i="44"/>
  <c r="AE162" i="44"/>
  <c r="AE156" i="44"/>
  <c r="AE150" i="44"/>
  <c r="AE142" i="44"/>
  <c r="AE138" i="44"/>
  <c r="AE132" i="44"/>
  <c r="AE126" i="44"/>
  <c r="AE120" i="44"/>
  <c r="AE116" i="44"/>
  <c r="AE112" i="44"/>
  <c r="AE108" i="44"/>
  <c r="AE104" i="44"/>
  <c r="AE98" i="44"/>
  <c r="AE94" i="44"/>
  <c r="AE90" i="44"/>
  <c r="AE86" i="44"/>
  <c r="AE78" i="44"/>
  <c r="AE74" i="44"/>
  <c r="AE66" i="44"/>
  <c r="AE62" i="44"/>
  <c r="AE58" i="44"/>
  <c r="AE54" i="44"/>
  <c r="AE48" i="44"/>
  <c r="AE42" i="44"/>
  <c r="AE36" i="44"/>
  <c r="AE30" i="44"/>
  <c r="AE18" i="44"/>
  <c r="AE12" i="44"/>
  <c r="AE189" i="44"/>
  <c r="AE183" i="44"/>
  <c r="AE173" i="44"/>
  <c r="AE167" i="44"/>
  <c r="AE157" i="44"/>
  <c r="AE147" i="44"/>
  <c r="AE141" i="44"/>
  <c r="AE135" i="44"/>
  <c r="AE131" i="44"/>
  <c r="AE127" i="44"/>
  <c r="AE123" i="44"/>
  <c r="AE117" i="44"/>
  <c r="AE113" i="44"/>
  <c r="AE109" i="44"/>
  <c r="AE101" i="44"/>
  <c r="AE97" i="44"/>
  <c r="AE91" i="44"/>
  <c r="AE85" i="44"/>
  <c r="AE77" i="44"/>
  <c r="AE73" i="44"/>
  <c r="AE65" i="44"/>
  <c r="AE57" i="44"/>
  <c r="AE53" i="44"/>
  <c r="AE47" i="44"/>
  <c r="AE39" i="44"/>
  <c r="AE33" i="44"/>
  <c r="AE29" i="44"/>
  <c r="AE25" i="44"/>
  <c r="AE17" i="44"/>
  <c r="AE201" i="44"/>
  <c r="AE196" i="44"/>
  <c r="AE190" i="44"/>
  <c r="AE184" i="44"/>
  <c r="AE176" i="44"/>
  <c r="AE170" i="44"/>
  <c r="AE158" i="44"/>
  <c r="AE152" i="44"/>
  <c r="AE146" i="44"/>
  <c r="AE140" i="44"/>
  <c r="AE134" i="44"/>
  <c r="AE128" i="44"/>
  <c r="AE122" i="44"/>
  <c r="AE118" i="44"/>
  <c r="AE114" i="44"/>
  <c r="AE110" i="44"/>
  <c r="AE106" i="44"/>
  <c r="AE100" i="44"/>
  <c r="AE96" i="44"/>
  <c r="AE92" i="44"/>
  <c r="AE88" i="44"/>
  <c r="AE84" i="44"/>
  <c r="AE76" i="44"/>
  <c r="AE72" i="44"/>
  <c r="AE64" i="44"/>
  <c r="AE60" i="44"/>
  <c r="AE56" i="44"/>
  <c r="AE52" i="44"/>
  <c r="AE44" i="44"/>
  <c r="AE40" i="44"/>
  <c r="AE20" i="44"/>
  <c r="AF139" i="44"/>
  <c r="AF29" i="44"/>
  <c r="AF194" i="44"/>
  <c r="AF124" i="44"/>
  <c r="AF191" i="44"/>
  <c r="AF189" i="44"/>
  <c r="AF186" i="44"/>
  <c r="AF181" i="44"/>
  <c r="AF178" i="44"/>
  <c r="AF174" i="44"/>
  <c r="AF168" i="44"/>
  <c r="AF117" i="44"/>
  <c r="AF160" i="44"/>
  <c r="AF197" i="44"/>
  <c r="AF190" i="44"/>
  <c r="AF188" i="44"/>
  <c r="AF187" i="44"/>
  <c r="AF91" i="44"/>
  <c r="AF184" i="44"/>
  <c r="AF123" i="44"/>
  <c r="AF180" i="44"/>
  <c r="AF105" i="44"/>
  <c r="AF164" i="44"/>
  <c r="AF138" i="44"/>
  <c r="AF119" i="44"/>
  <c r="AF199" i="44"/>
  <c r="AF118" i="44"/>
  <c r="AF195" i="44"/>
  <c r="AF193" i="44"/>
  <c r="AF192" i="44"/>
  <c r="AF183" i="44"/>
  <c r="AF182" i="44"/>
  <c r="AF97" i="44"/>
  <c r="AF179" i="44"/>
  <c r="AF177" i="44"/>
  <c r="AF95" i="44"/>
  <c r="AF175" i="44"/>
  <c r="AF173" i="44"/>
  <c r="AF171" i="44"/>
  <c r="AF169" i="44"/>
  <c r="AF122" i="44"/>
  <c r="AF166" i="44"/>
  <c r="AF100" i="44"/>
  <c r="AF161" i="44"/>
  <c r="AF201" i="44"/>
  <c r="AF200" i="44"/>
  <c r="AF133" i="44"/>
  <c r="AF198" i="44"/>
  <c r="AF196" i="44"/>
  <c r="AF136" i="44"/>
  <c r="AF185" i="44"/>
  <c r="AF88" i="44"/>
  <c r="AF176" i="44"/>
  <c r="AF104" i="44"/>
  <c r="AF172" i="44"/>
  <c r="AF170" i="44"/>
  <c r="AF167" i="44"/>
  <c r="AF165" i="44"/>
  <c r="AF163" i="44"/>
  <c r="AF162" i="44"/>
  <c r="AF131" i="44"/>
  <c r="AF159" i="44"/>
  <c r="AF148" i="44"/>
  <c r="AF145" i="44"/>
  <c r="AF144" i="44"/>
  <c r="AF156" i="44"/>
  <c r="AF147" i="44"/>
  <c r="AF149" i="44"/>
  <c r="AF143" i="44"/>
  <c r="AF102" i="44"/>
  <c r="AF155" i="44"/>
  <c r="AF150" i="44"/>
  <c r="AF154" i="44"/>
  <c r="AF142" i="44"/>
  <c r="AF140" i="44"/>
  <c r="AF134" i="44"/>
  <c r="AF132" i="44"/>
  <c r="AF130" i="44"/>
  <c r="AF128" i="44"/>
  <c r="AF126" i="44"/>
  <c r="AF86" i="44"/>
  <c r="AF79" i="44"/>
  <c r="AF120" i="44"/>
  <c r="AF115" i="44"/>
  <c r="AF83" i="44"/>
  <c r="AF108" i="44"/>
  <c r="AF106" i="44"/>
  <c r="AF82" i="44"/>
  <c r="AF96" i="44"/>
  <c r="AF66" i="44"/>
  <c r="AF53" i="44"/>
  <c r="AF70" i="44"/>
  <c r="AF85" i="44"/>
  <c r="AF46" i="44"/>
  <c r="AF54" i="44"/>
  <c r="AF39" i="44"/>
  <c r="AF45" i="44"/>
  <c r="AF50" i="44"/>
  <c r="AF42" i="44"/>
  <c r="AF31" i="44"/>
  <c r="AF22" i="44"/>
  <c r="AF13" i="44"/>
  <c r="AF11" i="44"/>
  <c r="R15" i="67"/>
  <c r="AF12" i="44"/>
  <c r="AF16" i="44"/>
  <c r="AF17" i="44"/>
  <c r="AF20" i="44"/>
  <c r="AF14" i="44"/>
  <c r="AF19" i="44"/>
  <c r="AF21" i="44"/>
  <c r="AF37" i="44"/>
  <c r="AF41" i="44"/>
  <c r="AF40" i="44"/>
  <c r="AF51" i="44"/>
  <c r="AF32" i="44"/>
  <c r="AF36" i="44"/>
  <c r="AF38" i="44"/>
  <c r="AF59" i="44"/>
  <c r="AF55" i="44"/>
  <c r="AF48" i="44"/>
  <c r="AF47" i="44"/>
  <c r="AF56" i="44"/>
  <c r="AF49" i="44"/>
  <c r="AF67" i="44"/>
  <c r="AF60" i="44"/>
  <c r="AF87" i="44"/>
  <c r="AF61" i="44"/>
  <c r="AF65" i="44"/>
  <c r="AF89" i="44"/>
  <c r="AF93" i="44"/>
  <c r="AF75" i="44"/>
  <c r="AF73" i="44"/>
  <c r="AF72" i="44"/>
  <c r="AF99" i="44"/>
  <c r="AF58" i="44"/>
  <c r="AF94" i="44"/>
  <c r="AF80" i="44"/>
  <c r="AF109" i="44"/>
  <c r="AF111" i="44"/>
  <c r="AF44" i="44"/>
  <c r="AF114" i="44"/>
  <c r="AF116" i="44"/>
  <c r="AF137" i="44"/>
  <c r="AF158" i="44"/>
  <c r="AF112" i="44"/>
  <c r="AF125" i="44"/>
  <c r="AF129" i="44"/>
  <c r="AF90" i="44"/>
  <c r="AF152" i="44"/>
  <c r="AF71" i="44"/>
  <c r="AF103" i="44"/>
  <c r="AF157" i="44"/>
  <c r="AF153" i="44"/>
  <c r="AF62" i="44"/>
  <c r="AF146" i="44"/>
  <c r="AF151" i="44"/>
  <c r="AF141" i="44"/>
  <c r="AF135" i="44"/>
  <c r="AF92" i="44"/>
  <c r="AF84" i="44"/>
  <c r="AF81" i="44"/>
  <c r="AF127" i="44"/>
  <c r="AF98" i="44"/>
  <c r="AF121" i="44"/>
  <c r="AF77" i="44"/>
  <c r="AF78" i="44"/>
  <c r="AF113" i="44"/>
  <c r="AF110" i="44"/>
  <c r="AF107" i="44"/>
  <c r="AF101" i="44"/>
  <c r="AF74" i="44"/>
  <c r="AF52" i="44"/>
  <c r="AF68" i="44"/>
  <c r="AF57" i="44"/>
  <c r="AF64" i="44"/>
  <c r="AF76" i="44"/>
  <c r="AF63" i="44"/>
  <c r="AF33" i="44"/>
  <c r="AF30" i="44"/>
  <c r="AF28" i="44"/>
  <c r="AF43" i="44"/>
  <c r="AF25" i="44"/>
  <c r="AF23" i="44"/>
  <c r="AF18" i="44"/>
  <c r="AF15" i="44"/>
  <c r="AF10" i="44"/>
  <c r="A4" i="31" l="1"/>
  <c r="A2" i="31"/>
  <c r="A4" i="67"/>
  <c r="A2" i="67"/>
  <c r="E150" i="31" l="1"/>
  <c r="H149" i="31" s="1"/>
  <c r="H143" i="31"/>
  <c r="C115" i="31"/>
  <c r="C127" i="31"/>
  <c r="E128" i="31" s="1"/>
  <c r="H129" i="31" s="1"/>
  <c r="C107" i="31"/>
  <c r="C123" i="31"/>
  <c r="H146" i="31"/>
  <c r="E148" i="31"/>
  <c r="H152" i="31" s="1"/>
  <c r="C111" i="31"/>
  <c r="E119" i="31" s="1"/>
  <c r="C125" i="31"/>
  <c r="E131" i="31" s="1"/>
  <c r="C103" i="31"/>
  <c r="E117" i="31" s="1"/>
  <c r="H121" i="31" s="1"/>
  <c r="V20" i="75"/>
  <c r="V19" i="75"/>
  <c r="V18" i="75"/>
  <c r="V17" i="75"/>
  <c r="V16" i="75"/>
  <c r="V15" i="75"/>
  <c r="V14" i="75"/>
  <c r="V13" i="75"/>
  <c r="V12" i="75"/>
  <c r="V11" i="75"/>
  <c r="V10" i="75"/>
  <c r="V9" i="75"/>
  <c r="V8" i="75"/>
  <c r="V7" i="75"/>
  <c r="AA16" i="77"/>
  <c r="AA17" i="77"/>
  <c r="AA14" i="77"/>
  <c r="AA11" i="77"/>
  <c r="AA19" i="78"/>
  <c r="AA20" i="78"/>
  <c r="AA21" i="78"/>
  <c r="AA11" i="78"/>
  <c r="R8" i="78"/>
  <c r="R7" i="78"/>
  <c r="R11" i="69"/>
  <c r="R24" i="69"/>
  <c r="R23" i="69"/>
  <c r="R22" i="69"/>
  <c r="R21" i="69"/>
  <c r="R20" i="69"/>
  <c r="R19" i="69"/>
  <c r="R18" i="69"/>
  <c r="R17" i="69"/>
  <c r="R16" i="69"/>
  <c r="R15" i="69"/>
  <c r="R14" i="69"/>
  <c r="R13" i="69"/>
  <c r="R12" i="69"/>
  <c r="R10" i="69"/>
  <c r="R9" i="69"/>
  <c r="R8" i="69"/>
  <c r="R7" i="69"/>
  <c r="N11" i="69"/>
  <c r="N24" i="69"/>
  <c r="N23" i="69"/>
  <c r="N22" i="69"/>
  <c r="N21" i="69"/>
  <c r="N20" i="69"/>
  <c r="N19" i="69"/>
  <c r="N18" i="69"/>
  <c r="N17" i="69"/>
  <c r="N16" i="69"/>
  <c r="N15" i="69"/>
  <c r="N14" i="69"/>
  <c r="N13" i="69"/>
  <c r="N12" i="69"/>
  <c r="N10" i="69"/>
  <c r="N9" i="69"/>
  <c r="N8" i="69"/>
  <c r="N7" i="69"/>
  <c r="J24" i="69"/>
  <c r="J23" i="69"/>
  <c r="J22" i="69"/>
  <c r="J21" i="69"/>
  <c r="J20" i="69"/>
  <c r="J19" i="69"/>
  <c r="J18" i="69"/>
  <c r="J17" i="69"/>
  <c r="J16" i="69"/>
  <c r="J15" i="69"/>
  <c r="J14" i="69"/>
  <c r="J13" i="69"/>
  <c r="J12" i="69"/>
  <c r="J11" i="69"/>
  <c r="J10" i="69"/>
  <c r="J9" i="69"/>
  <c r="J8" i="69"/>
  <c r="J7" i="69"/>
  <c r="F24" i="69"/>
  <c r="F23" i="69"/>
  <c r="F22" i="69"/>
  <c r="F21" i="69"/>
  <c r="F20" i="69"/>
  <c r="F19" i="69"/>
  <c r="F18" i="69"/>
  <c r="F17" i="69"/>
  <c r="F16" i="69"/>
  <c r="F15" i="69"/>
  <c r="F14" i="69"/>
  <c r="F13" i="69"/>
  <c r="F12" i="69"/>
  <c r="F11" i="69"/>
  <c r="F10" i="69"/>
  <c r="F9" i="69"/>
  <c r="F7" i="69"/>
  <c r="F8" i="69"/>
  <c r="N30" i="76"/>
  <c r="N29" i="76"/>
  <c r="N28" i="76"/>
  <c r="N27" i="76"/>
  <c r="N26" i="76"/>
  <c r="N25" i="76"/>
  <c r="N24" i="76"/>
  <c r="N23" i="76"/>
  <c r="N22" i="76"/>
  <c r="N21" i="76"/>
  <c r="N20" i="76"/>
  <c r="N19" i="76"/>
  <c r="N18" i="76"/>
  <c r="N17" i="76"/>
  <c r="N16" i="76"/>
  <c r="N15" i="76"/>
  <c r="N14" i="76"/>
  <c r="N13" i="76"/>
  <c r="N12" i="76"/>
  <c r="N11" i="76"/>
  <c r="N10" i="76"/>
  <c r="N9" i="76"/>
  <c r="N8" i="76"/>
  <c r="N7" i="76"/>
  <c r="J30" i="76"/>
  <c r="J29" i="76"/>
  <c r="J28" i="76"/>
  <c r="J27" i="76"/>
  <c r="J26" i="76"/>
  <c r="J25" i="76"/>
  <c r="J24" i="76"/>
  <c r="J23" i="76"/>
  <c r="J22" i="76"/>
  <c r="J21" i="76"/>
  <c r="J20" i="76"/>
  <c r="J19" i="76"/>
  <c r="J18" i="76"/>
  <c r="J17" i="76"/>
  <c r="J16" i="76"/>
  <c r="J15" i="76"/>
  <c r="J14" i="76"/>
  <c r="J13" i="76"/>
  <c r="J12" i="76"/>
  <c r="J11" i="76"/>
  <c r="J10" i="76"/>
  <c r="J9" i="76"/>
  <c r="J8" i="76"/>
  <c r="J7" i="76"/>
  <c r="F17" i="76"/>
  <c r="F30" i="76"/>
  <c r="F29" i="76"/>
  <c r="F28" i="76"/>
  <c r="F27" i="76"/>
  <c r="F26" i="76"/>
  <c r="F25" i="76"/>
  <c r="F24" i="76"/>
  <c r="F23" i="76"/>
  <c r="F22" i="76"/>
  <c r="F21" i="76"/>
  <c r="F20" i="76"/>
  <c r="F19" i="76"/>
  <c r="F18" i="76"/>
  <c r="F16" i="76"/>
  <c r="F15" i="76"/>
  <c r="F14" i="76"/>
  <c r="F13" i="76"/>
  <c r="F12" i="76"/>
  <c r="F11" i="76"/>
  <c r="F10" i="76"/>
  <c r="F9" i="76"/>
  <c r="F8" i="76"/>
  <c r="F7" i="76"/>
  <c r="R20" i="75"/>
  <c r="R19" i="75"/>
  <c r="R18" i="75"/>
  <c r="R17" i="75"/>
  <c r="R16" i="75"/>
  <c r="R15" i="75"/>
  <c r="R14" i="75"/>
  <c r="R13" i="75"/>
  <c r="R12" i="75"/>
  <c r="R11" i="75"/>
  <c r="R10" i="75"/>
  <c r="R9" i="75"/>
  <c r="R8" i="75"/>
  <c r="R7" i="75"/>
  <c r="N20" i="75"/>
  <c r="N19" i="75"/>
  <c r="N18" i="75"/>
  <c r="N17" i="75"/>
  <c r="N16" i="75"/>
  <c r="N15" i="75"/>
  <c r="N14" i="75"/>
  <c r="N13" i="75"/>
  <c r="N12" i="75"/>
  <c r="N11" i="75"/>
  <c r="N10" i="75"/>
  <c r="N9" i="75"/>
  <c r="N8" i="75"/>
  <c r="N7" i="75"/>
  <c r="J20" i="75"/>
  <c r="J19" i="75"/>
  <c r="J18" i="75"/>
  <c r="J17" i="75"/>
  <c r="J16" i="75"/>
  <c r="J15" i="75"/>
  <c r="J14" i="75"/>
  <c r="J13" i="75"/>
  <c r="J12" i="75"/>
  <c r="J11" i="75"/>
  <c r="J10" i="75"/>
  <c r="J9" i="75"/>
  <c r="J8" i="75"/>
  <c r="J7" i="75"/>
  <c r="F20" i="75"/>
  <c r="F19" i="75"/>
  <c r="F18" i="75"/>
  <c r="F17" i="75"/>
  <c r="F16" i="75"/>
  <c r="F15" i="75"/>
  <c r="F14" i="75"/>
  <c r="F13" i="75"/>
  <c r="F12" i="75"/>
  <c r="F11" i="75"/>
  <c r="F10" i="75"/>
  <c r="F9" i="75"/>
  <c r="F8" i="75"/>
  <c r="F7" i="75"/>
  <c r="R21" i="78"/>
  <c r="R20" i="78"/>
  <c r="R18" i="78"/>
  <c r="R17" i="78"/>
  <c r="R16" i="78"/>
  <c r="R15" i="78"/>
  <c r="R14" i="78"/>
  <c r="R13" i="78"/>
  <c r="R12" i="78"/>
  <c r="R11" i="78"/>
  <c r="R10" i="78"/>
  <c r="R9" i="78"/>
  <c r="N20" i="78"/>
  <c r="N19" i="78"/>
  <c r="N18" i="78"/>
  <c r="N17" i="78"/>
  <c r="N16" i="78"/>
  <c r="N15" i="78"/>
  <c r="N14" i="78"/>
  <c r="N13" i="78"/>
  <c r="N12" i="78"/>
  <c r="N11" i="78"/>
  <c r="N10" i="78"/>
  <c r="N9" i="78"/>
  <c r="N8" i="78"/>
  <c r="N7" i="78"/>
  <c r="J21" i="78"/>
  <c r="J19" i="78"/>
  <c r="J18" i="78"/>
  <c r="J17" i="78"/>
  <c r="J16" i="78"/>
  <c r="J15" i="78"/>
  <c r="J14" i="78"/>
  <c r="J13" i="78"/>
  <c r="J12" i="78"/>
  <c r="J11" i="78"/>
  <c r="J10" i="78"/>
  <c r="J9" i="78"/>
  <c r="J8" i="78"/>
  <c r="J7" i="78"/>
  <c r="F21" i="78"/>
  <c r="F20" i="78"/>
  <c r="F19" i="78"/>
  <c r="F18" i="78"/>
  <c r="F17" i="78"/>
  <c r="F16" i="78"/>
  <c r="F15" i="78"/>
  <c r="F14" i="78"/>
  <c r="F13" i="78"/>
  <c r="F12" i="78"/>
  <c r="F10" i="78"/>
  <c r="F9" i="78"/>
  <c r="F8" i="78"/>
  <c r="F7" i="78"/>
  <c r="R18" i="73"/>
  <c r="R17" i="73"/>
  <c r="R16" i="73"/>
  <c r="R15" i="73"/>
  <c r="R14" i="73"/>
  <c r="R13" i="73"/>
  <c r="R12" i="73"/>
  <c r="R11" i="73"/>
  <c r="R10" i="73"/>
  <c r="R9" i="73"/>
  <c r="R8" i="73"/>
  <c r="R7" i="73"/>
  <c r="N18" i="73"/>
  <c r="N17" i="73"/>
  <c r="N16" i="73"/>
  <c r="N15" i="73"/>
  <c r="N14" i="73"/>
  <c r="N13" i="73"/>
  <c r="N12" i="73"/>
  <c r="N11" i="73"/>
  <c r="N10" i="73"/>
  <c r="N9" i="73"/>
  <c r="N8" i="73"/>
  <c r="N7" i="73"/>
  <c r="J18" i="73"/>
  <c r="J17" i="73"/>
  <c r="J16" i="73"/>
  <c r="J15" i="73"/>
  <c r="J14" i="73"/>
  <c r="J7" i="73"/>
  <c r="J13" i="73"/>
  <c r="J12" i="73"/>
  <c r="J11" i="73"/>
  <c r="J10" i="73"/>
  <c r="J9" i="73"/>
  <c r="J8" i="73"/>
  <c r="F7" i="73"/>
  <c r="F18" i="73"/>
  <c r="F17" i="73"/>
  <c r="F16" i="73"/>
  <c r="F15" i="73"/>
  <c r="F14" i="73"/>
  <c r="F13" i="73"/>
  <c r="F12" i="73"/>
  <c r="F11" i="73"/>
  <c r="F9" i="73"/>
  <c r="F8" i="73"/>
  <c r="R16" i="77"/>
  <c r="R15" i="77"/>
  <c r="R14" i="77"/>
  <c r="R13" i="77"/>
  <c r="R12" i="77"/>
  <c r="R11" i="77"/>
  <c r="R10" i="77"/>
  <c r="R9" i="77"/>
  <c r="R8" i="77"/>
  <c r="R7" i="77"/>
  <c r="N17" i="77"/>
  <c r="N16" i="77"/>
  <c r="N15" i="77"/>
  <c r="N13" i="77"/>
  <c r="N12" i="77"/>
  <c r="N11" i="77"/>
  <c r="N10" i="77"/>
  <c r="N9" i="77"/>
  <c r="N8" i="77"/>
  <c r="N7" i="77"/>
  <c r="J17" i="77"/>
  <c r="J15" i="77"/>
  <c r="J14" i="77"/>
  <c r="J13" i="77"/>
  <c r="J12" i="77"/>
  <c r="J11" i="77"/>
  <c r="J10" i="77"/>
  <c r="J9" i="77"/>
  <c r="J8" i="77"/>
  <c r="J7" i="77"/>
  <c r="F17" i="77"/>
  <c r="F16" i="77"/>
  <c r="F15" i="77"/>
  <c r="F14" i="77"/>
  <c r="F13" i="77"/>
  <c r="F12" i="77"/>
  <c r="F9" i="77"/>
  <c r="F8" i="77"/>
  <c r="F7" i="77"/>
  <c r="R30" i="76"/>
  <c r="R29" i="76"/>
  <c r="R28" i="76"/>
  <c r="R27" i="76"/>
  <c r="R26" i="76"/>
  <c r="R25" i="76"/>
  <c r="R24" i="76"/>
  <c r="R23" i="76"/>
  <c r="R22" i="76"/>
  <c r="R21" i="76"/>
  <c r="R20" i="76"/>
  <c r="R19" i="76"/>
  <c r="R18" i="76"/>
  <c r="R17" i="76"/>
  <c r="R16" i="76"/>
  <c r="R15" i="76"/>
  <c r="R14" i="76"/>
  <c r="R13" i="76"/>
  <c r="R12" i="76"/>
  <c r="R11" i="76"/>
  <c r="R10" i="76"/>
  <c r="R9" i="76"/>
  <c r="R8" i="76"/>
  <c r="R7" i="76"/>
  <c r="H132" i="31" l="1"/>
  <c r="H135" i="31"/>
  <c r="E124" i="31"/>
  <c r="H126" i="31" s="1"/>
  <c r="H118" i="31"/>
  <c r="E105" i="31"/>
  <c r="H109" i="31" s="1"/>
  <c r="E113" i="31"/>
  <c r="N52" i="44"/>
  <c r="D52" i="44"/>
  <c r="F52" i="44"/>
  <c r="D99" i="44"/>
  <c r="F99" i="44"/>
  <c r="N99" i="44"/>
  <c r="B130" i="44"/>
  <c r="A4" i="78"/>
  <c r="A2" i="78"/>
  <c r="T333" i="78"/>
  <c r="T330" i="78"/>
  <c r="AE21" i="78"/>
  <c r="AC21" i="78"/>
  <c r="AE20" i="78"/>
  <c r="AC20" i="78"/>
  <c r="AE19" i="78"/>
  <c r="AC19" i="78"/>
  <c r="AE18" i="78"/>
  <c r="AC18" i="78"/>
  <c r="AA18" i="78"/>
  <c r="AE17" i="78"/>
  <c r="AC17" i="78"/>
  <c r="AA17" i="78"/>
  <c r="AE16" i="78"/>
  <c r="AC16" i="78"/>
  <c r="AA16" i="78"/>
  <c r="AE15" i="78"/>
  <c r="AC15" i="78"/>
  <c r="AA15" i="78"/>
  <c r="AE14" i="78"/>
  <c r="AC14" i="78"/>
  <c r="AA14" i="78"/>
  <c r="AE13" i="78"/>
  <c r="AC13" i="78"/>
  <c r="AA13" i="78"/>
  <c r="AE12" i="78"/>
  <c r="AC12" i="78"/>
  <c r="AA12" i="78"/>
  <c r="AE11" i="78"/>
  <c r="AC11" i="78"/>
  <c r="AE10" i="78"/>
  <c r="AC10" i="78"/>
  <c r="AA10" i="78"/>
  <c r="AE9" i="78"/>
  <c r="AC9" i="78"/>
  <c r="AA9" i="78"/>
  <c r="AE8" i="78"/>
  <c r="AC8" i="78"/>
  <c r="AA8" i="78"/>
  <c r="AE7" i="78"/>
  <c r="AC7" i="78"/>
  <c r="AA7" i="78"/>
  <c r="K1" i="78"/>
  <c r="G1" i="78"/>
  <c r="N106" i="44"/>
  <c r="D106" i="44"/>
  <c r="F106" i="44"/>
  <c r="A4" i="77"/>
  <c r="A2" i="77"/>
  <c r="AE17" i="77"/>
  <c r="AC17" i="77"/>
  <c r="AE16" i="77"/>
  <c r="AC16" i="77"/>
  <c r="AE15" i="77"/>
  <c r="AC15" i="77"/>
  <c r="AA15" i="77"/>
  <c r="AE14" i="77"/>
  <c r="AC14" i="77"/>
  <c r="AE13" i="77"/>
  <c r="AC13" i="77"/>
  <c r="AA13" i="77"/>
  <c r="AE12" i="77"/>
  <c r="AC12" i="77"/>
  <c r="AA12" i="77"/>
  <c r="AE11" i="77"/>
  <c r="AC11" i="77"/>
  <c r="AE10" i="77"/>
  <c r="AC10" i="77"/>
  <c r="AA10" i="77"/>
  <c r="AE9" i="77"/>
  <c r="AC9" i="77"/>
  <c r="AA9" i="77"/>
  <c r="AE8" i="77"/>
  <c r="AC8" i="77"/>
  <c r="AA8" i="77"/>
  <c r="AE7" i="77"/>
  <c r="AC7" i="77"/>
  <c r="AA7" i="77"/>
  <c r="K1" i="77"/>
  <c r="G1" i="77"/>
  <c r="H114" i="31" l="1"/>
  <c r="B309" i="31"/>
  <c r="R16" i="31" s="1"/>
  <c r="B307" i="31"/>
  <c r="R14" i="31" s="1"/>
  <c r="B305" i="31"/>
  <c r="R12" i="31" s="1"/>
  <c r="B303" i="31"/>
  <c r="R10" i="31" s="1"/>
  <c r="B301" i="31"/>
  <c r="R8" i="31" s="1"/>
  <c r="B308" i="31"/>
  <c r="R15" i="31" s="1"/>
  <c r="B306" i="31"/>
  <c r="R13" i="31" s="1"/>
  <c r="B304" i="31"/>
  <c r="R11" i="31" s="1"/>
  <c r="B302" i="31"/>
  <c r="R9" i="31" s="1"/>
  <c r="B300" i="31"/>
  <c r="AF11" i="78"/>
  <c r="AF21" i="78"/>
  <c r="AF19" i="78"/>
  <c r="AF17" i="78"/>
  <c r="AF15" i="78"/>
  <c r="AF13" i="78"/>
  <c r="AF9" i="78"/>
  <c r="AF7" i="78"/>
  <c r="AF8" i="78"/>
  <c r="AF10" i="78"/>
  <c r="AF12" i="78"/>
  <c r="AF14" i="78"/>
  <c r="AF16" i="78"/>
  <c r="AF18" i="78"/>
  <c r="AF20" i="78"/>
  <c r="C161" i="78"/>
  <c r="G169" i="78" s="1"/>
  <c r="M173" i="78" s="1"/>
  <c r="AF16" i="77"/>
  <c r="AF14" i="77"/>
  <c r="AF12" i="77"/>
  <c r="AF10" i="77"/>
  <c r="AF8" i="77"/>
  <c r="AF7" i="77"/>
  <c r="AF9" i="77"/>
  <c r="AF11" i="77"/>
  <c r="AF13" i="77"/>
  <c r="AF15" i="77"/>
  <c r="AF17" i="77"/>
  <c r="N116" i="44"/>
  <c r="N94" i="44"/>
  <c r="D116" i="44"/>
  <c r="F116" i="44"/>
  <c r="D94" i="44"/>
  <c r="F94" i="44"/>
  <c r="AO333" i="76"/>
  <c r="AP333" i="76" s="1"/>
  <c r="AM333" i="76"/>
  <c r="AN333" i="76" s="1"/>
  <c r="AK333" i="76"/>
  <c r="AL333" i="76" s="1"/>
  <c r="AI333" i="76"/>
  <c r="AJ333" i="76" s="1"/>
  <c r="AO332" i="76"/>
  <c r="AP332" i="76" s="1"/>
  <c r="AM332" i="76"/>
  <c r="AN332" i="76" s="1"/>
  <c r="AK332" i="76"/>
  <c r="AL332" i="76" s="1"/>
  <c r="AI332" i="76"/>
  <c r="AJ332" i="76" s="1"/>
  <c r="AO331" i="76"/>
  <c r="AP331" i="76" s="1"/>
  <c r="AM331" i="76"/>
  <c r="AN331" i="76" s="1"/>
  <c r="AK331" i="76"/>
  <c r="AL331" i="76" s="1"/>
  <c r="AI331" i="76"/>
  <c r="AJ331" i="76" s="1"/>
  <c r="AO330" i="76"/>
  <c r="AP330" i="76" s="1"/>
  <c r="AM330" i="76"/>
  <c r="AN330" i="76" s="1"/>
  <c r="AK330" i="76"/>
  <c r="AL330" i="76" s="1"/>
  <c r="AI330" i="76"/>
  <c r="AJ330" i="76" s="1"/>
  <c r="AO329" i="76"/>
  <c r="AP329" i="76" s="1"/>
  <c r="AM329" i="76"/>
  <c r="AN329" i="76" s="1"/>
  <c r="AK329" i="76"/>
  <c r="AL329" i="76" s="1"/>
  <c r="AI329" i="76"/>
  <c r="AJ329" i="76" s="1"/>
  <c r="AP328" i="76"/>
  <c r="AO328" i="76"/>
  <c r="AN328" i="76"/>
  <c r="AM328" i="76"/>
  <c r="AL328" i="76"/>
  <c r="AK328" i="76"/>
  <c r="AJ328" i="76"/>
  <c r="AH328" i="76" s="1"/>
  <c r="AI328" i="76"/>
  <c r="AO327" i="76"/>
  <c r="AP327" i="76" s="1"/>
  <c r="AM327" i="76"/>
  <c r="AN327" i="76" s="1"/>
  <c r="AK327" i="76"/>
  <c r="AL327" i="76" s="1"/>
  <c r="AI327" i="76"/>
  <c r="AJ327" i="76" s="1"/>
  <c r="AO326" i="76"/>
  <c r="AP326" i="76" s="1"/>
  <c r="AM326" i="76"/>
  <c r="AN326" i="76" s="1"/>
  <c r="AK326" i="76"/>
  <c r="AL326" i="76" s="1"/>
  <c r="AI326" i="76"/>
  <c r="AJ326" i="76" s="1"/>
  <c r="AO325" i="76"/>
  <c r="AP325" i="76" s="1"/>
  <c r="AM325" i="76"/>
  <c r="AN325" i="76" s="1"/>
  <c r="AK325" i="76"/>
  <c r="AL325" i="76" s="1"/>
  <c r="AI325" i="76"/>
  <c r="AJ325" i="76" s="1"/>
  <c r="AP324" i="76"/>
  <c r="AO324" i="76"/>
  <c r="AN324" i="76"/>
  <c r="AM324" i="76"/>
  <c r="AL324" i="76"/>
  <c r="AK324" i="76"/>
  <c r="AJ324" i="76"/>
  <c r="AH324" i="76" s="1"/>
  <c r="AI324" i="76"/>
  <c r="AA29" i="76"/>
  <c r="AC29" i="76"/>
  <c r="AE29" i="76"/>
  <c r="AF29" i="76" s="1"/>
  <c r="AA30" i="76"/>
  <c r="AC30" i="76"/>
  <c r="AE30" i="76"/>
  <c r="AF30" i="76" s="1"/>
  <c r="AA25" i="76"/>
  <c r="AC25" i="76"/>
  <c r="AE25" i="76"/>
  <c r="AF25" i="76" s="1"/>
  <c r="AA26" i="76"/>
  <c r="AC26" i="76"/>
  <c r="AE26" i="76"/>
  <c r="AF26" i="76" s="1"/>
  <c r="AA27" i="76"/>
  <c r="AC27" i="76"/>
  <c r="AE27" i="76"/>
  <c r="AF27" i="76" s="1"/>
  <c r="AA28" i="76"/>
  <c r="AC28" i="76"/>
  <c r="AE28" i="76"/>
  <c r="AF28" i="76" s="1"/>
  <c r="A4" i="76"/>
  <c r="A2" i="76"/>
  <c r="T333" i="76"/>
  <c r="T330" i="76"/>
  <c r="AE24" i="76"/>
  <c r="AC24" i="76"/>
  <c r="AA24" i="76"/>
  <c r="AE23" i="76"/>
  <c r="AC23" i="76"/>
  <c r="AA23" i="76"/>
  <c r="AE22" i="76"/>
  <c r="AC22" i="76"/>
  <c r="AA22" i="76"/>
  <c r="AE21" i="76"/>
  <c r="AC21" i="76"/>
  <c r="AA21" i="76"/>
  <c r="AE20" i="76"/>
  <c r="AC20" i="76"/>
  <c r="AA20" i="76"/>
  <c r="AE19" i="76"/>
  <c r="AC19" i="76"/>
  <c r="AA19" i="76"/>
  <c r="AE18" i="76"/>
  <c r="AC18" i="76"/>
  <c r="AA18" i="76"/>
  <c r="AE17" i="76"/>
  <c r="AC17" i="76"/>
  <c r="AA17" i="76"/>
  <c r="AE16" i="76"/>
  <c r="AC16" i="76"/>
  <c r="AA16" i="76"/>
  <c r="AE15" i="76"/>
  <c r="AC15" i="76"/>
  <c r="AA15" i="76"/>
  <c r="AE14" i="76"/>
  <c r="AC14" i="76"/>
  <c r="AA14" i="76"/>
  <c r="AE13" i="76"/>
  <c r="AC13" i="76"/>
  <c r="AA13" i="76"/>
  <c r="AE12" i="76"/>
  <c r="AC12" i="76"/>
  <c r="AA12" i="76"/>
  <c r="AE11" i="76"/>
  <c r="AC11" i="76"/>
  <c r="AA11" i="76"/>
  <c r="AE10" i="76"/>
  <c r="AC10" i="76"/>
  <c r="AA10" i="76"/>
  <c r="AE9" i="76"/>
  <c r="AC9" i="76"/>
  <c r="AA9" i="76"/>
  <c r="AE8" i="76"/>
  <c r="AC8" i="76"/>
  <c r="AA8" i="76"/>
  <c r="AE7" i="76"/>
  <c r="AC7" i="76"/>
  <c r="AA7" i="76"/>
  <c r="K1" i="76"/>
  <c r="G1" i="76"/>
  <c r="AG10" i="44" l="1"/>
  <c r="R7" i="31"/>
  <c r="AG137" i="44"/>
  <c r="AG112" i="44"/>
  <c r="AG129" i="44"/>
  <c r="AG152" i="44"/>
  <c r="AG103" i="44"/>
  <c r="AG153" i="44"/>
  <c r="AG146" i="44"/>
  <c r="AG141" i="44"/>
  <c r="AG92" i="44"/>
  <c r="AG81" i="44"/>
  <c r="AG98" i="44"/>
  <c r="AG77" i="44"/>
  <c r="AG115" i="44"/>
  <c r="AG83" i="44"/>
  <c r="AG108" i="44"/>
  <c r="AG106" i="44"/>
  <c r="AG82" i="44"/>
  <c r="AG96" i="44"/>
  <c r="AG66" i="44"/>
  <c r="AG53" i="44"/>
  <c r="AG70" i="44"/>
  <c r="AG85" i="44"/>
  <c r="AG46" i="44"/>
  <c r="AG63" i="44"/>
  <c r="AG39" i="44"/>
  <c r="AG45" i="44"/>
  <c r="AG50" i="44"/>
  <c r="AG43" i="44"/>
  <c r="AG42" i="44"/>
  <c r="AG31" i="44"/>
  <c r="AG22" i="44"/>
  <c r="AG13" i="44"/>
  <c r="AG11" i="44"/>
  <c r="AG139" i="44"/>
  <c r="AG161" i="44"/>
  <c r="AG100" i="44"/>
  <c r="AG178" i="44"/>
  <c r="AG88" i="44"/>
  <c r="AG97" i="44"/>
  <c r="AG182" i="44"/>
  <c r="AG183" i="44"/>
  <c r="AG185" i="44"/>
  <c r="AG124" i="44"/>
  <c r="AG194" i="44"/>
  <c r="AG196" i="44"/>
  <c r="AG198" i="44"/>
  <c r="AG133" i="44"/>
  <c r="AG200" i="44"/>
  <c r="AG160" i="44"/>
  <c r="AG164" i="44"/>
  <c r="AG117" i="44"/>
  <c r="AG167" i="44"/>
  <c r="AG168" i="44"/>
  <c r="AG170" i="44"/>
  <c r="AG172" i="44"/>
  <c r="AG174" i="44"/>
  <c r="AG104" i="44"/>
  <c r="AG176" i="44"/>
  <c r="AG177" i="44"/>
  <c r="AG91" i="44"/>
  <c r="AG187" i="44"/>
  <c r="AG188" i="44"/>
  <c r="AG190" i="44"/>
  <c r="AG201" i="44"/>
  <c r="AG159" i="44"/>
  <c r="AG145" i="44"/>
  <c r="AG156" i="44"/>
  <c r="AG149" i="44"/>
  <c r="AG102" i="44"/>
  <c r="AG150" i="44"/>
  <c r="AG142" i="44"/>
  <c r="AG140" i="44"/>
  <c r="AG132" i="44"/>
  <c r="AG128" i="44"/>
  <c r="AG158" i="44"/>
  <c r="AG125" i="44"/>
  <c r="AG90" i="44"/>
  <c r="AG71" i="44"/>
  <c r="AG157" i="44"/>
  <c r="AG62" i="44"/>
  <c r="AG151" i="44"/>
  <c r="AG135" i="44"/>
  <c r="AG84" i="44"/>
  <c r="AG127" i="44"/>
  <c r="AG121" i="44"/>
  <c r="AG78" i="44"/>
  <c r="AG113" i="44"/>
  <c r="AG110" i="44"/>
  <c r="AG107" i="44"/>
  <c r="AG101" i="44"/>
  <c r="AG74" i="44"/>
  <c r="AG52" i="44"/>
  <c r="AG68" i="44"/>
  <c r="AG57" i="44"/>
  <c r="AG64" i="44"/>
  <c r="AG76" i="44"/>
  <c r="AG54" i="44"/>
  <c r="AG34" i="44"/>
  <c r="AG33" i="44"/>
  <c r="AG30" i="44"/>
  <c r="AG28" i="44"/>
  <c r="AG26" i="44"/>
  <c r="AG25" i="44"/>
  <c r="AG23" i="44"/>
  <c r="AG18" i="44"/>
  <c r="AG15" i="44"/>
  <c r="AG138" i="44"/>
  <c r="AG131" i="44"/>
  <c r="AG162" i="44"/>
  <c r="AG179" i="44"/>
  <c r="AG180" i="44"/>
  <c r="AG181" i="44"/>
  <c r="AG123" i="44"/>
  <c r="AG184" i="44"/>
  <c r="AG192" i="44"/>
  <c r="AG193" i="44"/>
  <c r="AG195" i="44"/>
  <c r="AG197" i="44"/>
  <c r="AG118" i="44"/>
  <c r="AG199" i="44"/>
  <c r="AG119" i="44"/>
  <c r="AG163" i="44"/>
  <c r="AG165" i="44"/>
  <c r="AG166" i="44"/>
  <c r="AG122" i="44"/>
  <c r="AG169" i="44"/>
  <c r="AG171" i="44"/>
  <c r="AG173" i="44"/>
  <c r="AG175" i="44"/>
  <c r="AG95" i="44"/>
  <c r="AG105" i="44"/>
  <c r="AG186" i="44"/>
  <c r="AG189" i="44"/>
  <c r="AG148" i="44"/>
  <c r="AG147" i="44"/>
  <c r="AG155" i="44"/>
  <c r="AG69" i="44"/>
  <c r="AG130" i="44"/>
  <c r="AG86" i="44"/>
  <c r="AG120" i="44"/>
  <c r="AG114" i="44"/>
  <c r="AG111" i="44"/>
  <c r="AG80" i="44"/>
  <c r="AG58" i="44"/>
  <c r="AG72" i="44"/>
  <c r="AG75" i="44"/>
  <c r="AG89" i="44"/>
  <c r="AG61" i="44"/>
  <c r="AG60" i="44"/>
  <c r="AG49" i="44"/>
  <c r="AG35" i="44"/>
  <c r="AG29" i="44"/>
  <c r="AG55" i="44"/>
  <c r="AG38" i="44"/>
  <c r="AG32" i="44"/>
  <c r="AG51" i="44"/>
  <c r="AG40" i="44"/>
  <c r="AG37" i="44"/>
  <c r="AG19" i="44"/>
  <c r="AG20" i="44"/>
  <c r="AG16" i="44"/>
  <c r="AG136" i="44"/>
  <c r="AG191" i="44"/>
  <c r="AG9" i="44"/>
  <c r="AG144" i="44"/>
  <c r="AG143" i="44"/>
  <c r="AG154" i="44"/>
  <c r="AG134" i="44"/>
  <c r="AG126" i="44"/>
  <c r="AG79" i="44"/>
  <c r="AG116" i="44"/>
  <c r="AG44" i="44"/>
  <c r="AG109" i="44"/>
  <c r="AG94" i="44"/>
  <c r="AG99" i="44"/>
  <c r="AG73" i="44"/>
  <c r="AG93" i="44"/>
  <c r="AG65" i="44"/>
  <c r="AG87" i="44"/>
  <c r="AG67" i="44"/>
  <c r="AG56" i="44"/>
  <c r="AG47" i="44"/>
  <c r="AG48" i="44"/>
  <c r="AG59" i="44"/>
  <c r="AG36" i="44"/>
  <c r="AG27" i="44"/>
  <c r="AG24" i="44"/>
  <c r="AG41" i="44"/>
  <c r="AG21" i="44"/>
  <c r="AG14" i="44"/>
  <c r="AG17" i="44"/>
  <c r="AG12" i="44"/>
  <c r="AH327" i="76"/>
  <c r="AH330" i="76"/>
  <c r="AH332" i="76"/>
  <c r="AF23" i="76"/>
  <c r="AF21" i="76"/>
  <c r="AF19" i="76"/>
  <c r="AH326" i="76"/>
  <c r="AH331" i="76"/>
  <c r="AH325" i="76"/>
  <c r="AH329" i="76"/>
  <c r="AH333" i="76"/>
  <c r="AF24" i="76"/>
  <c r="AF7" i="76"/>
  <c r="AF9" i="76"/>
  <c r="AF11" i="76"/>
  <c r="AF13" i="76"/>
  <c r="AF15" i="76"/>
  <c r="AF17" i="76"/>
  <c r="AF8" i="76"/>
  <c r="AF10" i="76"/>
  <c r="AF12" i="76"/>
  <c r="AF14" i="76"/>
  <c r="AF16" i="76"/>
  <c r="AF18" i="76"/>
  <c r="AF20" i="76"/>
  <c r="AF22" i="76"/>
  <c r="N57" i="44"/>
  <c r="N61" i="44"/>
  <c r="N126" i="44"/>
  <c r="N127" i="44"/>
  <c r="N73" i="44"/>
  <c r="N74" i="44"/>
  <c r="N108" i="44"/>
  <c r="N135" i="44"/>
  <c r="N128" i="44"/>
  <c r="N86" i="44"/>
  <c r="N109" i="44"/>
  <c r="N101" i="44"/>
  <c r="N110" i="44"/>
  <c r="N89" i="44"/>
  <c r="N134" i="44"/>
  <c r="N111" i="44"/>
  <c r="N115" i="44"/>
  <c r="N67" i="44"/>
  <c r="N47" i="44"/>
  <c r="N34" i="44"/>
  <c r="N96" i="44"/>
  <c r="D57" i="44"/>
  <c r="F57" i="44"/>
  <c r="D61" i="44"/>
  <c r="F61" i="44"/>
  <c r="D126" i="44"/>
  <c r="F126" i="44"/>
  <c r="D127" i="44"/>
  <c r="F127" i="44"/>
  <c r="B107" i="44"/>
  <c r="F107" i="44"/>
  <c r="B80" i="44"/>
  <c r="F80" i="44"/>
  <c r="D73" i="44"/>
  <c r="F73" i="44"/>
  <c r="D74" i="44"/>
  <c r="F74" i="44"/>
  <c r="D108" i="44"/>
  <c r="F108" i="44"/>
  <c r="D135" i="44"/>
  <c r="F135" i="44"/>
  <c r="D128" i="44"/>
  <c r="F128" i="44"/>
  <c r="D86" i="44"/>
  <c r="F86" i="44"/>
  <c r="D109" i="44"/>
  <c r="F109" i="44"/>
  <c r="D101" i="44"/>
  <c r="F101" i="44"/>
  <c r="D110" i="44"/>
  <c r="F110" i="44"/>
  <c r="D89" i="44"/>
  <c r="F89" i="44"/>
  <c r="D134" i="44"/>
  <c r="F134" i="44"/>
  <c r="D111" i="44"/>
  <c r="F111" i="44"/>
  <c r="D115" i="44"/>
  <c r="F115" i="44"/>
  <c r="D67" i="44"/>
  <c r="D47" i="44"/>
  <c r="F47" i="44"/>
  <c r="D34" i="44"/>
  <c r="F34" i="44"/>
  <c r="D96" i="44"/>
  <c r="F96" i="44"/>
  <c r="AI332" i="51"/>
  <c r="AJ332" i="51" s="1"/>
  <c r="AH332" i="51" s="1"/>
  <c r="AJ331" i="51"/>
  <c r="AH331" i="51" s="1"/>
  <c r="AI331" i="51"/>
  <c r="AI330" i="51"/>
  <c r="AJ330" i="51" s="1"/>
  <c r="AH330" i="51" s="1"/>
  <c r="AJ329" i="51"/>
  <c r="AH329" i="51" s="1"/>
  <c r="AI329" i="51"/>
  <c r="AI328" i="51"/>
  <c r="AJ328" i="51" s="1"/>
  <c r="AH328" i="51" s="1"/>
  <c r="AJ327" i="51"/>
  <c r="AH327" i="51" s="1"/>
  <c r="AI327" i="51"/>
  <c r="AI326" i="51"/>
  <c r="AJ326" i="51" s="1"/>
  <c r="AH326" i="51" s="1"/>
  <c r="AJ325" i="51"/>
  <c r="AH325" i="51" s="1"/>
  <c r="AI325" i="51"/>
  <c r="AI324" i="51"/>
  <c r="AJ324" i="51" s="1"/>
  <c r="AH324" i="51" s="1"/>
  <c r="AJ323" i="51"/>
  <c r="AH323" i="51" s="1"/>
  <c r="AI323" i="51"/>
  <c r="AI322" i="51"/>
  <c r="AJ322" i="51" s="1"/>
  <c r="AH322" i="51" s="1"/>
  <c r="AJ321" i="51"/>
  <c r="AH321" i="51" s="1"/>
  <c r="AI321" i="51"/>
  <c r="AI320" i="51"/>
  <c r="AJ320" i="51" s="1"/>
  <c r="AH320" i="51" s="1"/>
  <c r="AJ319" i="51"/>
  <c r="AH319" i="51" s="1"/>
  <c r="AI319" i="51"/>
  <c r="AI318" i="51"/>
  <c r="AJ318" i="51" s="1"/>
  <c r="AH318" i="51" s="1"/>
  <c r="AJ317" i="51"/>
  <c r="AH317" i="51" s="1"/>
  <c r="AI317" i="51"/>
  <c r="AI316" i="51"/>
  <c r="AJ316" i="51" s="1"/>
  <c r="AH316" i="51" s="1"/>
  <c r="AJ315" i="51"/>
  <c r="AH315" i="51" s="1"/>
  <c r="AI315" i="51"/>
  <c r="AI314" i="51"/>
  <c r="AJ314" i="51" s="1"/>
  <c r="AH314" i="51" s="1"/>
  <c r="AJ313" i="51"/>
  <c r="AH313" i="51" s="1"/>
  <c r="AI313" i="51"/>
  <c r="AI312" i="51"/>
  <c r="AJ312" i="51" s="1"/>
  <c r="AH312" i="51" s="1"/>
  <c r="AJ311" i="51"/>
  <c r="AH311" i="51" s="1"/>
  <c r="AI311" i="51"/>
  <c r="AI310" i="51"/>
  <c r="AJ310" i="51" s="1"/>
  <c r="AH310" i="51" s="1"/>
  <c r="AJ309" i="51"/>
  <c r="AH309" i="51" s="1"/>
  <c r="AI309" i="51"/>
  <c r="AI308" i="51"/>
  <c r="AJ308" i="51" s="1"/>
  <c r="AH308" i="51" s="1"/>
  <c r="AI319" i="61"/>
  <c r="AI320" i="61"/>
  <c r="AI321" i="61"/>
  <c r="AI322" i="61"/>
  <c r="AI323" i="61"/>
  <c r="AI324" i="61"/>
  <c r="AI325" i="61"/>
  <c r="AI326" i="61"/>
  <c r="AI327" i="61"/>
  <c r="AI328" i="61"/>
  <c r="AI329" i="61"/>
  <c r="AI330" i="61"/>
  <c r="AI331" i="61"/>
  <c r="AI332" i="61"/>
  <c r="AI333" i="61"/>
  <c r="AJ320" i="61"/>
  <c r="AH320" i="61" s="1"/>
  <c r="AJ321" i="61"/>
  <c r="AH321" i="61" s="1"/>
  <c r="AJ322" i="61"/>
  <c r="AH322" i="61" s="1"/>
  <c r="AJ323" i="61"/>
  <c r="AH323" i="61" s="1"/>
  <c r="AJ324" i="61"/>
  <c r="AH324" i="61" s="1"/>
  <c r="AJ325" i="61"/>
  <c r="AH325" i="61" s="1"/>
  <c r="AJ326" i="61"/>
  <c r="AH326" i="61" s="1"/>
  <c r="AJ327" i="61"/>
  <c r="AH327" i="61" s="1"/>
  <c r="AJ328" i="61"/>
  <c r="AH328" i="61" s="1"/>
  <c r="AJ329" i="61"/>
  <c r="AH329" i="61" s="1"/>
  <c r="AJ330" i="61"/>
  <c r="AH330" i="61" s="1"/>
  <c r="AJ331" i="61"/>
  <c r="AH331" i="61" s="1"/>
  <c r="AJ332" i="61"/>
  <c r="AH332" i="61" s="1"/>
  <c r="AJ333" i="61"/>
  <c r="AH333" i="61" s="1"/>
  <c r="AA19" i="75" l="1"/>
  <c r="AC19" i="75"/>
  <c r="AE19" i="75"/>
  <c r="AF19" i="75" s="1"/>
  <c r="AA20" i="75"/>
  <c r="AC20" i="75"/>
  <c r="AE20" i="75"/>
  <c r="A4" i="75"/>
  <c r="A3" i="75"/>
  <c r="A2" i="75"/>
  <c r="AQ333" i="75"/>
  <c r="AR333" i="75" s="1"/>
  <c r="AO333" i="75"/>
  <c r="AP333" i="75" s="1"/>
  <c r="AM333" i="75"/>
  <c r="AN333" i="75" s="1"/>
  <c r="AK333" i="75"/>
  <c r="AL333" i="75" s="1"/>
  <c r="AI333" i="75"/>
  <c r="AJ333" i="75" s="1"/>
  <c r="AQ332" i="75"/>
  <c r="AR332" i="75" s="1"/>
  <c r="AO332" i="75"/>
  <c r="AP332" i="75" s="1"/>
  <c r="AM332" i="75"/>
  <c r="AN332" i="75" s="1"/>
  <c r="AK332" i="75"/>
  <c r="AL332" i="75" s="1"/>
  <c r="AI332" i="75"/>
  <c r="AJ332" i="75" s="1"/>
  <c r="AQ331" i="75"/>
  <c r="AR331" i="75" s="1"/>
  <c r="AO331" i="75"/>
  <c r="AP331" i="75" s="1"/>
  <c r="AM331" i="75"/>
  <c r="AN331" i="75" s="1"/>
  <c r="AK331" i="75"/>
  <c r="AL331" i="75" s="1"/>
  <c r="AI331" i="75"/>
  <c r="AJ331" i="75" s="1"/>
  <c r="AQ330" i="75"/>
  <c r="AR330" i="75" s="1"/>
  <c r="AO330" i="75"/>
  <c r="AP330" i="75" s="1"/>
  <c r="AM330" i="75"/>
  <c r="AN330" i="75" s="1"/>
  <c r="AK330" i="75"/>
  <c r="AL330" i="75" s="1"/>
  <c r="AI330" i="75"/>
  <c r="AJ330" i="75" s="1"/>
  <c r="AQ329" i="75"/>
  <c r="AR329" i="75" s="1"/>
  <c r="AO329" i="75"/>
  <c r="AP329" i="75" s="1"/>
  <c r="AM329" i="75"/>
  <c r="AN329" i="75" s="1"/>
  <c r="AK329" i="75"/>
  <c r="AL329" i="75" s="1"/>
  <c r="AI329" i="75"/>
  <c r="AJ329" i="75" s="1"/>
  <c r="AQ328" i="75"/>
  <c r="AR328" i="75" s="1"/>
  <c r="AO328" i="75"/>
  <c r="AP328" i="75" s="1"/>
  <c r="AM328" i="75"/>
  <c r="AN328" i="75" s="1"/>
  <c r="AK328" i="75"/>
  <c r="AL328" i="75" s="1"/>
  <c r="AI328" i="75"/>
  <c r="AJ328" i="75" s="1"/>
  <c r="AQ327" i="75"/>
  <c r="AR327" i="75" s="1"/>
  <c r="AO327" i="75"/>
  <c r="AP327" i="75" s="1"/>
  <c r="AM327" i="75"/>
  <c r="AN327" i="75" s="1"/>
  <c r="AK327" i="75"/>
  <c r="AL327" i="75" s="1"/>
  <c r="AI327" i="75"/>
  <c r="AJ327" i="75" s="1"/>
  <c r="AQ326" i="75"/>
  <c r="AR326" i="75" s="1"/>
  <c r="AO326" i="75"/>
  <c r="AP326" i="75" s="1"/>
  <c r="AM326" i="75"/>
  <c r="AN326" i="75" s="1"/>
  <c r="AK326" i="75"/>
  <c r="AL326" i="75" s="1"/>
  <c r="AI326" i="75"/>
  <c r="AJ326" i="75" s="1"/>
  <c r="AQ325" i="75"/>
  <c r="AR325" i="75" s="1"/>
  <c r="AO325" i="75"/>
  <c r="AP325" i="75" s="1"/>
  <c r="AM325" i="75"/>
  <c r="AN325" i="75" s="1"/>
  <c r="AK325" i="75"/>
  <c r="AL325" i="75" s="1"/>
  <c r="AI325" i="75"/>
  <c r="AJ325" i="75" s="1"/>
  <c r="AQ324" i="75"/>
  <c r="AR324" i="75" s="1"/>
  <c r="AO324" i="75"/>
  <c r="AP324" i="75" s="1"/>
  <c r="AM324" i="75"/>
  <c r="AN324" i="75" s="1"/>
  <c r="AK324" i="75"/>
  <c r="AL324" i="75" s="1"/>
  <c r="AI324" i="75"/>
  <c r="AJ324" i="75" s="1"/>
  <c r="AQ323" i="75"/>
  <c r="AR323" i="75" s="1"/>
  <c r="AO323" i="75"/>
  <c r="AP323" i="75" s="1"/>
  <c r="AM323" i="75"/>
  <c r="AN323" i="75" s="1"/>
  <c r="AK323" i="75"/>
  <c r="AL323" i="75" s="1"/>
  <c r="AI323" i="75"/>
  <c r="AJ323" i="75" s="1"/>
  <c r="AQ322" i="75"/>
  <c r="AR322" i="75" s="1"/>
  <c r="AO322" i="75"/>
  <c r="AP322" i="75" s="1"/>
  <c r="AM322" i="75"/>
  <c r="AN322" i="75" s="1"/>
  <c r="AK322" i="75"/>
  <c r="AL322" i="75" s="1"/>
  <c r="AI322" i="75"/>
  <c r="AJ322" i="75" s="1"/>
  <c r="AQ321" i="75"/>
  <c r="AR321" i="75" s="1"/>
  <c r="AO321" i="75"/>
  <c r="AP321" i="75" s="1"/>
  <c r="AM321" i="75"/>
  <c r="AN321" i="75" s="1"/>
  <c r="AK321" i="75"/>
  <c r="AL321" i="75" s="1"/>
  <c r="AI321" i="75"/>
  <c r="AJ321" i="75" s="1"/>
  <c r="AQ320" i="75"/>
  <c r="AR320" i="75" s="1"/>
  <c r="AO320" i="75"/>
  <c r="AP320" i="75" s="1"/>
  <c r="AM320" i="75"/>
  <c r="AN320" i="75" s="1"/>
  <c r="AK320" i="75"/>
  <c r="AL320" i="75" s="1"/>
  <c r="AI320" i="75"/>
  <c r="AJ320" i="75" s="1"/>
  <c r="AQ319" i="75"/>
  <c r="AR319" i="75" s="1"/>
  <c r="AO319" i="75"/>
  <c r="AP319" i="75" s="1"/>
  <c r="AM319" i="75"/>
  <c r="AN319" i="75" s="1"/>
  <c r="AK319" i="75"/>
  <c r="AL319" i="75" s="1"/>
  <c r="AI319" i="75"/>
  <c r="AJ319" i="75" s="1"/>
  <c r="AQ318" i="75"/>
  <c r="AR318" i="75" s="1"/>
  <c r="AO318" i="75"/>
  <c r="AP318" i="75" s="1"/>
  <c r="AM318" i="75"/>
  <c r="AN318" i="75" s="1"/>
  <c r="AK318" i="75"/>
  <c r="AL318" i="75" s="1"/>
  <c r="AI318" i="75"/>
  <c r="AJ318" i="75" s="1"/>
  <c r="AQ317" i="75"/>
  <c r="AR317" i="75" s="1"/>
  <c r="AO317" i="75"/>
  <c r="AP317" i="75" s="1"/>
  <c r="AM317" i="75"/>
  <c r="AN317" i="75" s="1"/>
  <c r="AK317" i="75"/>
  <c r="AL317" i="75" s="1"/>
  <c r="AI317" i="75"/>
  <c r="AJ317" i="75" s="1"/>
  <c r="AQ316" i="75"/>
  <c r="AR316" i="75" s="1"/>
  <c r="AO316" i="75"/>
  <c r="AP316" i="75" s="1"/>
  <c r="AM316" i="75"/>
  <c r="AN316" i="75" s="1"/>
  <c r="AK316" i="75"/>
  <c r="AL316" i="75" s="1"/>
  <c r="AI316" i="75"/>
  <c r="AJ316" i="75" s="1"/>
  <c r="AQ315" i="75"/>
  <c r="AR315" i="75" s="1"/>
  <c r="AO315" i="75"/>
  <c r="AP315" i="75" s="1"/>
  <c r="AM315" i="75"/>
  <c r="AN315" i="75" s="1"/>
  <c r="AK315" i="75"/>
  <c r="AL315" i="75" s="1"/>
  <c r="AI315" i="75"/>
  <c r="AJ315" i="75" s="1"/>
  <c r="AQ314" i="75"/>
  <c r="AR314" i="75" s="1"/>
  <c r="AO314" i="75"/>
  <c r="AP314" i="75" s="1"/>
  <c r="AM314" i="75"/>
  <c r="AN314" i="75" s="1"/>
  <c r="AK314" i="75"/>
  <c r="AL314" i="75" s="1"/>
  <c r="AI314" i="75"/>
  <c r="AJ314" i="75" s="1"/>
  <c r="AE18" i="75"/>
  <c r="AC18" i="75"/>
  <c r="AA18" i="75"/>
  <c r="AE17" i="75"/>
  <c r="AC17" i="75"/>
  <c r="AA17" i="75"/>
  <c r="AE16" i="75"/>
  <c r="AC16" i="75"/>
  <c r="AA16" i="75"/>
  <c r="AE15" i="75"/>
  <c r="AC15" i="75"/>
  <c r="AA15" i="75"/>
  <c r="AE14" i="75"/>
  <c r="AC14" i="75"/>
  <c r="AA14" i="75"/>
  <c r="AE13" i="75"/>
  <c r="AC13" i="75"/>
  <c r="AA13" i="75"/>
  <c r="AE12" i="75"/>
  <c r="AC12" i="75"/>
  <c r="AA12" i="75"/>
  <c r="AE11" i="75"/>
  <c r="AC11" i="75"/>
  <c r="AA11" i="75"/>
  <c r="AE10" i="75"/>
  <c r="AC10" i="75"/>
  <c r="AA10" i="75"/>
  <c r="AE9" i="75"/>
  <c r="AC9" i="75"/>
  <c r="AA9" i="75"/>
  <c r="AE8" i="75"/>
  <c r="AC8" i="75"/>
  <c r="AA8" i="75"/>
  <c r="AE7" i="75"/>
  <c r="AC7" i="75"/>
  <c r="AA7" i="75"/>
  <c r="K1" i="75"/>
  <c r="G1" i="75"/>
  <c r="AH314" i="75" l="1"/>
  <c r="AH330" i="75"/>
  <c r="AH332" i="75"/>
  <c r="AH316" i="75"/>
  <c r="AH318" i="75"/>
  <c r="AH320" i="75"/>
  <c r="AH326" i="75"/>
  <c r="AH328" i="75"/>
  <c r="AH323" i="75"/>
  <c r="AH325" i="75"/>
  <c r="AH322" i="75"/>
  <c r="AF20" i="75"/>
  <c r="AH327" i="75"/>
  <c r="AH329" i="75"/>
  <c r="AH331" i="75"/>
  <c r="AH333" i="75"/>
  <c r="AF18" i="75"/>
  <c r="AF16" i="75"/>
  <c r="AF15" i="75"/>
  <c r="AF14" i="75"/>
  <c r="AF13" i="75"/>
  <c r="AF12" i="75"/>
  <c r="AF11" i="75"/>
  <c r="AF10" i="75"/>
  <c r="AH315" i="75"/>
  <c r="AH317" i="75"/>
  <c r="AH319" i="75"/>
  <c r="AH321" i="75"/>
  <c r="AF9" i="75"/>
  <c r="AF8" i="75"/>
  <c r="AF7" i="75"/>
  <c r="AF17" i="75"/>
  <c r="AH324" i="75"/>
  <c r="G44" i="51" l="1"/>
  <c r="K44" i="51"/>
  <c r="O44" i="51"/>
  <c r="S44" i="51"/>
  <c r="C44" i="51"/>
  <c r="G44" i="74"/>
  <c r="K44" i="74"/>
  <c r="O44" i="74"/>
  <c r="S44" i="74"/>
  <c r="C44" i="74"/>
  <c r="C125" i="61"/>
  <c r="G125" i="61"/>
  <c r="K125" i="61"/>
  <c r="O125" i="61"/>
  <c r="S125" i="61"/>
  <c r="C42" i="51"/>
  <c r="C43" i="51"/>
  <c r="D43" i="51"/>
  <c r="E43" i="51"/>
  <c r="F43" i="51"/>
  <c r="G43" i="51"/>
  <c r="H43" i="51"/>
  <c r="I43" i="51"/>
  <c r="J43" i="51"/>
  <c r="K43" i="51"/>
  <c r="L43" i="51"/>
  <c r="M43" i="51"/>
  <c r="N43" i="51"/>
  <c r="O43" i="51"/>
  <c r="P43" i="51"/>
  <c r="Q43" i="51"/>
  <c r="R43" i="51"/>
  <c r="S43" i="51"/>
  <c r="T43" i="51"/>
  <c r="U43" i="51"/>
  <c r="V43" i="51"/>
  <c r="D42" i="51"/>
  <c r="E42" i="51"/>
  <c r="F42" i="51"/>
  <c r="G42" i="51"/>
  <c r="H42" i="51"/>
  <c r="I42" i="51"/>
  <c r="J42" i="51"/>
  <c r="K42" i="51"/>
  <c r="L42" i="51"/>
  <c r="M42" i="51"/>
  <c r="N42" i="51"/>
  <c r="O42" i="51"/>
  <c r="P42" i="51"/>
  <c r="Q42" i="51"/>
  <c r="R42" i="51"/>
  <c r="S42" i="51"/>
  <c r="T42" i="51"/>
  <c r="U42" i="51"/>
  <c r="V42" i="51"/>
  <c r="D124" i="61"/>
  <c r="E124" i="61"/>
  <c r="F124" i="61"/>
  <c r="G124" i="61"/>
  <c r="H124" i="61"/>
  <c r="I124" i="61"/>
  <c r="J124" i="61"/>
  <c r="K124" i="61"/>
  <c r="L124" i="61"/>
  <c r="M124" i="61"/>
  <c r="N124" i="61"/>
  <c r="O124" i="61"/>
  <c r="P124" i="61"/>
  <c r="Q124" i="61"/>
  <c r="R124" i="61"/>
  <c r="S124" i="61"/>
  <c r="T124" i="61"/>
  <c r="U124" i="61"/>
  <c r="V124" i="61"/>
  <c r="C124" i="61"/>
  <c r="D42" i="74"/>
  <c r="E42" i="74"/>
  <c r="F42" i="74"/>
  <c r="G42" i="74"/>
  <c r="H42" i="74"/>
  <c r="I42" i="74"/>
  <c r="J42" i="74"/>
  <c r="K42" i="74"/>
  <c r="L42" i="74"/>
  <c r="M42" i="74"/>
  <c r="N42" i="74"/>
  <c r="O42" i="74"/>
  <c r="P42" i="74"/>
  <c r="Q42" i="74"/>
  <c r="R42" i="74"/>
  <c r="S42" i="74"/>
  <c r="T42" i="74"/>
  <c r="U42" i="74"/>
  <c r="V42" i="74"/>
  <c r="C42" i="74"/>
  <c r="V43" i="74"/>
  <c r="U43" i="74"/>
  <c r="T43" i="74"/>
  <c r="S43" i="74"/>
  <c r="R43" i="74"/>
  <c r="Q43" i="74"/>
  <c r="P43" i="74"/>
  <c r="O43" i="74"/>
  <c r="N43" i="74"/>
  <c r="M43" i="74"/>
  <c r="L43" i="74"/>
  <c r="K43" i="74"/>
  <c r="J43" i="74"/>
  <c r="I43" i="74"/>
  <c r="H43" i="74"/>
  <c r="G43" i="74"/>
  <c r="F43" i="74"/>
  <c r="E43" i="74"/>
  <c r="D43" i="74"/>
  <c r="C43" i="74"/>
  <c r="V123" i="61"/>
  <c r="U123" i="61"/>
  <c r="T123" i="61"/>
  <c r="S123" i="61"/>
  <c r="R123" i="61"/>
  <c r="Q123" i="61"/>
  <c r="P123" i="61"/>
  <c r="O123" i="61"/>
  <c r="N123" i="61"/>
  <c r="M123" i="61"/>
  <c r="L123" i="61"/>
  <c r="K123" i="61"/>
  <c r="J123" i="61"/>
  <c r="I123" i="61"/>
  <c r="H123" i="61"/>
  <c r="G123" i="61"/>
  <c r="F123" i="61"/>
  <c r="E123" i="61"/>
  <c r="D123" i="61"/>
  <c r="C123" i="61"/>
  <c r="W40" i="74"/>
  <c r="W39" i="74"/>
  <c r="W37" i="74"/>
  <c r="W36" i="74"/>
  <c r="W34" i="74"/>
  <c r="W33" i="74"/>
  <c r="X34" i="74" s="1"/>
  <c r="W32" i="74"/>
  <c r="W31" i="74"/>
  <c r="X32" i="74" s="1"/>
  <c r="W29" i="74"/>
  <c r="W28" i="74"/>
  <c r="W27" i="74"/>
  <c r="W26" i="74"/>
  <c r="X24" i="74"/>
  <c r="W24" i="74"/>
  <c r="X23" i="74"/>
  <c r="W23" i="74"/>
  <c r="X22" i="74"/>
  <c r="W22" i="74"/>
  <c r="X21" i="74"/>
  <c r="W21" i="74"/>
  <c r="X20" i="74"/>
  <c r="W20" i="74"/>
  <c r="X19" i="74"/>
  <c r="W19" i="74"/>
  <c r="X18" i="74"/>
  <c r="W18" i="74"/>
  <c r="X17" i="74"/>
  <c r="W17" i="74"/>
  <c r="W16" i="74"/>
  <c r="W15" i="74"/>
  <c r="W14" i="74"/>
  <c r="W13" i="74"/>
  <c r="W12" i="74"/>
  <c r="W11" i="74"/>
  <c r="X11" i="74" s="1"/>
  <c r="W10" i="74"/>
  <c r="X10" i="74" s="1"/>
  <c r="W9" i="74"/>
  <c r="X16" i="74" s="1"/>
  <c r="A4" i="74"/>
  <c r="A3" i="74"/>
  <c r="A2" i="74"/>
  <c r="Q1" i="74"/>
  <c r="X40" i="74"/>
  <c r="X39" i="74"/>
  <c r="X36" i="74"/>
  <c r="X37" i="74"/>
  <c r="X31" i="74" l="1"/>
  <c r="X33" i="74"/>
  <c r="X9" i="74"/>
  <c r="X12" i="74"/>
  <c r="X13" i="74"/>
  <c r="X14" i="74"/>
  <c r="X15" i="74"/>
  <c r="B307" i="74" l="1"/>
  <c r="B306" i="74"/>
  <c r="B33" i="74"/>
  <c r="B31" i="74"/>
  <c r="B29" i="74"/>
  <c r="Y29" i="74" s="1"/>
  <c r="B28" i="74"/>
  <c r="Y28" i="74" s="1"/>
  <c r="B27" i="74"/>
  <c r="Y27" i="74" s="1"/>
  <c r="X27" i="74" s="1"/>
  <c r="B26" i="74"/>
  <c r="Y26" i="74" s="1"/>
  <c r="B40" i="74"/>
  <c r="B39" i="74"/>
  <c r="X26" i="74" l="1"/>
  <c r="X28" i="74"/>
  <c r="X29" i="74"/>
  <c r="B34" i="74" l="1"/>
  <c r="B36" i="74" s="1"/>
  <c r="B302" i="74" s="1"/>
  <c r="B305" i="74"/>
  <c r="B301" i="74"/>
  <c r="B32" i="74"/>
  <c r="B37" i="74" s="1"/>
  <c r="B303" i="74" s="1"/>
  <c r="B304" i="74"/>
  <c r="B300" i="74"/>
  <c r="W17" i="51" l="1"/>
  <c r="W18" i="51"/>
  <c r="W19" i="51"/>
  <c r="W20" i="51"/>
  <c r="W21" i="51"/>
  <c r="W22" i="51"/>
  <c r="W23" i="51"/>
  <c r="W24" i="51"/>
  <c r="X17" i="51"/>
  <c r="X18" i="51"/>
  <c r="X19" i="51"/>
  <c r="X20" i="51"/>
  <c r="X21" i="51"/>
  <c r="X22" i="51"/>
  <c r="X23" i="51"/>
  <c r="X24" i="51"/>
  <c r="W77" i="61"/>
  <c r="W78" i="61"/>
  <c r="Y78" i="61" s="1"/>
  <c r="W79" i="61"/>
  <c r="Y79" i="61" s="1"/>
  <c r="W80" i="61"/>
  <c r="Y80" i="61" s="1"/>
  <c r="W81" i="61"/>
  <c r="Y81" i="61" s="1"/>
  <c r="W82" i="61"/>
  <c r="Y82" i="61" s="1"/>
  <c r="W83" i="61"/>
  <c r="Y83" i="61" s="1"/>
  <c r="W84" i="61"/>
  <c r="Y84" i="61" s="1"/>
  <c r="W85" i="61"/>
  <c r="Y85" i="61" s="1"/>
  <c r="W86" i="61"/>
  <c r="Y86" i="61" s="1"/>
  <c r="W87" i="61"/>
  <c r="Y87" i="61" s="1"/>
  <c r="W88" i="61"/>
  <c r="Y88" i="61" s="1"/>
  <c r="W89" i="61"/>
  <c r="Y89" i="61" s="1"/>
  <c r="W90" i="61"/>
  <c r="Y90" i="61" s="1"/>
  <c r="W91" i="61"/>
  <c r="Y91" i="61" s="1"/>
  <c r="W92" i="61"/>
  <c r="Y92" i="61" s="1"/>
  <c r="W93" i="61"/>
  <c r="Y93" i="61" s="1"/>
  <c r="W94" i="61"/>
  <c r="Y94" i="61" s="1"/>
  <c r="W95" i="61"/>
  <c r="Y95" i="61" s="1"/>
  <c r="W96" i="61"/>
  <c r="Y96" i="61" s="1"/>
  <c r="W97" i="61"/>
  <c r="Y97" i="61" s="1"/>
  <c r="W98" i="61"/>
  <c r="Y98" i="61" s="1"/>
  <c r="W99" i="61"/>
  <c r="Y99" i="61" s="1"/>
  <c r="W100" i="61"/>
  <c r="Y100" i="61" s="1"/>
  <c r="W101" i="61"/>
  <c r="Y101" i="61" s="1"/>
  <c r="W27" i="51"/>
  <c r="W28" i="51"/>
  <c r="W29" i="51"/>
  <c r="W10" i="51"/>
  <c r="W11" i="51"/>
  <c r="W12" i="51"/>
  <c r="W13" i="51"/>
  <c r="W14" i="51"/>
  <c r="W15" i="51"/>
  <c r="W16" i="51"/>
  <c r="W121" i="61" l="1"/>
  <c r="W9" i="61" l="1"/>
  <c r="W10" i="61"/>
  <c r="W11" i="61"/>
  <c r="W12" i="61"/>
  <c r="W13" i="61"/>
  <c r="W14" i="61"/>
  <c r="W15" i="61"/>
  <c r="W16" i="61"/>
  <c r="W17" i="61"/>
  <c r="W18" i="61"/>
  <c r="W19" i="61"/>
  <c r="W20" i="61"/>
  <c r="W21" i="61"/>
  <c r="Y77" i="61" s="1"/>
  <c r="W22" i="61"/>
  <c r="W23" i="61"/>
  <c r="W24" i="61"/>
  <c r="W25" i="61"/>
  <c r="W26" i="61"/>
  <c r="W27" i="61"/>
  <c r="W28" i="61"/>
  <c r="W29" i="61"/>
  <c r="W30" i="61"/>
  <c r="W31" i="61"/>
  <c r="X32" i="62"/>
  <c r="A4" i="51"/>
  <c r="A3" i="51"/>
  <c r="A2" i="51"/>
  <c r="A4" i="63"/>
  <c r="A3" i="63"/>
  <c r="A2" i="63"/>
  <c r="A4" i="61"/>
  <c r="A3" i="61"/>
  <c r="A2" i="61"/>
  <c r="A4" i="62"/>
  <c r="A3" i="62"/>
  <c r="A2" i="62"/>
  <c r="AI318" i="73"/>
  <c r="AJ318" i="73" s="1"/>
  <c r="AK318" i="73"/>
  <c r="AL318" i="73" s="1"/>
  <c r="AM318" i="73"/>
  <c r="AN318" i="73" s="1"/>
  <c r="AO318" i="73"/>
  <c r="AP318" i="73" s="1"/>
  <c r="AQ318" i="73"/>
  <c r="AR318" i="73" s="1"/>
  <c r="AI319" i="73"/>
  <c r="AJ319" i="73" s="1"/>
  <c r="AK319" i="73"/>
  <c r="AL319" i="73" s="1"/>
  <c r="AM319" i="73"/>
  <c r="AN319" i="73" s="1"/>
  <c r="AO319" i="73"/>
  <c r="AP319" i="73" s="1"/>
  <c r="AQ319" i="73"/>
  <c r="AR319" i="73" s="1"/>
  <c r="AI320" i="73"/>
  <c r="AJ320" i="73"/>
  <c r="AK320" i="73"/>
  <c r="AL320" i="73"/>
  <c r="AM320" i="73"/>
  <c r="AN320" i="73"/>
  <c r="AO320" i="73"/>
  <c r="AP320" i="73"/>
  <c r="AQ320" i="73"/>
  <c r="AR320" i="73"/>
  <c r="AI321" i="73"/>
  <c r="AJ321" i="73" s="1"/>
  <c r="AK321" i="73"/>
  <c r="AL321" i="73" s="1"/>
  <c r="AM321" i="73"/>
  <c r="AN321" i="73" s="1"/>
  <c r="AO321" i="73"/>
  <c r="AP321" i="73" s="1"/>
  <c r="AQ321" i="73"/>
  <c r="AR321" i="73" s="1"/>
  <c r="AI322" i="73"/>
  <c r="AJ322" i="73"/>
  <c r="AK322" i="73"/>
  <c r="AL322" i="73"/>
  <c r="AM322" i="73"/>
  <c r="AN322" i="73"/>
  <c r="AO322" i="73"/>
  <c r="AP322" i="73"/>
  <c r="AQ322" i="73"/>
  <c r="AR322" i="73"/>
  <c r="AI323" i="73"/>
  <c r="AJ323" i="73" s="1"/>
  <c r="AK323" i="73"/>
  <c r="AL323" i="73" s="1"/>
  <c r="AM323" i="73"/>
  <c r="AN323" i="73" s="1"/>
  <c r="AO323" i="73"/>
  <c r="AP323" i="73" s="1"/>
  <c r="AQ323" i="73"/>
  <c r="AR323" i="73" s="1"/>
  <c r="AI324" i="73"/>
  <c r="AJ324" i="73"/>
  <c r="AK324" i="73"/>
  <c r="AL324" i="73"/>
  <c r="AM324" i="73"/>
  <c r="AN324" i="73"/>
  <c r="AO324" i="73"/>
  <c r="AP324" i="73"/>
  <c r="AQ324" i="73"/>
  <c r="AR324" i="73"/>
  <c r="AI325" i="73"/>
  <c r="AJ325" i="73" s="1"/>
  <c r="AK325" i="73"/>
  <c r="AL325" i="73" s="1"/>
  <c r="AM325" i="73"/>
  <c r="AN325" i="73" s="1"/>
  <c r="AO325" i="73"/>
  <c r="AP325" i="73" s="1"/>
  <c r="AQ325" i="73"/>
  <c r="AR325" i="73" s="1"/>
  <c r="AI326" i="73"/>
  <c r="AJ326" i="73"/>
  <c r="AK326" i="73"/>
  <c r="AL326" i="73"/>
  <c r="AM326" i="73"/>
  <c r="AN326" i="73"/>
  <c r="AO326" i="73"/>
  <c r="AP326" i="73"/>
  <c r="AQ326" i="73"/>
  <c r="AR326" i="73"/>
  <c r="AI327" i="73"/>
  <c r="AJ327" i="73" s="1"/>
  <c r="AK327" i="73"/>
  <c r="AL327" i="73" s="1"/>
  <c r="AM327" i="73"/>
  <c r="AN327" i="73" s="1"/>
  <c r="AO327" i="73"/>
  <c r="AP327" i="73" s="1"/>
  <c r="AQ327" i="73"/>
  <c r="AR327" i="73" s="1"/>
  <c r="AI328" i="73"/>
  <c r="AJ328" i="73"/>
  <c r="AK328" i="73"/>
  <c r="AL328" i="73"/>
  <c r="AM328" i="73"/>
  <c r="AN328" i="73"/>
  <c r="AO328" i="73"/>
  <c r="AP328" i="73"/>
  <c r="AQ328" i="73"/>
  <c r="AR328" i="73"/>
  <c r="AI329" i="73"/>
  <c r="AJ329" i="73"/>
  <c r="AK329" i="73"/>
  <c r="AL329" i="73"/>
  <c r="AM329" i="73"/>
  <c r="AN329" i="73"/>
  <c r="AO329" i="73"/>
  <c r="AP329" i="73"/>
  <c r="AQ329" i="73"/>
  <c r="AR329" i="73"/>
  <c r="AI330" i="73"/>
  <c r="AJ330" i="73" s="1"/>
  <c r="AK330" i="73"/>
  <c r="AL330" i="73" s="1"/>
  <c r="AM330" i="73"/>
  <c r="AN330" i="73" s="1"/>
  <c r="AO330" i="73"/>
  <c r="AP330" i="73" s="1"/>
  <c r="AQ330" i="73"/>
  <c r="AR330" i="73" s="1"/>
  <c r="AI331" i="73"/>
  <c r="AJ331" i="73"/>
  <c r="AK331" i="73"/>
  <c r="AL331" i="73"/>
  <c r="AM331" i="73"/>
  <c r="AN331" i="73"/>
  <c r="AO331" i="73"/>
  <c r="AP331" i="73"/>
  <c r="AQ331" i="73"/>
  <c r="AR331" i="73"/>
  <c r="AI332" i="73"/>
  <c r="AJ332" i="73" s="1"/>
  <c r="AK332" i="73"/>
  <c r="AL332" i="73" s="1"/>
  <c r="AM332" i="73"/>
  <c r="AN332" i="73" s="1"/>
  <c r="AO332" i="73"/>
  <c r="AP332" i="73" s="1"/>
  <c r="AQ332" i="73"/>
  <c r="AR332" i="73" s="1"/>
  <c r="AI333" i="73"/>
  <c r="AJ333" i="73"/>
  <c r="AK333" i="73"/>
  <c r="AL333" i="73"/>
  <c r="AM333" i="73"/>
  <c r="AN333" i="73"/>
  <c r="AO333" i="73"/>
  <c r="AP333" i="73"/>
  <c r="AQ333" i="73"/>
  <c r="AR333" i="73"/>
  <c r="AH333" i="73" l="1"/>
  <c r="AH331" i="73"/>
  <c r="AH326" i="73"/>
  <c r="AH322" i="73"/>
  <c r="AH318" i="73"/>
  <c r="AH328" i="73"/>
  <c r="AH324" i="73"/>
  <c r="AH320" i="73"/>
  <c r="AH332" i="73"/>
  <c r="AH330" i="73"/>
  <c r="AH329" i="73"/>
  <c r="AH327" i="73"/>
  <c r="AH325" i="73"/>
  <c r="AH323" i="73"/>
  <c r="AH321" i="73"/>
  <c r="AH319" i="73"/>
  <c r="A4" i="69" l="1"/>
  <c r="A4" i="73"/>
  <c r="A2" i="73"/>
  <c r="T326" i="73"/>
  <c r="T323" i="73"/>
  <c r="S323" i="73"/>
  <c r="AE18" i="73"/>
  <c r="AC18" i="73"/>
  <c r="AA18" i="73"/>
  <c r="AE17" i="73"/>
  <c r="AC17" i="73"/>
  <c r="AA17" i="73"/>
  <c r="AE16" i="73"/>
  <c r="AC16" i="73"/>
  <c r="AA16" i="73"/>
  <c r="AE15" i="73"/>
  <c r="AC15" i="73"/>
  <c r="AA15" i="73"/>
  <c r="AE14" i="73"/>
  <c r="AC14" i="73"/>
  <c r="AA14" i="73"/>
  <c r="AE13" i="73"/>
  <c r="AC13" i="73"/>
  <c r="AA13" i="73"/>
  <c r="AE12" i="73"/>
  <c r="AC12" i="73"/>
  <c r="AA12" i="73"/>
  <c r="AE11" i="73"/>
  <c r="AC11" i="73"/>
  <c r="AA11" i="73"/>
  <c r="AE10" i="73"/>
  <c r="AC10" i="73"/>
  <c r="AA10" i="73"/>
  <c r="AE9" i="73"/>
  <c r="AC9" i="73"/>
  <c r="AA9" i="73"/>
  <c r="AE8" i="73"/>
  <c r="AC8" i="73"/>
  <c r="AA8" i="73"/>
  <c r="AE7" i="73"/>
  <c r="AC7" i="73"/>
  <c r="AA7" i="73"/>
  <c r="K1" i="73"/>
  <c r="G1" i="73"/>
  <c r="AI318" i="69"/>
  <c r="AJ318" i="69" s="1"/>
  <c r="AK318" i="69"/>
  <c r="AL318" i="69" s="1"/>
  <c r="AM318" i="69"/>
  <c r="AN318" i="69" s="1"/>
  <c r="AO318" i="69"/>
  <c r="AP318" i="69" s="1"/>
  <c r="AI319" i="69"/>
  <c r="AJ319" i="69" s="1"/>
  <c r="AK319" i="69"/>
  <c r="AL319" i="69" s="1"/>
  <c r="AM319" i="69"/>
  <c r="AN319" i="69" s="1"/>
  <c r="AO319" i="69"/>
  <c r="AP319" i="69" s="1"/>
  <c r="AI320" i="69"/>
  <c r="AJ320" i="69" s="1"/>
  <c r="AK320" i="69"/>
  <c r="AL320" i="69" s="1"/>
  <c r="AM320" i="69"/>
  <c r="AN320" i="69" s="1"/>
  <c r="AO320" i="69"/>
  <c r="AP320" i="69" s="1"/>
  <c r="AI321" i="69"/>
  <c r="AJ321" i="69" s="1"/>
  <c r="AK321" i="69"/>
  <c r="AL321" i="69" s="1"/>
  <c r="AM321" i="69"/>
  <c r="AN321" i="69" s="1"/>
  <c r="AO321" i="69"/>
  <c r="AP321" i="69" s="1"/>
  <c r="AI322" i="69"/>
  <c r="AJ322" i="69" s="1"/>
  <c r="AK322" i="69"/>
  <c r="AL322" i="69" s="1"/>
  <c r="AM322" i="69"/>
  <c r="AN322" i="69" s="1"/>
  <c r="AO322" i="69"/>
  <c r="AP322" i="69" s="1"/>
  <c r="AI323" i="69"/>
  <c r="AJ323" i="69" s="1"/>
  <c r="AK323" i="69"/>
  <c r="AL323" i="69" s="1"/>
  <c r="AM323" i="69"/>
  <c r="AN323" i="69" s="1"/>
  <c r="AO323" i="69"/>
  <c r="AP323" i="69" s="1"/>
  <c r="AI324" i="69"/>
  <c r="AJ324" i="69" s="1"/>
  <c r="AK324" i="69"/>
  <c r="AL324" i="69" s="1"/>
  <c r="AM324" i="69"/>
  <c r="AN324" i="69" s="1"/>
  <c r="AO324" i="69"/>
  <c r="AP324" i="69" s="1"/>
  <c r="AI325" i="69"/>
  <c r="AJ325" i="69" s="1"/>
  <c r="AK325" i="69"/>
  <c r="AL325" i="69" s="1"/>
  <c r="AM325" i="69"/>
  <c r="AN325" i="69" s="1"/>
  <c r="AO325" i="69"/>
  <c r="AP325" i="69" s="1"/>
  <c r="AI326" i="69"/>
  <c r="AJ326" i="69" s="1"/>
  <c r="AK326" i="69"/>
  <c r="AL326" i="69" s="1"/>
  <c r="AM326" i="69"/>
  <c r="AN326" i="69" s="1"/>
  <c r="AO326" i="69"/>
  <c r="AP326" i="69" s="1"/>
  <c r="AI327" i="69"/>
  <c r="AJ327" i="69" s="1"/>
  <c r="AK327" i="69"/>
  <c r="AL327" i="69" s="1"/>
  <c r="AM327" i="69"/>
  <c r="AN327" i="69" s="1"/>
  <c r="AO327" i="69"/>
  <c r="AP327" i="69" s="1"/>
  <c r="AI328" i="69"/>
  <c r="AJ328" i="69" s="1"/>
  <c r="AK328" i="69"/>
  <c r="AL328" i="69" s="1"/>
  <c r="AM328" i="69"/>
  <c r="AN328" i="69" s="1"/>
  <c r="AO328" i="69"/>
  <c r="AP328" i="69" s="1"/>
  <c r="AI329" i="69"/>
  <c r="AJ329" i="69" s="1"/>
  <c r="AK329" i="69"/>
  <c r="AL329" i="69" s="1"/>
  <c r="AM329" i="69"/>
  <c r="AN329" i="69" s="1"/>
  <c r="AO329" i="69"/>
  <c r="AP329" i="69" s="1"/>
  <c r="AI330" i="69"/>
  <c r="AJ330" i="69" s="1"/>
  <c r="AK330" i="69"/>
  <c r="AL330" i="69" s="1"/>
  <c r="AM330" i="69"/>
  <c r="AN330" i="69" s="1"/>
  <c r="AO330" i="69"/>
  <c r="AP330" i="69" s="1"/>
  <c r="AI331" i="69"/>
  <c r="AJ331" i="69" s="1"/>
  <c r="AK331" i="69"/>
  <c r="AL331" i="69" s="1"/>
  <c r="AM331" i="69"/>
  <c r="AN331" i="69" s="1"/>
  <c r="AO331" i="69"/>
  <c r="AP331" i="69" s="1"/>
  <c r="AI332" i="69"/>
  <c r="AJ332" i="69" s="1"/>
  <c r="AK332" i="69"/>
  <c r="AL332" i="69" s="1"/>
  <c r="AM332" i="69"/>
  <c r="AN332" i="69" s="1"/>
  <c r="AO332" i="69"/>
  <c r="AP332" i="69" s="1"/>
  <c r="AI333" i="69"/>
  <c r="AJ333" i="69" s="1"/>
  <c r="AK333" i="69"/>
  <c r="AL333" i="69" s="1"/>
  <c r="AM333" i="69"/>
  <c r="AN333" i="69" s="1"/>
  <c r="AO333" i="69"/>
  <c r="AP333" i="69" s="1"/>
  <c r="AF8" i="73" l="1"/>
  <c r="AF10" i="73"/>
  <c r="AF12" i="73"/>
  <c r="AF14" i="73"/>
  <c r="AF16" i="73"/>
  <c r="AF18" i="73"/>
  <c r="AF7" i="73"/>
  <c r="AF9" i="73"/>
  <c r="AF11" i="73"/>
  <c r="AF13" i="73"/>
  <c r="AF15" i="73"/>
  <c r="AF17" i="73"/>
  <c r="S326" i="73"/>
  <c r="AH328" i="69"/>
  <c r="AH326" i="69"/>
  <c r="AH324" i="69"/>
  <c r="AH322" i="69"/>
  <c r="AH320" i="69"/>
  <c r="AH318" i="69"/>
  <c r="AH332" i="69"/>
  <c r="AH330" i="69"/>
  <c r="AH333" i="69"/>
  <c r="AH329" i="69"/>
  <c r="AH325" i="69"/>
  <c r="AH321" i="69"/>
  <c r="AH331" i="69"/>
  <c r="AH327" i="69"/>
  <c r="AH323" i="69"/>
  <c r="AH319" i="69"/>
  <c r="N18" i="44"/>
  <c r="N20" i="44"/>
  <c r="N14" i="44"/>
  <c r="N12" i="44"/>
  <c r="N31" i="44"/>
  <c r="N9" i="44"/>
  <c r="N10" i="44"/>
  <c r="N36" i="44"/>
  <c r="N40" i="44"/>
  <c r="N39" i="44"/>
  <c r="N48" i="44"/>
  <c r="N26" i="44"/>
  <c r="N15" i="44"/>
  <c r="N64" i="44"/>
  <c r="N43" i="44"/>
  <c r="N17" i="44"/>
  <c r="N56" i="44"/>
  <c r="N55" i="44"/>
  <c r="N60" i="44"/>
  <c r="N114" i="44"/>
  <c r="N24" i="44"/>
  <c r="N78" i="44"/>
  <c r="N79" i="44"/>
  <c r="N33" i="44"/>
  <c r="N35" i="44"/>
  <c r="N53" i="44"/>
  <c r="N27" i="44"/>
  <c r="N30" i="44"/>
  <c r="N42" i="44"/>
  <c r="N65" i="44"/>
  <c r="N140" i="44"/>
  <c r="N72" i="44"/>
  <c r="N54" i="44"/>
  <c r="N141" i="44"/>
  <c r="N25" i="44"/>
  <c r="N69" i="44"/>
  <c r="N66" i="44"/>
  <c r="N77" i="44"/>
  <c r="N44" i="44"/>
  <c r="N85" i="44"/>
  <c r="N151" i="44"/>
  <c r="N142" i="44"/>
  <c r="N146" i="44"/>
  <c r="N75" i="44"/>
  <c r="N29" i="44"/>
  <c r="N62" i="44"/>
  <c r="N150" i="44"/>
  <c r="N49" i="44"/>
  <c r="N84" i="44"/>
  <c r="N157" i="44"/>
  <c r="N98" i="44"/>
  <c r="N103" i="44"/>
  <c r="N132" i="44"/>
  <c r="N92" i="44"/>
  <c r="N71" i="44"/>
  <c r="N120" i="44"/>
  <c r="N113" i="44"/>
  <c r="N152" i="44"/>
  <c r="N76" i="44"/>
  <c r="N147" i="44"/>
  <c r="N90" i="44"/>
  <c r="N58" i="44"/>
  <c r="N156" i="44"/>
  <c r="N129" i="44"/>
  <c r="N125" i="44"/>
  <c r="N145" i="44"/>
  <c r="N112" i="44"/>
  <c r="N158" i="44"/>
  <c r="N23" i="44"/>
  <c r="T333" i="69" l="1"/>
  <c r="T330" i="69"/>
  <c r="AI316" i="73" l="1"/>
  <c r="AJ316" i="73" s="1"/>
  <c r="AK316" i="73"/>
  <c r="AL316" i="73" s="1"/>
  <c r="AM316" i="73"/>
  <c r="AN316" i="73" s="1"/>
  <c r="AO316" i="73"/>
  <c r="AP316" i="73" s="1"/>
  <c r="AQ316" i="73"/>
  <c r="AR316" i="73" s="1"/>
  <c r="AI313" i="73"/>
  <c r="AJ313" i="73" s="1"/>
  <c r="AM313" i="73"/>
  <c r="AN313" i="73" s="1"/>
  <c r="AQ313" i="73"/>
  <c r="AR313" i="73" s="1"/>
  <c r="AK313" i="73"/>
  <c r="AL313" i="73" s="1"/>
  <c r="AO313" i="73"/>
  <c r="AP313" i="73" s="1"/>
  <c r="AI317" i="73"/>
  <c r="AJ317" i="73" s="1"/>
  <c r="AM317" i="73"/>
  <c r="AN317" i="73" s="1"/>
  <c r="AQ317" i="73"/>
  <c r="AR317" i="73" s="1"/>
  <c r="AK317" i="73"/>
  <c r="AL317" i="73" s="1"/>
  <c r="AO317" i="73"/>
  <c r="AP317" i="73" s="1"/>
  <c r="AI314" i="73"/>
  <c r="AJ314" i="73" s="1"/>
  <c r="AK314" i="73"/>
  <c r="AL314" i="73" s="1"/>
  <c r="AM314" i="73"/>
  <c r="AN314" i="73" s="1"/>
  <c r="AO314" i="73"/>
  <c r="AP314" i="73" s="1"/>
  <c r="AQ314" i="73"/>
  <c r="AR314" i="73" s="1"/>
  <c r="AI312" i="73"/>
  <c r="AJ312" i="73" s="1"/>
  <c r="AK312" i="73"/>
  <c r="AL312" i="73" s="1"/>
  <c r="AM312" i="73"/>
  <c r="AN312" i="73" s="1"/>
  <c r="AO312" i="73"/>
  <c r="AP312" i="73" s="1"/>
  <c r="AQ312" i="73"/>
  <c r="AR312" i="73" s="1"/>
  <c r="AK315" i="73"/>
  <c r="AL315" i="73" s="1"/>
  <c r="AO315" i="73"/>
  <c r="AP315" i="73" s="1"/>
  <c r="AI315" i="73"/>
  <c r="AJ315" i="73" s="1"/>
  <c r="AM315" i="73"/>
  <c r="AN315" i="73" s="1"/>
  <c r="AQ315" i="73"/>
  <c r="AR315" i="73" s="1"/>
  <c r="AH315" i="73" l="1"/>
  <c r="AH312" i="73"/>
  <c r="AH313" i="73"/>
  <c r="AH314" i="73"/>
  <c r="AH317" i="73"/>
  <c r="AH316" i="73"/>
  <c r="AA8" i="69"/>
  <c r="AA9" i="69"/>
  <c r="AA10" i="69"/>
  <c r="AA11" i="69"/>
  <c r="AA12" i="69"/>
  <c r="AA13" i="69"/>
  <c r="AA14" i="69"/>
  <c r="AA15" i="69"/>
  <c r="AA16" i="69"/>
  <c r="AA17" i="69"/>
  <c r="AA18" i="69"/>
  <c r="AA19" i="69"/>
  <c r="AA20" i="69"/>
  <c r="AA21" i="69"/>
  <c r="AA22" i="69"/>
  <c r="AA23" i="69"/>
  <c r="AA24" i="69"/>
  <c r="AA7" i="69"/>
  <c r="AE8" i="69"/>
  <c r="AE9" i="69"/>
  <c r="AE10" i="69"/>
  <c r="AE11" i="69"/>
  <c r="AE12" i="69"/>
  <c r="AE13" i="69"/>
  <c r="AE14" i="69"/>
  <c r="AE15" i="69"/>
  <c r="AE16" i="69"/>
  <c r="AE17" i="69"/>
  <c r="AE18" i="69"/>
  <c r="AE19" i="69"/>
  <c r="AE20" i="69"/>
  <c r="AE21" i="69"/>
  <c r="AE22" i="69"/>
  <c r="AE23" i="69"/>
  <c r="AE24" i="69"/>
  <c r="AE7" i="69"/>
  <c r="AC8" i="69"/>
  <c r="AF8" i="69" s="1"/>
  <c r="AC9" i="69"/>
  <c r="AF9" i="69" s="1"/>
  <c r="AC10" i="69"/>
  <c r="AF10" i="69" s="1"/>
  <c r="AC11" i="69"/>
  <c r="AF11" i="69" s="1"/>
  <c r="AC12" i="69"/>
  <c r="AF12" i="69" s="1"/>
  <c r="AC13" i="69"/>
  <c r="AF13" i="69" s="1"/>
  <c r="AC14" i="69"/>
  <c r="AF14" i="69" s="1"/>
  <c r="AC15" i="69"/>
  <c r="AF15" i="69" s="1"/>
  <c r="AC16" i="69"/>
  <c r="AF16" i="69" s="1"/>
  <c r="AC17" i="69"/>
  <c r="AF17" i="69" s="1"/>
  <c r="AC18" i="69"/>
  <c r="AF18" i="69" s="1"/>
  <c r="AC19" i="69"/>
  <c r="AF19" i="69" s="1"/>
  <c r="AC20" i="69"/>
  <c r="AF20" i="69" s="1"/>
  <c r="AC21" i="69"/>
  <c r="AF21" i="69" s="1"/>
  <c r="AC22" i="69"/>
  <c r="AF22" i="69" s="1"/>
  <c r="AC23" i="69"/>
  <c r="AF23" i="69" s="1"/>
  <c r="AC24" i="69"/>
  <c r="AF24" i="69" s="1"/>
  <c r="AC7" i="69"/>
  <c r="AF7" i="69" s="1"/>
  <c r="K1" i="69"/>
  <c r="A2" i="69"/>
  <c r="G1" i="69" l="1"/>
  <c r="H20" i="36" l="1"/>
  <c r="A3" i="77" s="1"/>
  <c r="H21" i="36"/>
  <c r="A3" i="78" s="1"/>
  <c r="AD4" i="44" l="1"/>
  <c r="AC4" i="44"/>
  <c r="AK4" i="44"/>
  <c r="AL4" i="44"/>
  <c r="AA4" i="44" l="1"/>
  <c r="W4" i="44"/>
  <c r="H8" i="36" l="1"/>
  <c r="D23" i="44" l="1"/>
  <c r="F23" i="44"/>
  <c r="D40" i="44"/>
  <c r="F40" i="44"/>
  <c r="D26" i="44"/>
  <c r="F26" i="44"/>
  <c r="D64" i="44"/>
  <c r="F64" i="44"/>
  <c r="D43" i="44"/>
  <c r="F43" i="44"/>
  <c r="D55" i="44"/>
  <c r="F55" i="44"/>
  <c r="D114" i="44"/>
  <c r="F114" i="44"/>
  <c r="D20" i="44"/>
  <c r="F20" i="44"/>
  <c r="D79" i="44"/>
  <c r="F79" i="44"/>
  <c r="D31" i="44"/>
  <c r="F31" i="44"/>
  <c r="B11" i="44"/>
  <c r="F11" i="44"/>
  <c r="B81" i="44"/>
  <c r="F81" i="44"/>
  <c r="B13" i="44"/>
  <c r="F13" i="44"/>
  <c r="D14" i="44"/>
  <c r="F14" i="44"/>
  <c r="B41" i="44"/>
  <c r="F41" i="44"/>
  <c r="D18" i="44"/>
  <c r="F18" i="44"/>
  <c r="D35" i="44"/>
  <c r="F35" i="44"/>
  <c r="D15" i="44"/>
  <c r="F15" i="44"/>
  <c r="D53" i="44"/>
  <c r="F53" i="44"/>
  <c r="D27" i="44"/>
  <c r="F27" i="44"/>
  <c r="D30" i="44"/>
  <c r="F30" i="44"/>
  <c r="B82" i="44"/>
  <c r="F82" i="44"/>
  <c r="D42" i="44"/>
  <c r="F42" i="44"/>
  <c r="D65" i="44"/>
  <c r="D39" i="44"/>
  <c r="F39" i="44"/>
  <c r="D140" i="44"/>
  <c r="F140" i="44"/>
  <c r="B38" i="44"/>
  <c r="F38" i="44"/>
  <c r="D72" i="44"/>
  <c r="F72" i="44"/>
  <c r="D54" i="44"/>
  <c r="F54" i="44"/>
  <c r="B46" i="44"/>
  <c r="F46" i="44"/>
  <c r="D141" i="44"/>
  <c r="F141" i="44"/>
  <c r="B51" i="44"/>
  <c r="F51" i="44"/>
  <c r="D25" i="44"/>
  <c r="F25" i="44"/>
  <c r="D10" i="44"/>
  <c r="F10" i="44"/>
  <c r="D17" i="44"/>
  <c r="F17" i="44"/>
  <c r="D69" i="44"/>
  <c r="F69" i="44"/>
  <c r="D66" i="44"/>
  <c r="F66" i="44"/>
  <c r="B70" i="44"/>
  <c r="F70" i="44"/>
  <c r="D24" i="44"/>
  <c r="D78" i="44"/>
  <c r="F78" i="44"/>
  <c r="B32" i="44"/>
  <c r="F32" i="44"/>
  <c r="D77" i="44"/>
  <c r="F77" i="44"/>
  <c r="D44" i="44"/>
  <c r="F44" i="44"/>
  <c r="D85" i="44"/>
  <c r="F85" i="44"/>
  <c r="D151" i="44"/>
  <c r="F151" i="44"/>
  <c r="D142" i="44"/>
  <c r="F142" i="44"/>
  <c r="D146" i="44"/>
  <c r="F146" i="44"/>
  <c r="D75" i="44"/>
  <c r="F75" i="44"/>
  <c r="B59" i="44"/>
  <c r="F59" i="44"/>
  <c r="B154" i="44"/>
  <c r="F154" i="44"/>
  <c r="D29" i="44"/>
  <c r="F29" i="44"/>
  <c r="D62" i="44"/>
  <c r="F62" i="44"/>
  <c r="D150" i="44"/>
  <c r="F150" i="44"/>
  <c r="D49" i="44"/>
  <c r="F49" i="44"/>
  <c r="B22" i="44"/>
  <c r="F22" i="44"/>
  <c r="B21" i="44"/>
  <c r="F21" i="44"/>
  <c r="B153" i="44"/>
  <c r="F153" i="44"/>
  <c r="D36" i="44"/>
  <c r="F36" i="44"/>
  <c r="D84" i="44"/>
  <c r="F84" i="44"/>
  <c r="B155" i="44"/>
  <c r="F155" i="44"/>
  <c r="D9" i="44"/>
  <c r="F9" i="44"/>
  <c r="D157" i="44"/>
  <c r="F157" i="44"/>
  <c r="D98" i="44"/>
  <c r="F98" i="44"/>
  <c r="D48" i="44"/>
  <c r="F48" i="44"/>
  <c r="B102" i="44"/>
  <c r="F102" i="44"/>
  <c r="B68" i="44"/>
  <c r="F68" i="44"/>
  <c r="B50" i="44"/>
  <c r="F50" i="44"/>
  <c r="D103" i="44"/>
  <c r="F103" i="44"/>
  <c r="B143" i="44"/>
  <c r="F143" i="44"/>
  <c r="B45" i="44"/>
  <c r="F45" i="44"/>
  <c r="B19" i="44"/>
  <c r="F19" i="44"/>
  <c r="B37" i="44"/>
  <c r="F37" i="44"/>
  <c r="B16" i="44"/>
  <c r="F16" i="44"/>
  <c r="D132" i="44"/>
  <c r="F132" i="44"/>
  <c r="D92" i="44"/>
  <c r="F92" i="44"/>
  <c r="D71" i="44"/>
  <c r="B149" i="44"/>
  <c r="F149" i="44"/>
  <c r="D120" i="44"/>
  <c r="F120" i="44"/>
  <c r="D12" i="44"/>
  <c r="F12" i="44"/>
  <c r="D113" i="44"/>
  <c r="F113" i="44"/>
  <c r="D152" i="44"/>
  <c r="F152" i="44"/>
  <c r="B83" i="44"/>
  <c r="F83" i="44"/>
  <c r="D76" i="44"/>
  <c r="F76" i="44"/>
  <c r="B87" i="44"/>
  <c r="F87" i="44"/>
  <c r="D147" i="44"/>
  <c r="F147" i="44"/>
  <c r="D60" i="44"/>
  <c r="F60" i="44"/>
  <c r="D90" i="44"/>
  <c r="D58" i="44"/>
  <c r="F58" i="44"/>
  <c r="D56" i="44"/>
  <c r="F56" i="44"/>
  <c r="D156" i="44"/>
  <c r="F156" i="44"/>
  <c r="D33" i="44"/>
  <c r="F33" i="44"/>
  <c r="D129" i="44"/>
  <c r="F129" i="44"/>
  <c r="B144" i="44"/>
  <c r="F144" i="44"/>
  <c r="D125" i="44"/>
  <c r="F125" i="44"/>
  <c r="D145" i="44"/>
  <c r="F145" i="44"/>
  <c r="D112" i="44"/>
  <c r="F112" i="44"/>
  <c r="B148" i="44"/>
  <c r="F148" i="44"/>
  <c r="D158" i="44"/>
  <c r="F158" i="44"/>
  <c r="B159" i="44"/>
  <c r="F159" i="44"/>
  <c r="B63" i="44"/>
  <c r="F63" i="44"/>
  <c r="F28" i="44"/>
  <c r="B121" i="44" l="1"/>
  <c r="B28" i="44"/>
  <c r="H10" i="36" l="1"/>
  <c r="H7" i="36"/>
  <c r="H6" i="36"/>
  <c r="E29" i="36" l="1"/>
  <c r="A1" i="83" s="1"/>
  <c r="H29" i="36"/>
  <c r="A3" i="83" s="1"/>
  <c r="F14" i="36"/>
  <c r="E14" i="36"/>
  <c r="E25" i="36"/>
  <c r="A1" i="81" s="1"/>
  <c r="B218" i="83" l="1"/>
  <c r="B217" i="83"/>
  <c r="B192" i="83"/>
  <c r="B102" i="83"/>
  <c r="B106" i="83"/>
  <c r="B110" i="83"/>
  <c r="B114" i="83"/>
  <c r="C115" i="83" s="1"/>
  <c r="G113" i="83" s="1"/>
  <c r="B142" i="83"/>
  <c r="C161" i="83" s="1"/>
  <c r="B146" i="83"/>
  <c r="B150" i="83"/>
  <c r="C149" i="83" s="1"/>
  <c r="G157" i="83" s="1"/>
  <c r="B178" i="83"/>
  <c r="C179" i="83" s="1"/>
  <c r="B182" i="83"/>
  <c r="C201" i="83" s="1"/>
  <c r="G200" i="83" s="1"/>
  <c r="M205" i="83" s="1"/>
  <c r="B186" i="83"/>
  <c r="C203" i="83" s="1"/>
  <c r="B190" i="83"/>
  <c r="B154" i="83"/>
  <c r="B219" i="83"/>
  <c r="B104" i="83"/>
  <c r="B108" i="83"/>
  <c r="B112" i="83"/>
  <c r="B140" i="83"/>
  <c r="C141" i="83" s="1"/>
  <c r="G143" i="83" s="1"/>
  <c r="B144" i="83"/>
  <c r="B148" i="83"/>
  <c r="C165" i="83" s="1"/>
  <c r="B152" i="83"/>
  <c r="B180" i="83"/>
  <c r="C199" i="83" s="1"/>
  <c r="G207" i="83" s="1"/>
  <c r="M208" i="83" s="1"/>
  <c r="B184" i="83"/>
  <c r="C183" i="83" s="1"/>
  <c r="B188" i="83"/>
  <c r="C187" i="83" s="1"/>
  <c r="G189" i="83" s="1"/>
  <c r="B116" i="83"/>
  <c r="C129" i="83" s="1"/>
  <c r="A1" i="74"/>
  <c r="A1" i="51"/>
  <c r="A1" i="63"/>
  <c r="A1" i="61"/>
  <c r="A1" i="62"/>
  <c r="E24" i="36"/>
  <c r="A1" i="79" s="1"/>
  <c r="C205" i="83" l="1"/>
  <c r="C191" i="83"/>
  <c r="G195" i="83" s="1"/>
  <c r="M159" i="83"/>
  <c r="C111" i="83"/>
  <c r="G119" i="83" s="1"/>
  <c r="C127" i="83"/>
  <c r="C103" i="83"/>
  <c r="C123" i="83"/>
  <c r="V216" i="83"/>
  <c r="C167" i="83"/>
  <c r="C153" i="83"/>
  <c r="G151" i="83" s="1"/>
  <c r="G193" i="83"/>
  <c r="G181" i="83"/>
  <c r="C145" i="83"/>
  <c r="G155" i="83" s="1"/>
  <c r="M156" i="83" s="1"/>
  <c r="C163" i="83"/>
  <c r="C125" i="83"/>
  <c r="C107" i="83"/>
  <c r="O218" i="83"/>
  <c r="F23" i="36"/>
  <c r="E23" i="36"/>
  <c r="E21" i="36"/>
  <c r="A1" i="78" s="1"/>
  <c r="E20" i="36"/>
  <c r="A1" i="77" s="1"/>
  <c r="H19" i="36"/>
  <c r="A3" i="76" s="1"/>
  <c r="E19" i="36"/>
  <c r="A1" i="76" s="1"/>
  <c r="E18" i="36"/>
  <c r="A1" i="75" s="1"/>
  <c r="M143" i="77" l="1"/>
  <c r="M140" i="77"/>
  <c r="B102" i="77"/>
  <c r="C103" i="77" s="1"/>
  <c r="B110" i="77"/>
  <c r="C111" i="77" s="1"/>
  <c r="G119" i="77" s="1"/>
  <c r="M118" i="77" s="1"/>
  <c r="B104" i="77"/>
  <c r="C123" i="77" s="1"/>
  <c r="G131" i="77" s="1"/>
  <c r="M132" i="77" s="1"/>
  <c r="B112" i="77"/>
  <c r="C127" i="77" s="1"/>
  <c r="G128" i="77" s="1"/>
  <c r="M126" i="77" s="1"/>
  <c r="M146" i="77"/>
  <c r="B106" i="77"/>
  <c r="B114" i="77"/>
  <c r="C115" i="77" s="1"/>
  <c r="G113" i="77" s="1"/>
  <c r="B108" i="77"/>
  <c r="B116" i="77"/>
  <c r="C129" i="77" s="1"/>
  <c r="G133" i="77" s="1"/>
  <c r="M135" i="77" s="1"/>
  <c r="A1" i="31"/>
  <c r="A1" i="67"/>
  <c r="G171" i="83"/>
  <c r="M170" i="83" s="1"/>
  <c r="G166" i="83"/>
  <c r="O221" i="83"/>
  <c r="O220" i="83"/>
  <c r="G209" i="83"/>
  <c r="M211" i="83" s="1"/>
  <c r="G204" i="83"/>
  <c r="M202" i="83" s="1"/>
  <c r="B190" i="76"/>
  <c r="C205" i="76" s="1"/>
  <c r="B154" i="76"/>
  <c r="B182" i="76"/>
  <c r="C201" i="76" s="1"/>
  <c r="G200" i="76" s="1"/>
  <c r="B188" i="76"/>
  <c r="B178" i="76"/>
  <c r="C179" i="76" s="1"/>
  <c r="G193" i="76" s="1"/>
  <c r="M197" i="76" s="1"/>
  <c r="B102" i="76"/>
  <c r="C103" i="76" s="1"/>
  <c r="G105" i="76" s="1"/>
  <c r="M109" i="76" s="1"/>
  <c r="B106" i="76"/>
  <c r="C125" i="76" s="1"/>
  <c r="B110" i="76"/>
  <c r="B114" i="76"/>
  <c r="C115" i="76" s="1"/>
  <c r="G113" i="76" s="1"/>
  <c r="M114" i="76" s="1"/>
  <c r="B142" i="76"/>
  <c r="C161" i="76" s="1"/>
  <c r="B146" i="76"/>
  <c r="C145" i="76" s="1"/>
  <c r="B150" i="76"/>
  <c r="C149" i="76" s="1"/>
  <c r="G157" i="76" s="1"/>
  <c r="B116" i="76"/>
  <c r="C129" i="76" s="1"/>
  <c r="B180" i="76"/>
  <c r="C199" i="76" s="1"/>
  <c r="G207" i="76" s="1"/>
  <c r="B184" i="76"/>
  <c r="C183" i="76" s="1"/>
  <c r="G181" i="76" s="1"/>
  <c r="B192" i="76"/>
  <c r="C191" i="76" s="1"/>
  <c r="B186" i="76"/>
  <c r="B104" i="76"/>
  <c r="C123" i="76" s="1"/>
  <c r="B108" i="76"/>
  <c r="C107" i="76" s="1"/>
  <c r="G117" i="76" s="1"/>
  <c r="M121" i="76" s="1"/>
  <c r="B112" i="76"/>
  <c r="B140" i="76"/>
  <c r="C141" i="76" s="1"/>
  <c r="B144" i="76"/>
  <c r="C163" i="76" s="1"/>
  <c r="B148" i="76"/>
  <c r="C165" i="76" s="1"/>
  <c r="B152" i="76"/>
  <c r="C155" i="75"/>
  <c r="I154" i="75" s="1"/>
  <c r="B138" i="75"/>
  <c r="C137" i="75" s="1"/>
  <c r="I142" i="75" s="1"/>
  <c r="B121" i="75"/>
  <c r="C127" i="75" s="1"/>
  <c r="I131" i="75" s="1"/>
  <c r="B140" i="75"/>
  <c r="C146" i="75" s="1"/>
  <c r="I145" i="75" s="1"/>
  <c r="B123" i="75"/>
  <c r="C129" i="75" s="1"/>
  <c r="I128" i="75" s="1"/>
  <c r="B108" i="75"/>
  <c r="C112" i="75" s="1"/>
  <c r="B106" i="75"/>
  <c r="B142" i="75"/>
  <c r="C141" i="75" s="1"/>
  <c r="I139" i="75" s="1"/>
  <c r="B125" i="75"/>
  <c r="C124" i="75" s="1"/>
  <c r="I122" i="75" s="1"/>
  <c r="C153" i="75"/>
  <c r="I157" i="75" s="1"/>
  <c r="B136" i="75"/>
  <c r="C144" i="75" s="1"/>
  <c r="I148" i="75" s="1"/>
  <c r="B119" i="75"/>
  <c r="C120" i="75" s="1"/>
  <c r="I125" i="75" s="1"/>
  <c r="B104" i="75"/>
  <c r="B102" i="75"/>
  <c r="B154" i="78"/>
  <c r="B104" i="78"/>
  <c r="C123" i="78" s="1"/>
  <c r="G131" i="78" s="1"/>
  <c r="M132" i="78" s="1"/>
  <c r="B108" i="78"/>
  <c r="B112" i="78"/>
  <c r="B140" i="78"/>
  <c r="C141" i="78" s="1"/>
  <c r="B144" i="78"/>
  <c r="C145" i="78" s="1"/>
  <c r="B148" i="78"/>
  <c r="B152" i="78"/>
  <c r="B102" i="78"/>
  <c r="C103" i="78" s="1"/>
  <c r="B106" i="78"/>
  <c r="B110" i="78"/>
  <c r="B114" i="78"/>
  <c r="B146" i="78"/>
  <c r="C163" i="78" s="1"/>
  <c r="G162" i="78" s="1"/>
  <c r="B150" i="78"/>
  <c r="B116" i="78"/>
  <c r="G117" i="83"/>
  <c r="G105" i="83"/>
  <c r="G169" i="83"/>
  <c r="M173" i="83" s="1"/>
  <c r="G162" i="83"/>
  <c r="M190" i="83"/>
  <c r="M185" i="83"/>
  <c r="M152" i="83"/>
  <c r="M147" i="83"/>
  <c r="O217" i="83"/>
  <c r="G131" i="83"/>
  <c r="G124" i="83"/>
  <c r="M129" i="83" s="1"/>
  <c r="G128" i="83"/>
  <c r="M126" i="83" s="1"/>
  <c r="G133" i="83"/>
  <c r="M194" i="83"/>
  <c r="M197" i="83"/>
  <c r="O219" i="83"/>
  <c r="H12" i="36"/>
  <c r="A3" i="69" s="1"/>
  <c r="M167" i="83" l="1"/>
  <c r="M164" i="83"/>
  <c r="M109" i="83"/>
  <c r="M114" i="83"/>
  <c r="C129" i="78"/>
  <c r="G128" i="78" s="1"/>
  <c r="M126" i="78" s="1"/>
  <c r="C115" i="78"/>
  <c r="G113" i="78" s="1"/>
  <c r="M114" i="78" s="1"/>
  <c r="C127" i="78"/>
  <c r="G133" i="78" s="1"/>
  <c r="M135" i="78" s="1"/>
  <c r="C111" i="78"/>
  <c r="G119" i="78" s="1"/>
  <c r="G166" i="76"/>
  <c r="C187" i="76"/>
  <c r="C203" i="76"/>
  <c r="G143" i="76"/>
  <c r="M147" i="76" s="1"/>
  <c r="G155" i="76"/>
  <c r="C107" i="77"/>
  <c r="C125" i="77"/>
  <c r="G124" i="77" s="1"/>
  <c r="M129" i="77" s="1"/>
  <c r="M135" i="83"/>
  <c r="M132" i="83"/>
  <c r="M226" i="83"/>
  <c r="M223" i="83"/>
  <c r="M229" i="83"/>
  <c r="M121" i="83"/>
  <c r="M118" i="83"/>
  <c r="C165" i="78"/>
  <c r="C149" i="78"/>
  <c r="G157" i="78" s="1"/>
  <c r="C125" i="78"/>
  <c r="G124" i="78" s="1"/>
  <c r="M129" i="78" s="1"/>
  <c r="C107" i="78"/>
  <c r="C167" i="78"/>
  <c r="C153" i="78"/>
  <c r="G151" i="78" s="1"/>
  <c r="M152" i="78" s="1"/>
  <c r="G143" i="78"/>
  <c r="M147" i="78" s="1"/>
  <c r="G155" i="78"/>
  <c r="C167" i="76"/>
  <c r="G171" i="76" s="1"/>
  <c r="M170" i="76" s="1"/>
  <c r="C153" i="76"/>
  <c r="G151" i="76" s="1"/>
  <c r="M152" i="76" s="1"/>
  <c r="G162" i="76"/>
  <c r="G169" i="76"/>
  <c r="M173" i="76" s="1"/>
  <c r="C111" i="76"/>
  <c r="G119" i="76" s="1"/>
  <c r="M118" i="76" s="1"/>
  <c r="C127" i="76"/>
  <c r="G124" i="76"/>
  <c r="M129" i="76" s="1"/>
  <c r="G131" i="76"/>
  <c r="M132" i="76" s="1"/>
  <c r="B302" i="76"/>
  <c r="B300" i="76"/>
  <c r="B303" i="76"/>
  <c r="B301" i="76"/>
  <c r="I1" i="67"/>
  <c r="AK10" i="76" l="1"/>
  <c r="AL10" i="76" s="1"/>
  <c r="AI10" i="76"/>
  <c r="AO10" i="76"/>
  <c r="AM10" i="76"/>
  <c r="AM9" i="76"/>
  <c r="AN9" i="76" s="1"/>
  <c r="AI9" i="76"/>
  <c r="AO9" i="76"/>
  <c r="AP9" i="76" s="1"/>
  <c r="AK9" i="76"/>
  <c r="G171" i="78"/>
  <c r="M170" i="78" s="1"/>
  <c r="G166" i="78"/>
  <c r="B320" i="83"/>
  <c r="M156" i="76"/>
  <c r="M159" i="76"/>
  <c r="G209" i="76"/>
  <c r="G204" i="76"/>
  <c r="M167" i="76"/>
  <c r="M164" i="76"/>
  <c r="AI8" i="76"/>
  <c r="AK8" i="76"/>
  <c r="AM8" i="76"/>
  <c r="AN8" i="76" s="1"/>
  <c r="AO8" i="76"/>
  <c r="AP8" i="76" s="1"/>
  <c r="AB9" i="44"/>
  <c r="AB18" i="44"/>
  <c r="AB38" i="44"/>
  <c r="AB17" i="44"/>
  <c r="AB61" i="44"/>
  <c r="AI7" i="76"/>
  <c r="AK7" i="76"/>
  <c r="AB11" i="44"/>
  <c r="AB39" i="44"/>
  <c r="AB87" i="44"/>
  <c r="AB25" i="44"/>
  <c r="AM7" i="76"/>
  <c r="AN7" i="76" s="1"/>
  <c r="AO7" i="76"/>
  <c r="AP7" i="76" s="1"/>
  <c r="G133" i="76"/>
  <c r="M135" i="76" s="1"/>
  <c r="G128" i="76"/>
  <c r="M126" i="76" s="1"/>
  <c r="G105" i="78"/>
  <c r="M109" i="78" s="1"/>
  <c r="G117" i="78"/>
  <c r="M159" i="78"/>
  <c r="M156" i="78"/>
  <c r="G117" i="77"/>
  <c r="M121" i="77" s="1"/>
  <c r="G105" i="77"/>
  <c r="G195" i="76"/>
  <c r="M194" i="76" s="1"/>
  <c r="G189" i="76"/>
  <c r="B300" i="83"/>
  <c r="B302" i="83"/>
  <c r="B304" i="83"/>
  <c r="B305" i="83"/>
  <c r="B303" i="83"/>
  <c r="B301" i="83"/>
  <c r="B312" i="83"/>
  <c r="B314" i="83"/>
  <c r="B324" i="83"/>
  <c r="B315" i="83"/>
  <c r="B316" i="83"/>
  <c r="B308" i="83"/>
  <c r="B307" i="83"/>
  <c r="B318" i="83"/>
  <c r="B310" i="83"/>
  <c r="B309" i="83"/>
  <c r="B311" i="83"/>
  <c r="B322" i="83"/>
  <c r="B306" i="83"/>
  <c r="B313" i="83"/>
  <c r="B326" i="83"/>
  <c r="B319" i="83"/>
  <c r="B317" i="83"/>
  <c r="B325" i="83"/>
  <c r="B323" i="83"/>
  <c r="B321" i="83"/>
  <c r="A4" i="66"/>
  <c r="A2" i="66"/>
  <c r="F1" i="66"/>
  <c r="AL9" i="44" l="1"/>
  <c r="M190" i="76"/>
  <c r="M185" i="76"/>
  <c r="M109" i="77"/>
  <c r="M114" i="77"/>
  <c r="M121" i="78"/>
  <c r="M118" i="78"/>
  <c r="B307" i="76"/>
  <c r="B313" i="76"/>
  <c r="B310" i="76"/>
  <c r="B312" i="76"/>
  <c r="B319" i="76"/>
  <c r="B306" i="76"/>
  <c r="B316" i="76"/>
  <c r="B311" i="76"/>
  <c r="B308" i="76"/>
  <c r="B309" i="76"/>
  <c r="B315" i="76"/>
  <c r="B304" i="76"/>
  <c r="B305" i="76"/>
  <c r="B314" i="76"/>
  <c r="M208" i="76"/>
  <c r="M211" i="76"/>
  <c r="M167" i="78"/>
  <c r="M164" i="78"/>
  <c r="AL52" i="44"/>
  <c r="AL66" i="44"/>
  <c r="AL24" i="44"/>
  <c r="AL53" i="44"/>
  <c r="AL27" i="44"/>
  <c r="AL23" i="44"/>
  <c r="AL79" i="44"/>
  <c r="AL12" i="44"/>
  <c r="AL38" i="44"/>
  <c r="AL64" i="44"/>
  <c r="AL11" i="44"/>
  <c r="AL72" i="44"/>
  <c r="AL112" i="44"/>
  <c r="AL92" i="44"/>
  <c r="AL10" i="44"/>
  <c r="AL29" i="44"/>
  <c r="AL49" i="44"/>
  <c r="AL69" i="44"/>
  <c r="AL57" i="44"/>
  <c r="AL104" i="44"/>
  <c r="AL78" i="44"/>
  <c r="AL132" i="44"/>
  <c r="AL143" i="44"/>
  <c r="AL162" i="44"/>
  <c r="AL177" i="44"/>
  <c r="AL15" i="44"/>
  <c r="AL34" i="44"/>
  <c r="AL54" i="44"/>
  <c r="AL58" i="44"/>
  <c r="AL106" i="44"/>
  <c r="AL119" i="44"/>
  <c r="AL84" i="44"/>
  <c r="AL157" i="44"/>
  <c r="AL161" i="44"/>
  <c r="AL176" i="44"/>
  <c r="AL25" i="44"/>
  <c r="AL35" i="44"/>
  <c r="AL68" i="44"/>
  <c r="AL89" i="44"/>
  <c r="AL114" i="44"/>
  <c r="AL134" i="44"/>
  <c r="AL149" i="44"/>
  <c r="AL171" i="44"/>
  <c r="AL21" i="44"/>
  <c r="AL41" i="44"/>
  <c r="AL44" i="44"/>
  <c r="AL85" i="44"/>
  <c r="AL74" i="44"/>
  <c r="AL113" i="44"/>
  <c r="AL125" i="44"/>
  <c r="AL71" i="44"/>
  <c r="AL100" i="44"/>
  <c r="AL178" i="44"/>
  <c r="AL189" i="44"/>
  <c r="AL185" i="44"/>
  <c r="AL196" i="44"/>
  <c r="AL136" i="44"/>
  <c r="AL42" i="44"/>
  <c r="AL39" i="44"/>
  <c r="AL101" i="44"/>
  <c r="AL116" i="44"/>
  <c r="AL128" i="44"/>
  <c r="AL150" i="44"/>
  <c r="AL158" i="44"/>
  <c r="AL173" i="44"/>
  <c r="AL16" i="44"/>
  <c r="AL37" i="44"/>
  <c r="AL59" i="44"/>
  <c r="AL87" i="44"/>
  <c r="AL108" i="44"/>
  <c r="AL121" i="44"/>
  <c r="AL133" i="44"/>
  <c r="AL152" i="44"/>
  <c r="AL164" i="44"/>
  <c r="AL88" i="44"/>
  <c r="AL18" i="44"/>
  <c r="AL47" i="44"/>
  <c r="AL76" i="44"/>
  <c r="AL96" i="44"/>
  <c r="AL110" i="44"/>
  <c r="AL122" i="44"/>
  <c r="AL140" i="44"/>
  <c r="AL156" i="44"/>
  <c r="AL167" i="44"/>
  <c r="AL181" i="44"/>
  <c r="AL20" i="44"/>
  <c r="AL46" i="44"/>
  <c r="AL48" i="44"/>
  <c r="AL60" i="44"/>
  <c r="AL102" i="44"/>
  <c r="AL117" i="44"/>
  <c r="AL81" i="44"/>
  <c r="AL153" i="44"/>
  <c r="AL159" i="44"/>
  <c r="AL174" i="44"/>
  <c r="AL186" i="44"/>
  <c r="AL201" i="44"/>
  <c r="AL192" i="44"/>
  <c r="AL131" i="44"/>
  <c r="AL19" i="44"/>
  <c r="AL32" i="44"/>
  <c r="AL55" i="44"/>
  <c r="AL80" i="44"/>
  <c r="AL73" i="44"/>
  <c r="AL83" i="44"/>
  <c r="AL124" i="44"/>
  <c r="AL151" i="44"/>
  <c r="AL144" i="44"/>
  <c r="AL169" i="44"/>
  <c r="AL183" i="44"/>
  <c r="AL31" i="44"/>
  <c r="AL33" i="44"/>
  <c r="AL61" i="44"/>
  <c r="AL95" i="44"/>
  <c r="AL111" i="44"/>
  <c r="AL123" i="44"/>
  <c r="AL141" i="44"/>
  <c r="AL129" i="44"/>
  <c r="AL168" i="44"/>
  <c r="AL22" i="44"/>
  <c r="AL28" i="44"/>
  <c r="AL65" i="44"/>
  <c r="AL67" i="44"/>
  <c r="AL107" i="44"/>
  <c r="AL126" i="44"/>
  <c r="AL146" i="44"/>
  <c r="AL163" i="44"/>
  <c r="AL179" i="44"/>
  <c r="AL30" i="44"/>
  <c r="AL36" i="44"/>
  <c r="AL56" i="44"/>
  <c r="AL82" i="44"/>
  <c r="AL105" i="44"/>
  <c r="AL120" i="44"/>
  <c r="AL142" i="44"/>
  <c r="AL145" i="44"/>
  <c r="AL170" i="44"/>
  <c r="AL138" i="44"/>
  <c r="AL197" i="44"/>
  <c r="AL188" i="44"/>
  <c r="AL184" i="44"/>
  <c r="AL17" i="44"/>
  <c r="AL51" i="44"/>
  <c r="AL93" i="44"/>
  <c r="AL109" i="44"/>
  <c r="AL86" i="44"/>
  <c r="AL135" i="44"/>
  <c r="AL147" i="44"/>
  <c r="AL165" i="44"/>
  <c r="AL180" i="44"/>
  <c r="AL26" i="44"/>
  <c r="AL50" i="44"/>
  <c r="AL77" i="44"/>
  <c r="AL99" i="44"/>
  <c r="AL115" i="44"/>
  <c r="AL127" i="44"/>
  <c r="AL154" i="44"/>
  <c r="AL148" i="44"/>
  <c r="AL172" i="44"/>
  <c r="AL14" i="44"/>
  <c r="AL40" i="44"/>
  <c r="AL63" i="44"/>
  <c r="AL70" i="44"/>
  <c r="AL103" i="44"/>
  <c r="AL118" i="44"/>
  <c r="AL130" i="44"/>
  <c r="AL155" i="44"/>
  <c r="AL160" i="44"/>
  <c r="AL175" i="44"/>
  <c r="AL13" i="44"/>
  <c r="AL43" i="44"/>
  <c r="AL45" i="44"/>
  <c r="AL75" i="44"/>
  <c r="AL94" i="44"/>
  <c r="AL98" i="44"/>
  <c r="AL90" i="44"/>
  <c r="AL97" i="44"/>
  <c r="AL91" i="44"/>
  <c r="AL191" i="44"/>
  <c r="AL190" i="44"/>
  <c r="AL199" i="44"/>
  <c r="AL187" i="44"/>
  <c r="AL195" i="44"/>
  <c r="AL62" i="44"/>
  <c r="AL137" i="44"/>
  <c r="AL166" i="44"/>
  <c r="AL193" i="44"/>
  <c r="AL200" i="44"/>
  <c r="AL198" i="44"/>
  <c r="AL139" i="44"/>
  <c r="AL194" i="44"/>
  <c r="AL182" i="44"/>
  <c r="B307" i="78"/>
  <c r="B303" i="78"/>
  <c r="B308" i="78"/>
  <c r="B304" i="78"/>
  <c r="B300" i="78"/>
  <c r="B309" i="78"/>
  <c r="B305" i="78"/>
  <c r="B301" i="78"/>
  <c r="B306" i="78"/>
  <c r="B302" i="78"/>
  <c r="B313" i="78"/>
  <c r="B314" i="78"/>
  <c r="B310" i="78"/>
  <c r="B312" i="78"/>
  <c r="B311" i="78"/>
  <c r="M205" i="76"/>
  <c r="M202" i="76"/>
  <c r="B320" i="76" s="1"/>
  <c r="G61" i="49"/>
  <c r="G60" i="49"/>
  <c r="G59" i="49"/>
  <c r="G58" i="49"/>
  <c r="G57" i="49"/>
  <c r="G56" i="49"/>
  <c r="G51" i="49"/>
  <c r="G50" i="49"/>
  <c r="G49" i="49"/>
  <c r="G48" i="49"/>
  <c r="G47" i="49"/>
  <c r="G46" i="49"/>
  <c r="G41" i="49"/>
  <c r="G40" i="49"/>
  <c r="G39" i="49"/>
  <c r="G38" i="49"/>
  <c r="G37" i="49"/>
  <c r="G36" i="49"/>
  <c r="G31" i="49"/>
  <c r="G30" i="49"/>
  <c r="G29" i="49"/>
  <c r="G28" i="49"/>
  <c r="G27" i="49"/>
  <c r="G26" i="49"/>
  <c r="C61" i="49"/>
  <c r="C60" i="49"/>
  <c r="C59" i="49"/>
  <c r="C58" i="49"/>
  <c r="C57" i="49"/>
  <c r="C56" i="49"/>
  <c r="C51" i="49"/>
  <c r="C50" i="49"/>
  <c r="C49" i="49"/>
  <c r="C48" i="49"/>
  <c r="C47" i="49"/>
  <c r="C46" i="49"/>
  <c r="C41" i="49"/>
  <c r="C40" i="49"/>
  <c r="C39" i="49"/>
  <c r="C38" i="49"/>
  <c r="C37" i="49"/>
  <c r="C36" i="49"/>
  <c r="C31" i="49"/>
  <c r="C30" i="49"/>
  <c r="C29" i="49"/>
  <c r="C28" i="49"/>
  <c r="C27" i="49"/>
  <c r="C26" i="49"/>
  <c r="G21" i="49"/>
  <c r="G20" i="49"/>
  <c r="G19" i="49"/>
  <c r="G18" i="49"/>
  <c r="G17" i="49"/>
  <c r="G16" i="49"/>
  <c r="C21" i="49"/>
  <c r="C20" i="49"/>
  <c r="C19" i="49"/>
  <c r="C18" i="49"/>
  <c r="C17" i="49"/>
  <c r="C16" i="49"/>
  <c r="G8" i="49"/>
  <c r="G9" i="49"/>
  <c r="G10" i="49"/>
  <c r="G11" i="49"/>
  <c r="G12" i="49"/>
  <c r="G7" i="49"/>
  <c r="C8" i="49"/>
  <c r="C9" i="49"/>
  <c r="C10" i="49"/>
  <c r="C11" i="49"/>
  <c r="C12" i="49"/>
  <c r="C7" i="49"/>
  <c r="F62" i="49"/>
  <c r="D62" i="49"/>
  <c r="F52" i="49"/>
  <c r="D52" i="49"/>
  <c r="F42" i="49"/>
  <c r="D42" i="49"/>
  <c r="F32" i="49"/>
  <c r="D32" i="49"/>
  <c r="F22" i="49"/>
  <c r="D22" i="49"/>
  <c r="F13" i="49"/>
  <c r="F23" i="49" s="1"/>
  <c r="F33" i="49" s="1"/>
  <c r="F43" i="49" s="1"/>
  <c r="F53" i="49" s="1"/>
  <c r="F63" i="49" s="1"/>
  <c r="D13" i="49"/>
  <c r="D23" i="49" s="1"/>
  <c r="D33" i="49" s="1"/>
  <c r="D43" i="49" s="1"/>
  <c r="D53" i="49" s="1"/>
  <c r="D63" i="49" s="1"/>
  <c r="B323" i="76" l="1"/>
  <c r="AO27" i="76"/>
  <c r="AP27" i="76" s="1"/>
  <c r="AM27" i="76"/>
  <c r="AN27" i="76" s="1"/>
  <c r="AI27" i="76"/>
  <c r="AK27" i="76"/>
  <c r="AO30" i="76"/>
  <c r="AP30" i="76" s="1"/>
  <c r="AK30" i="76"/>
  <c r="AI30" i="76"/>
  <c r="AM30" i="76"/>
  <c r="AM18" i="78"/>
  <c r="AN18" i="78" s="1"/>
  <c r="AI18" i="78"/>
  <c r="AK18" i="78"/>
  <c r="AO18" i="78"/>
  <c r="AP18" i="78" s="1"/>
  <c r="AO17" i="78"/>
  <c r="AP17" i="78" s="1"/>
  <c r="AK17" i="78"/>
  <c r="AI17" i="78"/>
  <c r="AM17" i="78"/>
  <c r="AN17" i="78" s="1"/>
  <c r="AI20" i="78"/>
  <c r="AM20" i="78"/>
  <c r="AN20" i="78" s="1"/>
  <c r="AK20" i="78"/>
  <c r="AO20" i="78"/>
  <c r="AP20" i="78" s="1"/>
  <c r="AM13" i="78"/>
  <c r="AN13" i="78" s="1"/>
  <c r="AO13" i="78"/>
  <c r="AP13" i="78" s="1"/>
  <c r="AI13" i="78"/>
  <c r="AK13" i="78"/>
  <c r="AO12" i="78"/>
  <c r="AP12" i="78" s="1"/>
  <c r="AM12" i="78"/>
  <c r="AN12" i="78" s="1"/>
  <c r="AK12" i="78"/>
  <c r="AI12" i="78"/>
  <c r="AD16" i="44"/>
  <c r="AD22" i="44"/>
  <c r="AD42" i="44"/>
  <c r="AD66" i="44"/>
  <c r="AD10" i="44"/>
  <c r="AD15" i="44"/>
  <c r="AD19" i="44"/>
  <c r="AD51" i="44"/>
  <c r="AD85" i="44"/>
  <c r="AD9" i="44"/>
  <c r="AM7" i="78"/>
  <c r="AN7" i="78" s="1"/>
  <c r="AO7" i="78"/>
  <c r="AP7" i="78" s="1"/>
  <c r="AD12" i="44"/>
  <c r="AD11" i="44"/>
  <c r="AD31" i="44"/>
  <c r="AD45" i="44"/>
  <c r="AD99" i="44"/>
  <c r="AD17" i="44"/>
  <c r="AD21" i="44"/>
  <c r="AD24" i="44"/>
  <c r="AD32" i="44"/>
  <c r="AD52" i="44"/>
  <c r="AI7" i="78"/>
  <c r="AK7" i="78"/>
  <c r="AD138" i="44"/>
  <c r="AD162" i="44"/>
  <c r="AD166" i="44"/>
  <c r="AD172" i="44"/>
  <c r="AD105" i="44"/>
  <c r="AD88" i="44"/>
  <c r="AD183" i="44"/>
  <c r="AD190" i="44"/>
  <c r="AD201" i="44"/>
  <c r="AD122" i="44"/>
  <c r="AD174" i="44"/>
  <c r="AD184" i="44"/>
  <c r="AD189" i="44"/>
  <c r="AD194" i="44"/>
  <c r="AD119" i="44"/>
  <c r="AD137" i="44"/>
  <c r="AD160" i="44"/>
  <c r="AD117" i="44"/>
  <c r="AD170" i="44"/>
  <c r="AD176" i="44"/>
  <c r="AD179" i="44"/>
  <c r="AD181" i="44"/>
  <c r="AD136" i="44"/>
  <c r="AD133" i="44"/>
  <c r="AD164" i="44"/>
  <c r="AD173" i="44"/>
  <c r="AD123" i="44"/>
  <c r="AD188" i="44"/>
  <c r="AD124" i="44"/>
  <c r="AD199" i="44"/>
  <c r="AD200" i="44"/>
  <c r="AD13" i="44"/>
  <c r="AD25" i="44"/>
  <c r="AD38" i="44"/>
  <c r="AD29" i="44"/>
  <c r="AD47" i="44"/>
  <c r="AD61" i="44"/>
  <c r="AD74" i="44"/>
  <c r="AD80" i="44"/>
  <c r="AD113" i="44"/>
  <c r="AD121" i="44"/>
  <c r="AD94" i="44"/>
  <c r="AD84" i="44"/>
  <c r="AD92" i="44"/>
  <c r="AD144" i="44"/>
  <c r="AD20" i="44"/>
  <c r="AD41" i="44"/>
  <c r="AD50" i="44"/>
  <c r="AD54" i="44"/>
  <c r="AD67" i="44"/>
  <c r="AD68" i="44"/>
  <c r="AD101" i="44"/>
  <c r="AD110" i="44"/>
  <c r="AD79" i="44"/>
  <c r="AD135" i="44"/>
  <c r="AD146" i="44"/>
  <c r="AD98" i="44"/>
  <c r="AD152" i="44"/>
  <c r="AD112" i="44"/>
  <c r="AD134" i="44"/>
  <c r="AD37" i="44"/>
  <c r="AD30" i="44"/>
  <c r="AD48" i="44"/>
  <c r="AD49" i="44"/>
  <c r="AD65" i="44"/>
  <c r="AD82" i="44"/>
  <c r="AD109" i="44"/>
  <c r="AD115" i="44"/>
  <c r="AD96" i="44"/>
  <c r="AD141" i="44"/>
  <c r="AD150" i="44"/>
  <c r="AD143" i="44"/>
  <c r="AD156" i="44"/>
  <c r="AD159" i="44"/>
  <c r="AD27" i="44"/>
  <c r="AD39" i="44"/>
  <c r="AD46" i="44"/>
  <c r="AD70" i="44"/>
  <c r="AD93" i="44"/>
  <c r="AD64" i="44"/>
  <c r="AD83" i="44"/>
  <c r="AD120" i="44"/>
  <c r="AD139" i="44"/>
  <c r="AD165" i="44"/>
  <c r="AD169" i="44"/>
  <c r="AD104" i="44"/>
  <c r="AD178" i="44"/>
  <c r="AD97" i="44"/>
  <c r="AD187" i="44"/>
  <c r="AD195" i="44"/>
  <c r="AD100" i="44"/>
  <c r="AD171" i="44"/>
  <c r="AD182" i="44"/>
  <c r="AD186" i="44"/>
  <c r="AD192" i="44"/>
  <c r="AD118" i="44"/>
  <c r="AD197" i="44"/>
  <c r="AD131" i="44"/>
  <c r="AD163" i="44"/>
  <c r="AD167" i="44"/>
  <c r="AD175" i="44"/>
  <c r="AD177" i="44"/>
  <c r="AD180" i="44"/>
  <c r="AD91" i="44"/>
  <c r="AD193" i="44"/>
  <c r="AD161" i="44"/>
  <c r="AD168" i="44"/>
  <c r="AD95" i="44"/>
  <c r="AD185" i="44"/>
  <c r="AD191" i="44"/>
  <c r="AD198" i="44"/>
  <c r="AD196" i="44"/>
  <c r="AD23" i="44"/>
  <c r="AD43" i="44"/>
  <c r="AD55" i="44"/>
  <c r="AD35" i="44"/>
  <c r="AD60" i="44"/>
  <c r="AD89" i="44"/>
  <c r="AD58" i="44"/>
  <c r="AD111" i="44"/>
  <c r="AD78" i="44"/>
  <c r="AD127" i="44"/>
  <c r="AD154" i="44"/>
  <c r="AD102" i="44"/>
  <c r="AD147" i="44"/>
  <c r="AD148" i="44"/>
  <c r="AD18" i="44"/>
  <c r="AD26" i="44"/>
  <c r="AD33" i="44"/>
  <c r="AD56" i="44"/>
  <c r="AD57" i="44"/>
  <c r="AD73" i="44"/>
  <c r="AD107" i="44"/>
  <c r="AD116" i="44"/>
  <c r="AD126" i="44"/>
  <c r="AD153" i="44"/>
  <c r="AD129" i="44"/>
  <c r="AD14" i="44"/>
  <c r="AD59" i="44"/>
  <c r="AD87" i="44"/>
  <c r="AD106" i="44"/>
  <c r="AD77" i="44"/>
  <c r="AD142" i="44"/>
  <c r="AD149" i="44"/>
  <c r="AD40" i="44"/>
  <c r="AD63" i="44"/>
  <c r="AD53" i="44"/>
  <c r="AD108" i="44"/>
  <c r="AD86" i="44"/>
  <c r="AD140" i="44"/>
  <c r="AD62" i="44"/>
  <c r="AD103" i="44"/>
  <c r="AD90" i="44"/>
  <c r="AD158" i="44"/>
  <c r="AD69" i="44"/>
  <c r="AD132" i="44"/>
  <c r="AD130" i="44"/>
  <c r="AD28" i="44"/>
  <c r="AD34" i="44"/>
  <c r="AD75" i="44"/>
  <c r="AD44" i="44"/>
  <c r="AD81" i="44"/>
  <c r="AD157" i="44"/>
  <c r="AD145" i="44"/>
  <c r="AD36" i="44"/>
  <c r="AD76" i="44"/>
  <c r="AD72" i="44"/>
  <c r="AD114" i="44"/>
  <c r="AD128" i="44"/>
  <c r="AD151" i="44"/>
  <c r="AD155" i="44"/>
  <c r="AD71" i="44"/>
  <c r="AD125" i="44"/>
  <c r="AM15" i="78"/>
  <c r="AN15" i="78" s="1"/>
  <c r="AO15" i="78"/>
  <c r="AP15" i="78" s="1"/>
  <c r="AI15" i="78"/>
  <c r="AK15" i="78"/>
  <c r="AO14" i="78"/>
  <c r="AP14" i="78" s="1"/>
  <c r="AM14" i="78"/>
  <c r="AN14" i="78" s="1"/>
  <c r="AK14" i="78"/>
  <c r="AI14" i="78"/>
  <c r="AK12" i="76"/>
  <c r="AO12" i="76"/>
  <c r="AP12" i="76" s="1"/>
  <c r="AI12" i="76"/>
  <c r="AM12" i="76"/>
  <c r="AN12" i="76" s="1"/>
  <c r="AK22" i="76"/>
  <c r="AO22" i="76"/>
  <c r="AP22" i="76" s="1"/>
  <c r="AM22" i="76"/>
  <c r="AN22" i="76" s="1"/>
  <c r="AI22" i="76"/>
  <c r="B321" i="76"/>
  <c r="AK18" i="76"/>
  <c r="AO18" i="76"/>
  <c r="AP18" i="76" s="1"/>
  <c r="AM18" i="76"/>
  <c r="AN18" i="76" s="1"/>
  <c r="AI18" i="76"/>
  <c r="AI23" i="76"/>
  <c r="AK23" i="76"/>
  <c r="AL23" i="76" s="1"/>
  <c r="AM23" i="76"/>
  <c r="AO23" i="76"/>
  <c r="B322" i="76"/>
  <c r="B317" i="76"/>
  <c r="AM17" i="76"/>
  <c r="AN17" i="76" s="1"/>
  <c r="AO17" i="76"/>
  <c r="AP17" i="76" s="1"/>
  <c r="AI17" i="76"/>
  <c r="AK17" i="76"/>
  <c r="B318" i="76"/>
  <c r="B300" i="77"/>
  <c r="B303" i="77"/>
  <c r="B304" i="77"/>
  <c r="B309" i="77"/>
  <c r="B310" i="77"/>
  <c r="B302" i="77"/>
  <c r="B307" i="77"/>
  <c r="B308" i="77"/>
  <c r="B301" i="77"/>
  <c r="B305" i="77"/>
  <c r="B306" i="77"/>
  <c r="AK19" i="78"/>
  <c r="AO19" i="78"/>
  <c r="AI19" i="78"/>
  <c r="AM19" i="78"/>
  <c r="AO21" i="78"/>
  <c r="AP21" i="78" s="1"/>
  <c r="AK21" i="78"/>
  <c r="AI21" i="78"/>
  <c r="AM21" i="78"/>
  <c r="AN21" i="78" s="1"/>
  <c r="AM9" i="78"/>
  <c r="AN9" i="78" s="1"/>
  <c r="AO9" i="78"/>
  <c r="AP9" i="78" s="1"/>
  <c r="AI9" i="78"/>
  <c r="AK9" i="78"/>
  <c r="AO8" i="78"/>
  <c r="AP8" i="78" s="1"/>
  <c r="AM8" i="78"/>
  <c r="AN8" i="78" s="1"/>
  <c r="AK8" i="78"/>
  <c r="AI8" i="78"/>
  <c r="AO16" i="78"/>
  <c r="AP16" i="78" s="1"/>
  <c r="AM16" i="78"/>
  <c r="AN16" i="78" s="1"/>
  <c r="AK16" i="78"/>
  <c r="AI16" i="78"/>
  <c r="AM11" i="78"/>
  <c r="AN11" i="78" s="1"/>
  <c r="AO11" i="78"/>
  <c r="AP11" i="78" s="1"/>
  <c r="AI11" i="78"/>
  <c r="AK11" i="78"/>
  <c r="AO10" i="78"/>
  <c r="AP10" i="78" s="1"/>
  <c r="AM10" i="78"/>
  <c r="AN10" i="78" s="1"/>
  <c r="AK10" i="78"/>
  <c r="AI10" i="78"/>
  <c r="AM21" i="76"/>
  <c r="AN21" i="76" s="1"/>
  <c r="AO21" i="76"/>
  <c r="AP21" i="76" s="1"/>
  <c r="AI21" i="76"/>
  <c r="AK21" i="76"/>
  <c r="AI11" i="76"/>
  <c r="AO11" i="76"/>
  <c r="AP11" i="76" s="1"/>
  <c r="AM11" i="76"/>
  <c r="AN11" i="76" s="1"/>
  <c r="AK11" i="76"/>
  <c r="AB131" i="44"/>
  <c r="AB198" i="44"/>
  <c r="AB185" i="44"/>
  <c r="AB168" i="44"/>
  <c r="AB193" i="44"/>
  <c r="AB180" i="44"/>
  <c r="AB175" i="44"/>
  <c r="AB163" i="44"/>
  <c r="AB197" i="44"/>
  <c r="AB192" i="44"/>
  <c r="AB182" i="44"/>
  <c r="AB100" i="44"/>
  <c r="AB187" i="44"/>
  <c r="AB178" i="44"/>
  <c r="AB169" i="44"/>
  <c r="AB139" i="44"/>
  <c r="AB106" i="44"/>
  <c r="AB37" i="44"/>
  <c r="AB67" i="44"/>
  <c r="AB109" i="44"/>
  <c r="AB128" i="44"/>
  <c r="AB98" i="44"/>
  <c r="AB144" i="44"/>
  <c r="AB28" i="44"/>
  <c r="AB76" i="44"/>
  <c r="AB34" i="44"/>
  <c r="AB115" i="44"/>
  <c r="AB69" i="44"/>
  <c r="AB103" i="44"/>
  <c r="AB112" i="44"/>
  <c r="AB101" i="44"/>
  <c r="AB19" i="44"/>
  <c r="AB36" i="44"/>
  <c r="AB93" i="44"/>
  <c r="AB114" i="44"/>
  <c r="AB141" i="44"/>
  <c r="AB68" i="44"/>
  <c r="AB159" i="44"/>
  <c r="AB41" i="44"/>
  <c r="AB33" i="44"/>
  <c r="AB70" i="44"/>
  <c r="AB45" i="44"/>
  <c r="AB120" i="44"/>
  <c r="AB44" i="44"/>
  <c r="AB132" i="44"/>
  <c r="AB158" i="44"/>
  <c r="AB63" i="44"/>
  <c r="AB56" i="44"/>
  <c r="AB35" i="44"/>
  <c r="AB92" i="44"/>
  <c r="AB86" i="44"/>
  <c r="AB26" i="44"/>
  <c r="AB54" i="44"/>
  <c r="AB96" i="44"/>
  <c r="AB152" i="44"/>
  <c r="AB110" i="44"/>
  <c r="AB200" i="44"/>
  <c r="AB124" i="44"/>
  <c r="AB123" i="44"/>
  <c r="AB164" i="44"/>
  <c r="AB136" i="44"/>
  <c r="AB179" i="44"/>
  <c r="AB170" i="44"/>
  <c r="AB160" i="44"/>
  <c r="AB119" i="44"/>
  <c r="AB189" i="44"/>
  <c r="AB174" i="44"/>
  <c r="AB201" i="44"/>
  <c r="AB183" i="44"/>
  <c r="AB105" i="44"/>
  <c r="AB166" i="44"/>
  <c r="AB138" i="44"/>
  <c r="AB31" i="44"/>
  <c r="AB50" i="44"/>
  <c r="AB75" i="44"/>
  <c r="AB85" i="44"/>
  <c r="AB66" i="44"/>
  <c r="AB143" i="44"/>
  <c r="AB148" i="44"/>
  <c r="AB43" i="44"/>
  <c r="AB24" i="44"/>
  <c r="AB53" i="44"/>
  <c r="AB79" i="44"/>
  <c r="AB142" i="44"/>
  <c r="AB71" i="44"/>
  <c r="AB94" i="44"/>
  <c r="AB111" i="44"/>
  <c r="AB14" i="44"/>
  <c r="AB46" i="44"/>
  <c r="AB145" i="44"/>
  <c r="AB42" i="44"/>
  <c r="AB72" i="44"/>
  <c r="AB195" i="44"/>
  <c r="AB191" i="44"/>
  <c r="AB95" i="44"/>
  <c r="AB161" i="44"/>
  <c r="AB91" i="44"/>
  <c r="AB177" i="44"/>
  <c r="AB167" i="44"/>
  <c r="AB52" i="44"/>
  <c r="AB118" i="44"/>
  <c r="AB186" i="44"/>
  <c r="AB171" i="44"/>
  <c r="AB196" i="44"/>
  <c r="AB97" i="44"/>
  <c r="AB104" i="44"/>
  <c r="AB165" i="44"/>
  <c r="AB130" i="44"/>
  <c r="AB21" i="44"/>
  <c r="AB30" i="44"/>
  <c r="AB82" i="44"/>
  <c r="AB78" i="44"/>
  <c r="AB146" i="44"/>
  <c r="AB149" i="44"/>
  <c r="AB74" i="44"/>
  <c r="AB48" i="44"/>
  <c r="AB59" i="44"/>
  <c r="AB108" i="44"/>
  <c r="AB127" i="44"/>
  <c r="AB150" i="44"/>
  <c r="AB147" i="44"/>
  <c r="AB135" i="44"/>
  <c r="AB10" i="44"/>
  <c r="AB40" i="44"/>
  <c r="AB32" i="44"/>
  <c r="AB80" i="44"/>
  <c r="AB126" i="44"/>
  <c r="AB62" i="44"/>
  <c r="AB156" i="44"/>
  <c r="AB73" i="44"/>
  <c r="AB22" i="44"/>
  <c r="AB55" i="44"/>
  <c r="AB47" i="44"/>
  <c r="AB83" i="44"/>
  <c r="AB81" i="44"/>
  <c r="AB84" i="44"/>
  <c r="AB58" i="44"/>
  <c r="AB12" i="44"/>
  <c r="AB65" i="44"/>
  <c r="AB77" i="44"/>
  <c r="AB155" i="44"/>
  <c r="AB116" i="44"/>
  <c r="AB13" i="44"/>
  <c r="AB29" i="44"/>
  <c r="AB113" i="44"/>
  <c r="AB154" i="44"/>
  <c r="AB125" i="44"/>
  <c r="AB134" i="44"/>
  <c r="AB199" i="44"/>
  <c r="AB188" i="44"/>
  <c r="AB173" i="44"/>
  <c r="AB133" i="44"/>
  <c r="AB181" i="44"/>
  <c r="AB176" i="44"/>
  <c r="AB117" i="44"/>
  <c r="AB137" i="44"/>
  <c r="AB194" i="44"/>
  <c r="AB184" i="44"/>
  <c r="AB122" i="44"/>
  <c r="AB190" i="44"/>
  <c r="AB88" i="44"/>
  <c r="AB172" i="44"/>
  <c r="AB162" i="44"/>
  <c r="AB99" i="44"/>
  <c r="AB20" i="44"/>
  <c r="AB57" i="44"/>
  <c r="AB64" i="44"/>
  <c r="AB121" i="44"/>
  <c r="AB153" i="44"/>
  <c r="AB90" i="44"/>
  <c r="AB16" i="44"/>
  <c r="AB27" i="44"/>
  <c r="AB49" i="44"/>
  <c r="AB60" i="44"/>
  <c r="AB140" i="44"/>
  <c r="AB157" i="44"/>
  <c r="AB129" i="44"/>
  <c r="AB89" i="44"/>
  <c r="AB23" i="44"/>
  <c r="AB51" i="44"/>
  <c r="AB151" i="44"/>
  <c r="AB15" i="44"/>
  <c r="AB107" i="44"/>
  <c r="AB102" i="44"/>
  <c r="AI16" i="76"/>
  <c r="AM16" i="76"/>
  <c r="AN16" i="76" s="1"/>
  <c r="AK16" i="76"/>
  <c r="AO16" i="76"/>
  <c r="AP16" i="76" s="1"/>
  <c r="AM15" i="76"/>
  <c r="AN15" i="76" s="1"/>
  <c r="AO15" i="76"/>
  <c r="AP15" i="76" s="1"/>
  <c r="AI15" i="76"/>
  <c r="AK15" i="76"/>
  <c r="AI13" i="76"/>
  <c r="AK13" i="76"/>
  <c r="AM13" i="76"/>
  <c r="AN13" i="76" s="1"/>
  <c r="AO13" i="76"/>
  <c r="AP13" i="76" s="1"/>
  <c r="AO26" i="76"/>
  <c r="AP26" i="76" s="1"/>
  <c r="AI26" i="76"/>
  <c r="AM26" i="76"/>
  <c r="AN26" i="76" s="1"/>
  <c r="AK26" i="76"/>
  <c r="AM19" i="76"/>
  <c r="AN19" i="76" s="1"/>
  <c r="AO19" i="76"/>
  <c r="AP19" i="76" s="1"/>
  <c r="AK19" i="76"/>
  <c r="AI19" i="76"/>
  <c r="AI20" i="76"/>
  <c r="AM20" i="76"/>
  <c r="AN20" i="76" s="1"/>
  <c r="AO20" i="76"/>
  <c r="AP20" i="76" s="1"/>
  <c r="AK20" i="76"/>
  <c r="AK14" i="76"/>
  <c r="AO14" i="76"/>
  <c r="AP14" i="76" s="1"/>
  <c r="AI14" i="76"/>
  <c r="AM14" i="76"/>
  <c r="AN14" i="76" s="1"/>
  <c r="W104" i="61"/>
  <c r="W74" i="61"/>
  <c r="Y74" i="61" s="1"/>
  <c r="W75" i="61"/>
  <c r="Y75" i="61" s="1"/>
  <c r="W76" i="61"/>
  <c r="Y76" i="61" s="1"/>
  <c r="W73" i="61"/>
  <c r="Y73" i="61" s="1"/>
  <c r="W70" i="61"/>
  <c r="Y70" i="61" s="1"/>
  <c r="W71" i="61"/>
  <c r="Y71" i="61" s="1"/>
  <c r="W72" i="61"/>
  <c r="Y72" i="61" s="1"/>
  <c r="W69" i="61"/>
  <c r="Y69" i="61" s="1"/>
  <c r="AK13" i="77" l="1"/>
  <c r="AO13" i="77"/>
  <c r="AP13" i="77" s="1"/>
  <c r="AI13" i="77"/>
  <c r="AM13" i="77"/>
  <c r="AQ13" i="77"/>
  <c r="AR13" i="77" s="1"/>
  <c r="AM8" i="77"/>
  <c r="AI8" i="77"/>
  <c r="AQ8" i="77"/>
  <c r="AR8" i="77" s="1"/>
  <c r="AK8" i="77"/>
  <c r="AO8" i="77"/>
  <c r="AP8" i="77" s="1"/>
  <c r="AQ14" i="77"/>
  <c r="AR14" i="77" s="1"/>
  <c r="AI14" i="77"/>
  <c r="AK14" i="77"/>
  <c r="AM14" i="77"/>
  <c r="AO14" i="77"/>
  <c r="AP14" i="77" s="1"/>
  <c r="AQ17" i="77"/>
  <c r="AR17" i="77" s="1"/>
  <c r="AK17" i="77"/>
  <c r="AO17" i="77"/>
  <c r="AP17" i="77" s="1"/>
  <c r="AI17" i="77"/>
  <c r="AM17" i="77"/>
  <c r="AM11" i="77"/>
  <c r="AQ11" i="77"/>
  <c r="AR11" i="77" s="1"/>
  <c r="AK11" i="77"/>
  <c r="AO11" i="77"/>
  <c r="AP11" i="77" s="1"/>
  <c r="AI11" i="77"/>
  <c r="AC35" i="44"/>
  <c r="AQ7" i="77"/>
  <c r="AR7" i="77" s="1"/>
  <c r="AI7" i="77"/>
  <c r="AO7" i="77"/>
  <c r="AP7" i="77" s="1"/>
  <c r="AC11" i="44"/>
  <c r="AC18" i="44"/>
  <c r="AM7" i="77"/>
  <c r="AK7" i="77"/>
  <c r="AC131" i="44"/>
  <c r="AC170" i="44"/>
  <c r="AC104" i="44"/>
  <c r="AC179" i="44"/>
  <c r="AC185" i="44"/>
  <c r="AC189" i="44"/>
  <c r="AC193" i="44"/>
  <c r="AC198" i="44"/>
  <c r="AC100" i="44"/>
  <c r="AC166" i="44"/>
  <c r="AC175" i="44"/>
  <c r="AC97" i="44"/>
  <c r="AC136" i="44"/>
  <c r="AC118" i="44"/>
  <c r="AC119" i="44"/>
  <c r="AC138" i="44"/>
  <c r="AC122" i="44"/>
  <c r="AC173" i="44"/>
  <c r="AC177" i="44"/>
  <c r="AC182" i="44"/>
  <c r="AC187" i="44"/>
  <c r="AC124" i="44"/>
  <c r="AC197" i="44"/>
  <c r="AC162" i="44"/>
  <c r="AC165" i="44"/>
  <c r="AC174" i="44"/>
  <c r="AC88" i="44"/>
  <c r="AC184" i="44"/>
  <c r="AC196" i="44"/>
  <c r="AC200" i="44"/>
  <c r="AC99" i="44"/>
  <c r="AC139" i="44"/>
  <c r="AC167" i="44"/>
  <c r="AC172" i="44"/>
  <c r="AC176" i="44"/>
  <c r="AC181" i="44"/>
  <c r="AC186" i="44"/>
  <c r="AC191" i="44"/>
  <c r="AC195" i="44"/>
  <c r="AC161" i="44"/>
  <c r="AC164" i="44"/>
  <c r="AC169" i="44"/>
  <c r="AC178" i="44"/>
  <c r="AC183" i="44"/>
  <c r="AC192" i="44"/>
  <c r="AC199" i="44"/>
  <c r="AC137" i="44"/>
  <c r="AC117" i="44"/>
  <c r="AC171" i="44"/>
  <c r="AC95" i="44"/>
  <c r="AC180" i="44"/>
  <c r="AC91" i="44"/>
  <c r="AC190" i="44"/>
  <c r="AC194" i="44"/>
  <c r="AC160" i="44"/>
  <c r="AC163" i="44"/>
  <c r="AC168" i="44"/>
  <c r="AC105" i="44"/>
  <c r="AC123" i="44"/>
  <c r="AC188" i="44"/>
  <c r="AC133" i="44"/>
  <c r="AC201" i="44"/>
  <c r="AC52" i="44"/>
  <c r="AC130" i="44"/>
  <c r="AC106" i="44"/>
  <c r="AC17" i="44"/>
  <c r="AC21" i="44"/>
  <c r="AC39" i="44"/>
  <c r="AC24" i="44"/>
  <c r="AC30" i="44"/>
  <c r="AC45" i="44"/>
  <c r="AC46" i="44"/>
  <c r="AC80" i="44"/>
  <c r="AC113" i="44"/>
  <c r="AC121" i="44"/>
  <c r="AC69" i="44"/>
  <c r="AC153" i="44"/>
  <c r="AC143" i="44"/>
  <c r="AC156" i="44"/>
  <c r="AC159" i="44"/>
  <c r="AC15" i="44"/>
  <c r="AC31" i="44"/>
  <c r="AC55" i="44"/>
  <c r="AC56" i="44"/>
  <c r="AC38" i="44"/>
  <c r="AC61" i="44"/>
  <c r="AC54" i="44"/>
  <c r="AC107" i="44"/>
  <c r="AC85" i="44"/>
  <c r="AC79" i="44"/>
  <c r="AC135" i="44"/>
  <c r="AC142" i="44"/>
  <c r="AC157" i="44"/>
  <c r="AC71" i="44"/>
  <c r="AC125" i="44"/>
  <c r="AC134" i="44"/>
  <c r="AC13" i="44"/>
  <c r="AC22" i="44"/>
  <c r="AC33" i="44"/>
  <c r="AC36" i="44"/>
  <c r="AC49" i="44"/>
  <c r="AC57" i="44"/>
  <c r="AC74" i="44"/>
  <c r="AC64" i="44"/>
  <c r="AC44" i="44"/>
  <c r="AC77" i="44"/>
  <c r="AC81" i="44"/>
  <c r="AC151" i="44"/>
  <c r="AC155" i="44"/>
  <c r="AC92" i="44"/>
  <c r="AC144" i="44"/>
  <c r="AC10" i="44"/>
  <c r="AC41" i="44"/>
  <c r="AC50" i="44"/>
  <c r="AC63" i="44"/>
  <c r="AC51" i="44"/>
  <c r="AC87" i="44"/>
  <c r="AC73" i="44"/>
  <c r="AC58" i="44"/>
  <c r="AC83" i="44"/>
  <c r="AC120" i="44"/>
  <c r="AC128" i="44"/>
  <c r="AC66" i="44"/>
  <c r="AC84" i="44"/>
  <c r="AC132" i="44"/>
  <c r="AC129" i="44"/>
  <c r="AC89" i="44"/>
  <c r="AC9" i="44"/>
  <c r="AC102" i="44"/>
  <c r="AC12" i="44"/>
  <c r="AC14" i="44"/>
  <c r="AC19" i="44"/>
  <c r="AC26" i="44"/>
  <c r="AC42" i="44"/>
  <c r="AC70" i="44"/>
  <c r="AC75" i="44"/>
  <c r="AC101" i="44"/>
  <c r="AC111" i="44"/>
  <c r="AC78" i="44"/>
  <c r="AC127" i="44"/>
  <c r="AC146" i="44"/>
  <c r="AC98" i="44"/>
  <c r="AC149" i="44"/>
  <c r="AC145" i="44"/>
  <c r="AC16" i="44"/>
  <c r="AC40" i="44"/>
  <c r="AC28" i="44"/>
  <c r="AC29" i="44"/>
  <c r="AC76" i="44"/>
  <c r="AC60" i="44"/>
  <c r="AC93" i="44"/>
  <c r="AC82" i="44"/>
  <c r="AC110" i="44"/>
  <c r="AC116" i="44"/>
  <c r="AC126" i="44"/>
  <c r="AC141" i="44"/>
  <c r="AC150" i="44"/>
  <c r="AC103" i="44"/>
  <c r="AC90" i="44"/>
  <c r="AC158" i="44"/>
  <c r="AC23" i="44"/>
  <c r="AC25" i="44"/>
  <c r="AC43" i="44"/>
  <c r="AC27" i="44"/>
  <c r="AC32" i="44"/>
  <c r="AC59" i="44"/>
  <c r="AC65" i="44"/>
  <c r="AC34" i="44"/>
  <c r="AC109" i="44"/>
  <c r="AC115" i="44"/>
  <c r="AC96" i="44"/>
  <c r="AC140" i="44"/>
  <c r="AC62" i="44"/>
  <c r="AC68" i="44"/>
  <c r="AC147" i="44"/>
  <c r="AC148" i="44"/>
  <c r="AC20" i="44"/>
  <c r="AC37" i="44"/>
  <c r="AC48" i="44"/>
  <c r="AC47" i="44"/>
  <c r="AC67" i="44"/>
  <c r="AC53" i="44"/>
  <c r="AC72" i="44"/>
  <c r="AC108" i="44"/>
  <c r="AC114" i="44"/>
  <c r="AC86" i="44"/>
  <c r="AC94" i="44"/>
  <c r="AC154" i="44"/>
  <c r="AC152" i="44"/>
  <c r="AC112" i="44"/>
  <c r="AK24" i="76"/>
  <c r="AO24" i="76"/>
  <c r="AP24" i="76" s="1"/>
  <c r="AI24" i="76"/>
  <c r="AM24" i="76"/>
  <c r="AN24" i="76" s="1"/>
  <c r="AM28" i="76"/>
  <c r="AN28" i="76" s="1"/>
  <c r="AK28" i="76"/>
  <c r="AO28" i="76"/>
  <c r="AP28" i="76" s="1"/>
  <c r="AI28" i="76"/>
  <c r="AN30" i="76"/>
  <c r="AK12" i="77"/>
  <c r="AI12" i="77"/>
  <c r="AO12" i="77"/>
  <c r="AP12" i="77" s="1"/>
  <c r="AQ12" i="77"/>
  <c r="AR12" i="77" s="1"/>
  <c r="AM12" i="77"/>
  <c r="AI15" i="77"/>
  <c r="AM15" i="77"/>
  <c r="AQ15" i="77"/>
  <c r="AR15" i="77" s="1"/>
  <c r="AK15" i="77"/>
  <c r="AO15" i="77"/>
  <c r="AP15" i="77" s="1"/>
  <c r="AQ9" i="77"/>
  <c r="AR9" i="77" s="1"/>
  <c r="AK9" i="77"/>
  <c r="AO9" i="77"/>
  <c r="AP9" i="77" s="1"/>
  <c r="AI9" i="77"/>
  <c r="AM9" i="77"/>
  <c r="AM16" i="77"/>
  <c r="AO16" i="77"/>
  <c r="AP16" i="77" s="1"/>
  <c r="AQ16" i="77"/>
  <c r="AR16" i="77" s="1"/>
  <c r="AI16" i="77"/>
  <c r="AK16" i="77"/>
  <c r="AK10" i="77"/>
  <c r="AM10" i="77"/>
  <c r="AO10" i="77"/>
  <c r="AP10" i="77" s="1"/>
  <c r="AQ10" i="77"/>
  <c r="AR10" i="77" s="1"/>
  <c r="AI10" i="77"/>
  <c r="AO25" i="76"/>
  <c r="AP25" i="76" s="1"/>
  <c r="AK25" i="76"/>
  <c r="AM25" i="76"/>
  <c r="AN25" i="76" s="1"/>
  <c r="AI25" i="76"/>
  <c r="AI29" i="76"/>
  <c r="AK29" i="76"/>
  <c r="AO29" i="76"/>
  <c r="AP29" i="76" s="1"/>
  <c r="AM29" i="76"/>
  <c r="A4" i="64"/>
  <c r="A2" i="64"/>
  <c r="Q1" i="64"/>
  <c r="W132" i="64"/>
  <c r="W131" i="64"/>
  <c r="W130" i="64"/>
  <c r="W129" i="64"/>
  <c r="W128" i="64"/>
  <c r="W127" i="64"/>
  <c r="X126" i="64"/>
  <c r="W126" i="64"/>
  <c r="X125" i="64"/>
  <c r="W125" i="64"/>
  <c r="X124" i="64"/>
  <c r="W124" i="64"/>
  <c r="X123" i="64"/>
  <c r="W123" i="64"/>
  <c r="W122" i="64"/>
  <c r="W121" i="64"/>
  <c r="W120" i="64"/>
  <c r="Z118" i="64"/>
  <c r="X118" i="64"/>
  <c r="W118" i="64"/>
  <c r="Z117" i="64"/>
  <c r="X117" i="64"/>
  <c r="W117" i="64"/>
  <c r="AA117" i="64" s="1"/>
  <c r="Z116" i="64"/>
  <c r="X116" i="64"/>
  <c r="W116" i="64"/>
  <c r="Z115" i="64"/>
  <c r="X115" i="64"/>
  <c r="W115" i="64"/>
  <c r="AA115" i="64" s="1"/>
  <c r="Z114" i="64"/>
  <c r="X114" i="64"/>
  <c r="W114" i="64"/>
  <c r="Z113" i="64"/>
  <c r="X113" i="64"/>
  <c r="W113" i="64"/>
  <c r="AA113" i="64" s="1"/>
  <c r="Z112" i="64"/>
  <c r="X112" i="64"/>
  <c r="W112" i="64"/>
  <c r="Z111" i="64"/>
  <c r="X111" i="64"/>
  <c r="W111" i="64"/>
  <c r="AA111" i="64" s="1"/>
  <c r="W110" i="64"/>
  <c r="W109" i="64"/>
  <c r="W108" i="64"/>
  <c r="W107" i="64"/>
  <c r="W106" i="64"/>
  <c r="W105" i="64"/>
  <c r="W104" i="64"/>
  <c r="W103" i="64"/>
  <c r="W102" i="64"/>
  <c r="W101" i="64"/>
  <c r="W100" i="64"/>
  <c r="W99" i="64"/>
  <c r="W98" i="64"/>
  <c r="W97" i="64"/>
  <c r="W96" i="64"/>
  <c r="W95" i="64"/>
  <c r="W94" i="64"/>
  <c r="W93" i="64"/>
  <c r="W92" i="64"/>
  <c r="W91" i="64"/>
  <c r="W90" i="64"/>
  <c r="W89" i="64"/>
  <c r="W88" i="64"/>
  <c r="W87" i="64"/>
  <c r="W86" i="64"/>
  <c r="Z84" i="64"/>
  <c r="W84" i="64"/>
  <c r="Y84" i="64" s="1"/>
  <c r="Z83" i="64"/>
  <c r="W83" i="64"/>
  <c r="AA83" i="64" s="1"/>
  <c r="Z82" i="64"/>
  <c r="W82" i="64"/>
  <c r="Y82" i="64" s="1"/>
  <c r="Z81" i="64"/>
  <c r="W81" i="64"/>
  <c r="AA81" i="64" s="1"/>
  <c r="Z80" i="64"/>
  <c r="W80" i="64"/>
  <c r="Y80" i="64" s="1"/>
  <c r="Z79" i="64"/>
  <c r="W79" i="64"/>
  <c r="AA79" i="64" s="1"/>
  <c r="Z78" i="64"/>
  <c r="W78" i="64"/>
  <c r="Y78" i="64" s="1"/>
  <c r="AA77" i="64"/>
  <c r="Z77" i="64"/>
  <c r="Y77" i="64"/>
  <c r="W77" i="64"/>
  <c r="AB77" i="64" s="1"/>
  <c r="Z76" i="64"/>
  <c r="W76" i="64"/>
  <c r="Y76" i="64" s="1"/>
  <c r="AB75" i="64"/>
  <c r="Z75" i="64"/>
  <c r="W75" i="64"/>
  <c r="AA75" i="64" s="1"/>
  <c r="W74" i="64"/>
  <c r="Y74" i="64" s="1"/>
  <c r="Z73" i="64"/>
  <c r="W73" i="64"/>
  <c r="AA73" i="64" s="1"/>
  <c r="W71" i="64"/>
  <c r="W70" i="64"/>
  <c r="W69" i="64"/>
  <c r="W68" i="64"/>
  <c r="W67" i="64"/>
  <c r="W66" i="64"/>
  <c r="W65" i="64"/>
  <c r="W64" i="64"/>
  <c r="W63" i="64"/>
  <c r="W62" i="64"/>
  <c r="W61" i="64"/>
  <c r="W60" i="64"/>
  <c r="W59" i="64"/>
  <c r="W58" i="64"/>
  <c r="W57" i="64"/>
  <c r="W56" i="64"/>
  <c r="W55" i="64"/>
  <c r="W54" i="64"/>
  <c r="W53" i="64"/>
  <c r="W52" i="64"/>
  <c r="W51" i="64"/>
  <c r="W50" i="64"/>
  <c r="W49" i="64"/>
  <c r="W48" i="64"/>
  <c r="W47" i="64"/>
  <c r="W46" i="64"/>
  <c r="W45" i="64"/>
  <c r="W44" i="64"/>
  <c r="W43" i="64"/>
  <c r="W42" i="64"/>
  <c r="W41" i="64"/>
  <c r="W40" i="64"/>
  <c r="X38" i="64"/>
  <c r="W38" i="64"/>
  <c r="X37" i="64"/>
  <c r="W37" i="64"/>
  <c r="X36" i="64"/>
  <c r="W36" i="64"/>
  <c r="X35" i="64"/>
  <c r="W35" i="64"/>
  <c r="X34" i="64"/>
  <c r="W34" i="64"/>
  <c r="X33" i="64"/>
  <c r="W33" i="64"/>
  <c r="X32" i="64"/>
  <c r="W32" i="64"/>
  <c r="X31" i="64"/>
  <c r="W31" i="64"/>
  <c r="X30" i="64"/>
  <c r="W30" i="64"/>
  <c r="X29" i="64"/>
  <c r="W29" i="64"/>
  <c r="X28" i="64"/>
  <c r="W28" i="64"/>
  <c r="X27" i="64"/>
  <c r="W27" i="64"/>
  <c r="X26" i="64"/>
  <c r="W26" i="64"/>
  <c r="X25" i="64"/>
  <c r="W25" i="64"/>
  <c r="X24" i="64"/>
  <c r="W24" i="64"/>
  <c r="X23" i="64"/>
  <c r="W23" i="64"/>
  <c r="X22" i="64"/>
  <c r="W22" i="64"/>
  <c r="X21" i="64"/>
  <c r="W21" i="64"/>
  <c r="X20" i="64"/>
  <c r="W20" i="64"/>
  <c r="X19" i="64"/>
  <c r="W19" i="64"/>
  <c r="X18" i="64"/>
  <c r="W18" i="64"/>
  <c r="X17" i="64"/>
  <c r="W17" i="64"/>
  <c r="X16" i="64"/>
  <c r="W16" i="64"/>
  <c r="X15" i="64"/>
  <c r="W15" i="64"/>
  <c r="X14" i="64"/>
  <c r="W14" i="64"/>
  <c r="X13" i="64"/>
  <c r="W13" i="64"/>
  <c r="X12" i="64"/>
  <c r="W12" i="64"/>
  <c r="X11" i="64"/>
  <c r="W11" i="64"/>
  <c r="X10" i="64"/>
  <c r="W10" i="64"/>
  <c r="X9" i="64"/>
  <c r="W9" i="64"/>
  <c r="X129" i="64"/>
  <c r="X128" i="64"/>
  <c r="X131" i="64"/>
  <c r="X132" i="64"/>
  <c r="AB73" i="64" l="1"/>
  <c r="Y75" i="64"/>
  <c r="AB79" i="64"/>
  <c r="AB81" i="64"/>
  <c r="AB83" i="64"/>
  <c r="AB111" i="64"/>
  <c r="AB113" i="64"/>
  <c r="AB115" i="64"/>
  <c r="AB117" i="64"/>
  <c r="Y73" i="64"/>
  <c r="X76" i="64" s="1"/>
  <c r="Y79" i="64"/>
  <c r="Y81" i="64"/>
  <c r="X81" i="64" s="1"/>
  <c r="Y83" i="64"/>
  <c r="Q1" i="63"/>
  <c r="W88" i="63"/>
  <c r="W87" i="63"/>
  <c r="W86" i="63"/>
  <c r="W85" i="63"/>
  <c r="W84" i="63"/>
  <c r="W83" i="63"/>
  <c r="W82" i="63"/>
  <c r="W81" i="63"/>
  <c r="W80" i="63"/>
  <c r="W79" i="63"/>
  <c r="W78" i="63"/>
  <c r="W77" i="63"/>
  <c r="W76" i="63"/>
  <c r="W75" i="63"/>
  <c r="W74" i="63"/>
  <c r="W73" i="63"/>
  <c r="W72" i="63"/>
  <c r="W71" i="63"/>
  <c r="W70" i="63"/>
  <c r="W69" i="63"/>
  <c r="W68" i="63"/>
  <c r="W67" i="63"/>
  <c r="W66" i="63"/>
  <c r="W65" i="63"/>
  <c r="W64" i="63"/>
  <c r="W63" i="63"/>
  <c r="W62" i="63"/>
  <c r="W61" i="63"/>
  <c r="W60" i="63"/>
  <c r="W59" i="63"/>
  <c r="W58" i="63"/>
  <c r="W57" i="63"/>
  <c r="W56" i="63"/>
  <c r="W55" i="63"/>
  <c r="W54" i="63"/>
  <c r="W51" i="63"/>
  <c r="W52" i="63"/>
  <c r="Z52" i="63" s="1"/>
  <c r="W50" i="63"/>
  <c r="W49"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4" i="63"/>
  <c r="W13" i="63"/>
  <c r="W12" i="63"/>
  <c r="W11" i="63"/>
  <c r="W10" i="63"/>
  <c r="W9" i="63"/>
  <c r="Q1" i="62"/>
  <c r="W121" i="62"/>
  <c r="W120" i="62"/>
  <c r="W119" i="62"/>
  <c r="W118" i="62"/>
  <c r="W117" i="62"/>
  <c r="W116" i="62"/>
  <c r="W115" i="62"/>
  <c r="W114" i="62"/>
  <c r="W113" i="62"/>
  <c r="W112" i="62"/>
  <c r="W111" i="62"/>
  <c r="W110" i="62"/>
  <c r="Z110" i="62" s="1"/>
  <c r="W109" i="62"/>
  <c r="W108" i="62"/>
  <c r="Z108" i="62" s="1"/>
  <c r="W107" i="62"/>
  <c r="W106" i="62"/>
  <c r="Z106" i="62" s="1"/>
  <c r="W105" i="62"/>
  <c r="W104" i="62"/>
  <c r="Z104" i="62" s="1"/>
  <c r="W103" i="62"/>
  <c r="W102" i="62"/>
  <c r="W101" i="62"/>
  <c r="W100" i="62"/>
  <c r="W99" i="62"/>
  <c r="W98" i="62"/>
  <c r="W97" i="62"/>
  <c r="W96" i="62"/>
  <c r="W95" i="62"/>
  <c r="W94" i="62"/>
  <c r="W93" i="62"/>
  <c r="W92" i="62"/>
  <c r="W91" i="62"/>
  <c r="W90" i="62"/>
  <c r="W89" i="62"/>
  <c r="W88" i="62"/>
  <c r="W87" i="62"/>
  <c r="W86" i="62"/>
  <c r="W85" i="62"/>
  <c r="W84" i="62"/>
  <c r="W83" i="62"/>
  <c r="W82" i="62"/>
  <c r="W81" i="62"/>
  <c r="W80" i="62"/>
  <c r="W79" i="62"/>
  <c r="W78" i="62"/>
  <c r="W76" i="62"/>
  <c r="W75" i="62"/>
  <c r="W74" i="62"/>
  <c r="W73" i="62"/>
  <c r="W72" i="62"/>
  <c r="W71" i="62"/>
  <c r="W70" i="62"/>
  <c r="W69" i="62"/>
  <c r="W67" i="62"/>
  <c r="W66" i="62"/>
  <c r="W65" i="62"/>
  <c r="W64" i="62"/>
  <c r="W63" i="62"/>
  <c r="W62" i="62"/>
  <c r="W61" i="62"/>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4" i="62"/>
  <c r="W33" i="62"/>
  <c r="W32" i="62"/>
  <c r="W31" i="62"/>
  <c r="W30" i="62"/>
  <c r="W29" i="62"/>
  <c r="W28" i="62"/>
  <c r="W27" i="62"/>
  <c r="W26" i="62"/>
  <c r="W25" i="62"/>
  <c r="W24" i="62"/>
  <c r="W23" i="62"/>
  <c r="W22" i="62"/>
  <c r="W21" i="62"/>
  <c r="W20" i="62"/>
  <c r="W19" i="62"/>
  <c r="W18" i="62"/>
  <c r="W17" i="62"/>
  <c r="W16" i="62"/>
  <c r="W15" i="62"/>
  <c r="W14" i="62"/>
  <c r="W13" i="62"/>
  <c r="W12" i="62"/>
  <c r="W11" i="62"/>
  <c r="W10" i="62"/>
  <c r="W9" i="62"/>
  <c r="X120" i="62"/>
  <c r="X87" i="63"/>
  <c r="X121" i="62"/>
  <c r="X85" i="63"/>
  <c r="X88" i="63"/>
  <c r="X84" i="63"/>
  <c r="X118" i="62"/>
  <c r="X117" i="62"/>
  <c r="X31" i="62" l="1"/>
  <c r="X30" i="62"/>
  <c r="X15" i="62"/>
  <c r="X17" i="62"/>
  <c r="X19" i="62"/>
  <c r="X16" i="62"/>
  <c r="X18" i="62"/>
  <c r="X20" i="62"/>
  <c r="X115" i="62"/>
  <c r="X113" i="62"/>
  <c r="Z72" i="62"/>
  <c r="Z71" i="62"/>
  <c r="AB103" i="62"/>
  <c r="X34" i="62"/>
  <c r="Y70" i="62"/>
  <c r="Y74" i="62"/>
  <c r="Y76" i="62"/>
  <c r="Y72" i="62"/>
  <c r="AA103" i="62"/>
  <c r="AB105" i="62"/>
  <c r="AB107" i="62"/>
  <c r="X33" i="62"/>
  <c r="X28" i="62"/>
  <c r="X27" i="62"/>
  <c r="X26" i="62"/>
  <c r="X25" i="62"/>
  <c r="X24" i="62"/>
  <c r="X23" i="62"/>
  <c r="X22" i="62"/>
  <c r="X21" i="62"/>
  <c r="X14" i="62"/>
  <c r="X13" i="62"/>
  <c r="X12" i="62"/>
  <c r="X11" i="62"/>
  <c r="X10" i="62"/>
  <c r="X9" i="62"/>
  <c r="AB73" i="62"/>
  <c r="AA107" i="62"/>
  <c r="AB109" i="62"/>
  <c r="X82" i="63"/>
  <c r="X81" i="63"/>
  <c r="X80" i="63"/>
  <c r="X79" i="63"/>
  <c r="Y50" i="63"/>
  <c r="Y51" i="63"/>
  <c r="Z51" i="63"/>
  <c r="AA49" i="63"/>
  <c r="Z49" i="63"/>
  <c r="AA52" i="63"/>
  <c r="AB52" i="63"/>
  <c r="X83" i="64"/>
  <c r="X79" i="64"/>
  <c r="X78" i="64"/>
  <c r="X82" i="64"/>
  <c r="X73" i="64"/>
  <c r="X75" i="64"/>
  <c r="X84" i="64"/>
  <c r="X80" i="64"/>
  <c r="X74" i="64"/>
  <c r="AB49" i="63"/>
  <c r="Y52" i="63"/>
  <c r="Y49" i="63"/>
  <c r="AA105" i="62"/>
  <c r="AA109" i="62"/>
  <c r="Y73" i="62"/>
  <c r="AA69" i="62"/>
  <c r="AA71" i="62"/>
  <c r="AB71" i="62"/>
  <c r="AA73" i="62"/>
  <c r="AA75" i="62"/>
  <c r="X29" i="62"/>
  <c r="Z69" i="62"/>
  <c r="AB69" i="62"/>
  <c r="Y71" i="62"/>
  <c r="Z73" i="62"/>
  <c r="Z74" i="62"/>
  <c r="Z75" i="62"/>
  <c r="AB75" i="62"/>
  <c r="Z76" i="62"/>
  <c r="Z103" i="62"/>
  <c r="X103" i="62" s="1"/>
  <c r="Z105" i="62"/>
  <c r="Z107" i="62"/>
  <c r="X107" i="62" s="1"/>
  <c r="Z109" i="62"/>
  <c r="X109" i="62" s="1"/>
  <c r="X112" i="62"/>
  <c r="X114" i="62"/>
  <c r="Y69" i="62"/>
  <c r="Y75" i="62"/>
  <c r="X105" i="62" l="1"/>
  <c r="X73" i="62"/>
  <c r="X69" i="62"/>
  <c r="X71" i="62"/>
  <c r="X74" i="62"/>
  <c r="X76" i="62"/>
  <c r="X70" i="62"/>
  <c r="X72" i="62"/>
  <c r="X75" i="62"/>
  <c r="G143" i="64"/>
  <c r="G134" i="64"/>
  <c r="R135" i="64"/>
  <c r="B137" i="64"/>
  <c r="G138" i="64"/>
  <c r="R139" i="64"/>
  <c r="B141" i="64"/>
  <c r="G142" i="64"/>
  <c r="B134" i="64"/>
  <c r="G135" i="64"/>
  <c r="R136" i="64"/>
  <c r="B138" i="64"/>
  <c r="G139" i="64"/>
  <c r="R140" i="64"/>
  <c r="B142" i="64"/>
  <c r="B135" i="64"/>
  <c r="G136" i="64"/>
  <c r="R137" i="64"/>
  <c r="B139" i="64"/>
  <c r="G140" i="64"/>
  <c r="R141" i="64"/>
  <c r="B143" i="64"/>
  <c r="R134" i="64"/>
  <c r="B136" i="64"/>
  <c r="G137" i="64"/>
  <c r="R138" i="64"/>
  <c r="B140" i="64"/>
  <c r="G141" i="64"/>
  <c r="R142" i="64"/>
  <c r="X104" i="62"/>
  <c r="X106" i="62"/>
  <c r="X108" i="62"/>
  <c r="X110" i="62"/>
  <c r="G123" i="62" l="1"/>
  <c r="B129" i="62"/>
  <c r="B130" i="62"/>
  <c r="B127" i="62"/>
  <c r="B125" i="62"/>
  <c r="B123" i="62"/>
  <c r="R128" i="62"/>
  <c r="R124" i="62"/>
  <c r="G126" i="62"/>
  <c r="G130" i="62"/>
  <c r="G127" i="62"/>
  <c r="G131" i="62"/>
  <c r="R127" i="62"/>
  <c r="G128" i="62"/>
  <c r="G129" i="62"/>
  <c r="B93" i="63"/>
  <c r="B90" i="63"/>
  <c r="B94" i="63"/>
  <c r="B91" i="63"/>
  <c r="B95" i="63"/>
  <c r="B92" i="63"/>
  <c r="G125" i="62"/>
  <c r="B132" i="62"/>
  <c r="B131" i="62"/>
  <c r="B126" i="62"/>
  <c r="B128" i="62"/>
  <c r="B124" i="62"/>
  <c r="G124" i="62"/>
  <c r="Q1" i="61" l="1"/>
  <c r="W120" i="61"/>
  <c r="W119" i="61"/>
  <c r="W118" i="61"/>
  <c r="W117" i="61"/>
  <c r="W116" i="61"/>
  <c r="W115" i="61"/>
  <c r="W114" i="61"/>
  <c r="W113" i="61"/>
  <c r="W112" i="61"/>
  <c r="W111" i="61"/>
  <c r="W110" i="61"/>
  <c r="W109" i="61"/>
  <c r="W108" i="61"/>
  <c r="W107" i="61"/>
  <c r="W106" i="61"/>
  <c r="W105" i="61"/>
  <c r="W103" i="61"/>
  <c r="W102" i="61"/>
  <c r="W67" i="61"/>
  <c r="W66" i="61"/>
  <c r="W65" i="61"/>
  <c r="W64" i="61"/>
  <c r="W63" i="61"/>
  <c r="W62" i="61"/>
  <c r="W61" i="61"/>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4" i="61"/>
  <c r="W33" i="61"/>
  <c r="W32" i="61"/>
  <c r="X118" i="61"/>
  <c r="X121" i="61"/>
  <c r="X120" i="61"/>
  <c r="X117" i="61"/>
  <c r="X113" i="61" l="1"/>
  <c r="X33" i="61"/>
  <c r="X34" i="61"/>
  <c r="X31" i="61"/>
  <c r="X32" i="61"/>
  <c r="X29" i="61"/>
  <c r="X30" i="61"/>
  <c r="X20" i="61"/>
  <c r="X18" i="61"/>
  <c r="X16" i="61"/>
  <c r="X14" i="61"/>
  <c r="X28" i="61"/>
  <c r="X26" i="61"/>
  <c r="X24" i="61"/>
  <c r="X22" i="61"/>
  <c r="X12" i="61"/>
  <c r="X10" i="61"/>
  <c r="X19" i="61"/>
  <c r="X17" i="61"/>
  <c r="X15" i="61"/>
  <c r="X13" i="61"/>
  <c r="X27" i="61"/>
  <c r="X25" i="61"/>
  <c r="X23" i="61"/>
  <c r="X21" i="61"/>
  <c r="X11" i="61"/>
  <c r="X9" i="61"/>
  <c r="AB103" i="61"/>
  <c r="AB105" i="61"/>
  <c r="AB107" i="61"/>
  <c r="AB109" i="61"/>
  <c r="X115" i="61"/>
  <c r="AA105" i="61"/>
  <c r="Z104" i="61"/>
  <c r="Z108" i="61"/>
  <c r="AA103" i="61"/>
  <c r="Z106" i="61"/>
  <c r="AA107" i="61"/>
  <c r="Z110" i="61"/>
  <c r="AA109" i="61"/>
  <c r="Z103" i="61"/>
  <c r="X103" i="61" s="1"/>
  <c r="Z105" i="61"/>
  <c r="X105" i="61" s="1"/>
  <c r="Z107" i="61"/>
  <c r="X107" i="61" s="1"/>
  <c r="Z109" i="61"/>
  <c r="X109" i="61" s="1"/>
  <c r="X112" i="61"/>
  <c r="X114" i="61"/>
  <c r="X69" i="61" l="1"/>
  <c r="X100" i="61"/>
  <c r="X96" i="61"/>
  <c r="X92" i="61"/>
  <c r="X88" i="61"/>
  <c r="X84" i="61"/>
  <c r="X80" i="61"/>
  <c r="X101" i="61"/>
  <c r="X97" i="61"/>
  <c r="X93" i="61"/>
  <c r="X89" i="61"/>
  <c r="X85" i="61"/>
  <c r="X81" i="61"/>
  <c r="X98" i="61"/>
  <c r="X94" i="61"/>
  <c r="X90" i="61"/>
  <c r="X86" i="61"/>
  <c r="X82" i="61"/>
  <c r="X78" i="61"/>
  <c r="X99" i="61"/>
  <c r="X95" i="61"/>
  <c r="X91" i="61"/>
  <c r="X87" i="61"/>
  <c r="X83" i="61"/>
  <c r="X79" i="61"/>
  <c r="X77" i="61"/>
  <c r="X72" i="61"/>
  <c r="X76" i="61"/>
  <c r="X71" i="61"/>
  <c r="X75" i="61"/>
  <c r="X70" i="61"/>
  <c r="X74" i="61"/>
  <c r="X73" i="61"/>
  <c r="B105" i="61"/>
  <c r="B107" i="61"/>
  <c r="B109" i="61"/>
  <c r="B103" i="61"/>
  <c r="B112" i="61" s="1"/>
  <c r="B121" i="61" s="1"/>
  <c r="B315" i="61"/>
  <c r="B312" i="61"/>
  <c r="AI318" i="61"/>
  <c r="B317" i="61"/>
  <c r="B316" i="61"/>
  <c r="B314" i="61"/>
  <c r="B313" i="61"/>
  <c r="B104" i="61"/>
  <c r="X106" i="61"/>
  <c r="X108" i="61"/>
  <c r="X110" i="61"/>
  <c r="X104" i="61"/>
  <c r="AI314" i="61" l="1"/>
  <c r="AI23" i="61"/>
  <c r="AI313" i="61"/>
  <c r="AI22" i="61"/>
  <c r="AI316" i="61"/>
  <c r="AI25" i="61"/>
  <c r="AI315" i="61"/>
  <c r="AI24" i="61"/>
  <c r="AI317" i="61"/>
  <c r="AI26" i="61"/>
  <c r="AI312" i="61"/>
  <c r="AI21" i="61"/>
  <c r="B110" i="61"/>
  <c r="B106" i="61"/>
  <c r="B113" i="61" s="1"/>
  <c r="B118" i="61" s="1"/>
  <c r="B303" i="61" s="1"/>
  <c r="AI12" i="61" s="1"/>
  <c r="B108" i="61"/>
  <c r="B115" i="61"/>
  <c r="B120" i="61" s="1"/>
  <c r="B114" i="61"/>
  <c r="B117" i="61" s="1"/>
  <c r="B309" i="61"/>
  <c r="B302" i="61"/>
  <c r="AI11" i="61" s="1"/>
  <c r="B310" i="61"/>
  <c r="B305" i="61"/>
  <c r="B306" i="61"/>
  <c r="B308" i="61"/>
  <c r="B301" i="61"/>
  <c r="AI10" i="61" s="1"/>
  <c r="B300" i="61"/>
  <c r="B311" i="61"/>
  <c r="B304" i="61"/>
  <c r="B307" i="61"/>
  <c r="W30" i="44" l="1"/>
  <c r="W34" i="44"/>
  <c r="W36" i="44"/>
  <c r="AR36" i="44" s="1"/>
  <c r="W40" i="44"/>
  <c r="W42" i="44"/>
  <c r="AR42" i="44" s="1"/>
  <c r="W44" i="44"/>
  <c r="W48" i="44"/>
  <c r="AR48" i="44" s="1"/>
  <c r="W52" i="44"/>
  <c r="W54" i="44"/>
  <c r="AR54" i="44" s="1"/>
  <c r="W56" i="44"/>
  <c r="W58" i="44"/>
  <c r="AR58" i="44" s="1"/>
  <c r="W60" i="44"/>
  <c r="W62" i="44"/>
  <c r="AR62" i="44" s="1"/>
  <c r="W64" i="44"/>
  <c r="W66" i="44"/>
  <c r="AR66" i="44" s="1"/>
  <c r="W72" i="44"/>
  <c r="W74" i="44"/>
  <c r="AR74" i="44" s="1"/>
  <c r="W76" i="44"/>
  <c r="W78" i="44"/>
  <c r="AR78" i="44" s="1"/>
  <c r="W84" i="44"/>
  <c r="W86" i="44"/>
  <c r="AR86" i="44" s="1"/>
  <c r="W88" i="44"/>
  <c r="W90" i="44"/>
  <c r="O90" i="44" s="1"/>
  <c r="W92" i="44"/>
  <c r="W94" i="44"/>
  <c r="W96" i="44"/>
  <c r="W98" i="44"/>
  <c r="AR98" i="44" s="1"/>
  <c r="W100" i="44"/>
  <c r="W104" i="44"/>
  <c r="AR104" i="44" s="1"/>
  <c r="W106" i="44"/>
  <c r="W108" i="44"/>
  <c r="AR108" i="44" s="1"/>
  <c r="W110" i="44"/>
  <c r="W112" i="44"/>
  <c r="AR112" i="44" s="1"/>
  <c r="W114" i="44"/>
  <c r="W116" i="44"/>
  <c r="W118" i="44"/>
  <c r="W120" i="44"/>
  <c r="AR120" i="44" s="1"/>
  <c r="W122" i="44"/>
  <c r="W126" i="44"/>
  <c r="AR126" i="44" s="1"/>
  <c r="W128" i="44"/>
  <c r="W132" i="44"/>
  <c r="AR132" i="44" s="1"/>
  <c r="W134" i="44"/>
  <c r="W138" i="44"/>
  <c r="W140" i="44"/>
  <c r="W142" i="44"/>
  <c r="AR142" i="44" s="1"/>
  <c r="W146" i="44"/>
  <c r="W150" i="44"/>
  <c r="W152" i="44"/>
  <c r="W156" i="44"/>
  <c r="AR156" i="44" s="1"/>
  <c r="W158" i="44"/>
  <c r="W162" i="44"/>
  <c r="W170" i="44"/>
  <c r="W172" i="44"/>
  <c r="W176" i="44"/>
  <c r="W178" i="44"/>
  <c r="W184" i="44"/>
  <c r="W186" i="44"/>
  <c r="W190" i="44"/>
  <c r="W192" i="44"/>
  <c r="W196" i="44"/>
  <c r="W29" i="44"/>
  <c r="AR29" i="44" s="1"/>
  <c r="W31" i="44"/>
  <c r="W33" i="44"/>
  <c r="AR33" i="44" s="1"/>
  <c r="W35" i="44"/>
  <c r="W39" i="44"/>
  <c r="AR39" i="44" s="1"/>
  <c r="W43" i="44"/>
  <c r="W47" i="44"/>
  <c r="AR47" i="44" s="1"/>
  <c r="W49" i="44"/>
  <c r="W53" i="44"/>
  <c r="AR53" i="44" s="1"/>
  <c r="W55" i="44"/>
  <c r="W57" i="44"/>
  <c r="AR57" i="44" s="1"/>
  <c r="W61" i="44"/>
  <c r="W65" i="44"/>
  <c r="O65" i="44" s="1"/>
  <c r="W67" i="44"/>
  <c r="O67" i="44" s="1"/>
  <c r="W69" i="44"/>
  <c r="W71" i="44"/>
  <c r="O71" i="44" s="1"/>
  <c r="W73" i="44"/>
  <c r="W75" i="44"/>
  <c r="W77" i="44"/>
  <c r="AR77" i="44" s="1"/>
  <c r="W79" i="44"/>
  <c r="W85" i="44"/>
  <c r="AR85" i="44" s="1"/>
  <c r="W89" i="44"/>
  <c r="W91" i="44"/>
  <c r="O91" i="44" s="1"/>
  <c r="W95" i="44"/>
  <c r="W97" i="44"/>
  <c r="W99" i="44"/>
  <c r="W101" i="44"/>
  <c r="AR101" i="44" s="1"/>
  <c r="W103" i="44"/>
  <c r="W109" i="44"/>
  <c r="AR109" i="44" s="1"/>
  <c r="W111" i="44"/>
  <c r="W113" i="44"/>
  <c r="AR113" i="44" s="1"/>
  <c r="W115" i="44"/>
  <c r="W117" i="44"/>
  <c r="AR117" i="44" s="1"/>
  <c r="W119" i="44"/>
  <c r="W123" i="44"/>
  <c r="AR123" i="44" s="1"/>
  <c r="W125" i="44"/>
  <c r="W127" i="44"/>
  <c r="W129" i="44"/>
  <c r="W131" i="44"/>
  <c r="W133" i="44"/>
  <c r="W135" i="44"/>
  <c r="AR135" i="44" s="1"/>
  <c r="W137" i="44"/>
  <c r="W141" i="44"/>
  <c r="AR141" i="44" s="1"/>
  <c r="W145" i="44"/>
  <c r="W147" i="44"/>
  <c r="AR147" i="44" s="1"/>
  <c r="W151" i="44"/>
  <c r="W157" i="44"/>
  <c r="AR157" i="44" s="1"/>
  <c r="W161" i="44"/>
  <c r="W167" i="44"/>
  <c r="W171" i="44"/>
  <c r="W173" i="44"/>
  <c r="W177" i="44"/>
  <c r="W183" i="44"/>
  <c r="W187" i="44"/>
  <c r="W191" i="44"/>
  <c r="W200" i="44"/>
  <c r="W189" i="44"/>
  <c r="W199" i="44"/>
  <c r="W201" i="44"/>
  <c r="W9" i="44"/>
  <c r="W10" i="44"/>
  <c r="AR10" i="44" s="1"/>
  <c r="W12" i="44"/>
  <c r="W14" i="44"/>
  <c r="AR14" i="44" s="1"/>
  <c r="W18" i="44"/>
  <c r="W20" i="44"/>
  <c r="AR20" i="44" s="1"/>
  <c r="W24" i="44"/>
  <c r="O24" i="44" s="1"/>
  <c r="W26" i="44"/>
  <c r="AR26" i="44" s="1"/>
  <c r="W15" i="44"/>
  <c r="W17" i="44"/>
  <c r="AR17" i="44" s="1"/>
  <c r="W23" i="44"/>
  <c r="W25" i="44"/>
  <c r="W27" i="44"/>
  <c r="AI9" i="61"/>
  <c r="AR67" i="44"/>
  <c r="AI304" i="61"/>
  <c r="AI13" i="61"/>
  <c r="AI308" i="61"/>
  <c r="AI17" i="61"/>
  <c r="AI305" i="61"/>
  <c r="AI14" i="61"/>
  <c r="AI309" i="61"/>
  <c r="AI18" i="61"/>
  <c r="AI307" i="61"/>
  <c r="AI16" i="61"/>
  <c r="AI311" i="61"/>
  <c r="AI20" i="61"/>
  <c r="AI306" i="61"/>
  <c r="AI15" i="61"/>
  <c r="AI310" i="61"/>
  <c r="AI19" i="61"/>
  <c r="X138" i="44"/>
  <c r="X131" i="44"/>
  <c r="AR138" i="44"/>
  <c r="X139" i="44"/>
  <c r="AR131" i="44"/>
  <c r="X160" i="44"/>
  <c r="X161" i="44"/>
  <c r="X162" i="44"/>
  <c r="X100" i="44"/>
  <c r="X163" i="44"/>
  <c r="X164" i="44"/>
  <c r="X165" i="44"/>
  <c r="X117" i="44"/>
  <c r="X166" i="44"/>
  <c r="X167" i="44"/>
  <c r="X122" i="44"/>
  <c r="X168" i="44"/>
  <c r="X169" i="44"/>
  <c r="X170" i="44"/>
  <c r="X171" i="44"/>
  <c r="X172" i="44"/>
  <c r="X173" i="44"/>
  <c r="X174" i="44"/>
  <c r="X175" i="44"/>
  <c r="AR100" i="44"/>
  <c r="AR122" i="44"/>
  <c r="X104" i="44"/>
  <c r="X95" i="44"/>
  <c r="X176" i="44"/>
  <c r="X105" i="44"/>
  <c r="X177" i="44"/>
  <c r="X178" i="44"/>
  <c r="X179" i="44"/>
  <c r="X88" i="44"/>
  <c r="X180" i="44"/>
  <c r="X97" i="44"/>
  <c r="X181" i="44"/>
  <c r="X182" i="44"/>
  <c r="X123" i="44"/>
  <c r="X183" i="44"/>
  <c r="X184" i="44"/>
  <c r="X185" i="44"/>
  <c r="X91" i="44"/>
  <c r="X186" i="44"/>
  <c r="AR95" i="44"/>
  <c r="AR88" i="44"/>
  <c r="AR97" i="44"/>
  <c r="AR118" i="44"/>
  <c r="AR133" i="44"/>
  <c r="AR119" i="44"/>
  <c r="X187" i="44"/>
  <c r="X136" i="44"/>
  <c r="X188" i="44"/>
  <c r="X189" i="44"/>
  <c r="X190" i="44"/>
  <c r="X191" i="44"/>
  <c r="X192" i="44"/>
  <c r="X124" i="44"/>
  <c r="X193" i="44"/>
  <c r="X194" i="44"/>
  <c r="X195" i="44"/>
  <c r="X196" i="44"/>
  <c r="X197" i="44"/>
  <c r="X198" i="44"/>
  <c r="X118" i="44"/>
  <c r="X133" i="44"/>
  <c r="X199" i="44"/>
  <c r="X200" i="44"/>
  <c r="X119" i="44"/>
  <c r="X201" i="44"/>
  <c r="AF202" i="44"/>
  <c r="X137" i="44"/>
  <c r="AR137" i="44"/>
  <c r="X9" i="44"/>
  <c r="X52" i="44"/>
  <c r="AR52" i="44"/>
  <c r="X130" i="44"/>
  <c r="X99" i="44"/>
  <c r="X106" i="44"/>
  <c r="AR106" i="44"/>
  <c r="X116" i="44"/>
  <c r="X94" i="44"/>
  <c r="AR116" i="44"/>
  <c r="X57" i="44"/>
  <c r="X61" i="44"/>
  <c r="AR61" i="44"/>
  <c r="AR127" i="44"/>
  <c r="X127" i="44"/>
  <c r="X107" i="44"/>
  <c r="X126" i="44"/>
  <c r="X80" i="44"/>
  <c r="X73" i="44"/>
  <c r="X74" i="44"/>
  <c r="X108" i="44"/>
  <c r="X135" i="44"/>
  <c r="X128" i="44"/>
  <c r="X86" i="44"/>
  <c r="X109" i="44"/>
  <c r="AR73" i="44"/>
  <c r="AR128" i="44"/>
  <c r="AR110" i="44"/>
  <c r="AR89" i="44"/>
  <c r="X101" i="44"/>
  <c r="X110" i="44"/>
  <c r="AR134" i="44"/>
  <c r="AR111" i="44"/>
  <c r="AR115" i="44"/>
  <c r="AR34" i="44"/>
  <c r="AR96" i="44"/>
  <c r="X96" i="44"/>
  <c r="X89" i="44"/>
  <c r="X134" i="44"/>
  <c r="X111" i="44"/>
  <c r="X115" i="44"/>
  <c r="X67" i="44"/>
  <c r="X47" i="44"/>
  <c r="X34" i="44"/>
  <c r="AI302" i="61"/>
  <c r="AI301" i="61"/>
  <c r="AI303" i="61"/>
  <c r="AI300" i="61"/>
  <c r="AR9" i="44"/>
  <c r="AR40" i="44"/>
  <c r="AR64" i="44"/>
  <c r="AR56" i="44"/>
  <c r="AR114" i="44"/>
  <c r="AR79" i="44"/>
  <c r="AR35" i="44"/>
  <c r="AR27" i="44"/>
  <c r="AR140" i="44"/>
  <c r="AR72" i="44"/>
  <c r="AR25" i="44"/>
  <c r="AR44" i="44"/>
  <c r="AR151" i="44"/>
  <c r="AR146" i="44"/>
  <c r="AR150" i="44"/>
  <c r="AR92" i="44"/>
  <c r="AR76" i="44"/>
  <c r="AR129" i="44"/>
  <c r="AR125" i="44"/>
  <c r="AR18" i="44"/>
  <c r="AR12" i="44"/>
  <c r="AR31" i="44"/>
  <c r="AR15" i="44"/>
  <c r="AR43" i="44"/>
  <c r="AR55" i="44"/>
  <c r="AR60" i="44"/>
  <c r="AR24" i="44"/>
  <c r="AR30" i="44"/>
  <c r="AR69" i="44"/>
  <c r="AR75" i="44"/>
  <c r="AR49" i="44"/>
  <c r="AR84" i="44"/>
  <c r="AR103" i="44"/>
  <c r="AR71" i="44"/>
  <c r="AR152" i="44"/>
  <c r="AR145" i="44"/>
  <c r="AR23" i="44"/>
  <c r="X23" i="44"/>
  <c r="X11" i="44"/>
  <c r="X20" i="44"/>
  <c r="X14" i="44"/>
  <c r="X63" i="44"/>
  <c r="X70" i="44"/>
  <c r="X37" i="44"/>
  <c r="X10" i="44"/>
  <c r="X36" i="44"/>
  <c r="X40" i="44"/>
  <c r="X45" i="44"/>
  <c r="X21" i="44"/>
  <c r="X26" i="44"/>
  <c r="X64" i="44"/>
  <c r="X17" i="44"/>
  <c r="X56" i="44"/>
  <c r="X16" i="44"/>
  <c r="X114" i="44"/>
  <c r="X22" i="44"/>
  <c r="X79" i="44"/>
  <c r="X51" i="44"/>
  <c r="X33" i="44"/>
  <c r="X35" i="44"/>
  <c r="X27" i="44"/>
  <c r="X42" i="44"/>
  <c r="X140" i="44"/>
  <c r="X72" i="44"/>
  <c r="X46" i="44"/>
  <c r="X25" i="44"/>
  <c r="X66" i="44"/>
  <c r="X44" i="44"/>
  <c r="X151" i="44"/>
  <c r="X146" i="44"/>
  <c r="X59" i="44"/>
  <c r="X29" i="44"/>
  <c r="X150" i="44"/>
  <c r="X153" i="44"/>
  <c r="X155" i="44"/>
  <c r="X98" i="44"/>
  <c r="X68" i="44"/>
  <c r="X143" i="44"/>
  <c r="X92" i="44"/>
  <c r="X149" i="44"/>
  <c r="X113" i="44"/>
  <c r="X76" i="44"/>
  <c r="X147" i="44"/>
  <c r="X58" i="44"/>
  <c r="X129" i="44"/>
  <c r="X125" i="44"/>
  <c r="X112" i="44"/>
  <c r="X158" i="44"/>
  <c r="X18" i="44"/>
  <c r="X13" i="44"/>
  <c r="X12" i="44"/>
  <c r="X31" i="44"/>
  <c r="X32" i="44"/>
  <c r="X41" i="44"/>
  <c r="X93" i="44"/>
  <c r="X28" i="44"/>
  <c r="X19" i="44"/>
  <c r="X82" i="44"/>
  <c r="X39" i="44"/>
  <c r="X48" i="44"/>
  <c r="X15" i="44"/>
  <c r="X43" i="44"/>
  <c r="X83" i="44"/>
  <c r="X55" i="44"/>
  <c r="X60" i="44"/>
  <c r="X24" i="44"/>
  <c r="X78" i="44"/>
  <c r="X121" i="44"/>
  <c r="X50" i="44"/>
  <c r="X81" i="44"/>
  <c r="X53" i="44"/>
  <c r="X30" i="44"/>
  <c r="X65" i="44"/>
  <c r="X38" i="44"/>
  <c r="X54" i="44"/>
  <c r="X141" i="44"/>
  <c r="X69" i="44"/>
  <c r="X77" i="44"/>
  <c r="X85" i="44"/>
  <c r="X142" i="44"/>
  <c r="X75" i="44"/>
  <c r="X154" i="44"/>
  <c r="X62" i="44"/>
  <c r="X49" i="44"/>
  <c r="X84" i="44"/>
  <c r="X157" i="44"/>
  <c r="X102" i="44"/>
  <c r="X103" i="44"/>
  <c r="X132" i="44"/>
  <c r="X71" i="44"/>
  <c r="X120" i="44"/>
  <c r="X152" i="44"/>
  <c r="X87" i="44"/>
  <c r="X90" i="44"/>
  <c r="X156" i="44"/>
  <c r="X144" i="44"/>
  <c r="X145" i="44"/>
  <c r="X148" i="44"/>
  <c r="X159" i="44"/>
  <c r="AR90" i="44" l="1"/>
  <c r="AR65" i="44"/>
  <c r="AR91" i="44"/>
  <c r="X202" i="44"/>
  <c r="A1" i="66" l="1"/>
  <c r="A4" i="57"/>
  <c r="A2" i="57"/>
  <c r="A1" i="57"/>
  <c r="F1" i="57"/>
  <c r="A1" i="64" l="1"/>
  <c r="W31" i="53" l="1"/>
  <c r="W30" i="53"/>
  <c r="W28" i="53"/>
  <c r="W27" i="53"/>
  <c r="X25" i="53"/>
  <c r="W25" i="53"/>
  <c r="X24" i="53"/>
  <c r="W24" i="53"/>
  <c r="X23" i="53"/>
  <c r="W23" i="53"/>
  <c r="X22" i="53"/>
  <c r="W22" i="53"/>
  <c r="X20" i="53"/>
  <c r="W20" i="53"/>
  <c r="X19" i="53"/>
  <c r="W19" i="53"/>
  <c r="X18" i="53"/>
  <c r="W18" i="53"/>
  <c r="X17" i="53"/>
  <c r="W17" i="53"/>
  <c r="X15" i="53"/>
  <c r="W15" i="53"/>
  <c r="X14" i="53"/>
  <c r="W14" i="53"/>
  <c r="X13" i="53"/>
  <c r="W13" i="53"/>
  <c r="X12" i="53"/>
  <c r="W12" i="53"/>
  <c r="X11" i="53"/>
  <c r="W11" i="53"/>
  <c r="X10" i="53"/>
  <c r="W10" i="53"/>
  <c r="X9" i="53"/>
  <c r="W9" i="53"/>
  <c r="A4" i="53"/>
  <c r="A2" i="53"/>
  <c r="Q1" i="53"/>
  <c r="X28" i="53"/>
  <c r="X30" i="53"/>
  <c r="X31" i="53"/>
  <c r="X27" i="53"/>
  <c r="Z202" i="44" l="1"/>
  <c r="AI4" i="44" l="1"/>
  <c r="AB4" i="44"/>
  <c r="AE4" i="44"/>
  <c r="V4" i="44"/>
  <c r="U4" i="44"/>
  <c r="A1" i="53" l="1"/>
  <c r="H28" i="36"/>
  <c r="A3" i="82" s="1"/>
  <c r="H24" i="36"/>
  <c r="A3" i="79" s="1"/>
  <c r="A3" i="57"/>
  <c r="A3" i="66"/>
  <c r="H23" i="36"/>
  <c r="H13" i="36"/>
  <c r="A3" i="73" s="1"/>
  <c r="A3" i="31" l="1"/>
  <c r="A3" i="67"/>
  <c r="B108" i="79"/>
  <c r="C125" i="79" s="1"/>
  <c r="G131" i="79" s="1"/>
  <c r="B148" i="79"/>
  <c r="C165" i="79" s="1"/>
  <c r="B102" i="79"/>
  <c r="C103" i="79" s="1"/>
  <c r="B110" i="79"/>
  <c r="C111" i="79" s="1"/>
  <c r="B142" i="79"/>
  <c r="C161" i="79" s="1"/>
  <c r="G169" i="79" s="1"/>
  <c r="M173" i="79" s="1"/>
  <c r="B150" i="79"/>
  <c r="C149" i="79" s="1"/>
  <c r="G157" i="79" s="1"/>
  <c r="G180" i="79"/>
  <c r="M179" i="79" s="1"/>
  <c r="B112" i="79"/>
  <c r="C127" i="79" s="1"/>
  <c r="G133" i="79" s="1"/>
  <c r="B152" i="79"/>
  <c r="B154" i="79"/>
  <c r="B140" i="79"/>
  <c r="C141" i="79" s="1"/>
  <c r="B116" i="79"/>
  <c r="B106" i="79"/>
  <c r="C107" i="79" s="1"/>
  <c r="B114" i="79"/>
  <c r="B146" i="79"/>
  <c r="C163" i="79" s="1"/>
  <c r="G162" i="79" s="1"/>
  <c r="G178" i="79"/>
  <c r="M182" i="79" s="1"/>
  <c r="B104" i="79"/>
  <c r="C123" i="79" s="1"/>
  <c r="G124" i="79" s="1"/>
  <c r="B144" i="79"/>
  <c r="C145" i="79" s="1"/>
  <c r="A3" i="64"/>
  <c r="A3" i="53"/>
  <c r="M126" i="79" l="1"/>
  <c r="G143" i="79"/>
  <c r="G155" i="79"/>
  <c r="C129" i="79"/>
  <c r="G128" i="79" s="1"/>
  <c r="M129" i="79" s="1"/>
  <c r="C115" i="79"/>
  <c r="G166" i="79"/>
  <c r="G105" i="79"/>
  <c r="M109" i="79" s="1"/>
  <c r="G117" i="79"/>
  <c r="M118" i="79" s="1"/>
  <c r="C167" i="79"/>
  <c r="G171" i="79" s="1"/>
  <c r="M170" i="79" s="1"/>
  <c r="C153" i="79"/>
  <c r="G151" i="79" s="1"/>
  <c r="M132" i="79"/>
  <c r="M135" i="79"/>
  <c r="E13" i="36"/>
  <c r="A1" i="73" s="1"/>
  <c r="E12" i="36"/>
  <c r="A1" i="69" s="1"/>
  <c r="E28" i="36"/>
  <c r="A1" i="82" s="1"/>
  <c r="B181" i="82" l="1"/>
  <c r="B179" i="82"/>
  <c r="B102" i="82"/>
  <c r="B106" i="82"/>
  <c r="C125" i="82" s="1"/>
  <c r="B110" i="82"/>
  <c r="C127" i="82" s="1"/>
  <c r="G133" i="82" s="1"/>
  <c r="B114" i="82"/>
  <c r="C115" i="82" s="1"/>
  <c r="G113" i="82" s="1"/>
  <c r="M114" i="82" s="1"/>
  <c r="B142" i="82"/>
  <c r="B146" i="82"/>
  <c r="C163" i="82" s="1"/>
  <c r="B150" i="82"/>
  <c r="C165" i="82" s="1"/>
  <c r="G171" i="82" s="1"/>
  <c r="M170" i="82" s="1"/>
  <c r="B116" i="82"/>
  <c r="C129" i="82" s="1"/>
  <c r="G128" i="82" s="1"/>
  <c r="M126" i="82" s="1"/>
  <c r="B180" i="82"/>
  <c r="B154" i="82"/>
  <c r="B104" i="82"/>
  <c r="B108" i="82"/>
  <c r="C107" i="82" s="1"/>
  <c r="B112" i="82"/>
  <c r="C111" i="82" s="1"/>
  <c r="G119" i="82" s="1"/>
  <c r="B140" i="82"/>
  <c r="B144" i="82"/>
  <c r="C145" i="82" s="1"/>
  <c r="B148" i="82"/>
  <c r="C149" i="82" s="1"/>
  <c r="G157" i="82" s="1"/>
  <c r="M159" i="82" s="1"/>
  <c r="B152" i="82"/>
  <c r="G178" i="69"/>
  <c r="M182" i="69" s="1"/>
  <c r="B154" i="69"/>
  <c r="C153" i="69" s="1"/>
  <c r="G151" i="69" s="1"/>
  <c r="M152" i="69" s="1"/>
  <c r="B146" i="69"/>
  <c r="C163" i="69" s="1"/>
  <c r="G162" i="69" s="1"/>
  <c r="M164" i="69" s="1"/>
  <c r="B116" i="69"/>
  <c r="C129" i="69" s="1"/>
  <c r="G128" i="69" s="1"/>
  <c r="M126" i="69" s="1"/>
  <c r="B108" i="69"/>
  <c r="C107" i="69" s="1"/>
  <c r="G105" i="69" s="1"/>
  <c r="M109" i="69" s="1"/>
  <c r="B152" i="69"/>
  <c r="C167" i="69" s="1"/>
  <c r="G166" i="69" s="1"/>
  <c r="M167" i="69" s="1"/>
  <c r="B144" i="69"/>
  <c r="C145" i="69" s="1"/>
  <c r="G143" i="69" s="1"/>
  <c r="M147" i="69" s="1"/>
  <c r="B114" i="69"/>
  <c r="C115" i="69" s="1"/>
  <c r="G113" i="69" s="1"/>
  <c r="M114" i="69" s="1"/>
  <c r="G180" i="69"/>
  <c r="M179" i="69" s="1"/>
  <c r="B150" i="69"/>
  <c r="C165" i="69" s="1"/>
  <c r="G171" i="69" s="1"/>
  <c r="B142" i="69"/>
  <c r="C161" i="69" s="1"/>
  <c r="G169" i="69" s="1"/>
  <c r="B112" i="69"/>
  <c r="C111" i="69" s="1"/>
  <c r="G119" i="69" s="1"/>
  <c r="B104" i="69"/>
  <c r="C103" i="69" s="1"/>
  <c r="G117" i="69" s="1"/>
  <c r="B148" i="69"/>
  <c r="C149" i="69" s="1"/>
  <c r="G157" i="69" s="1"/>
  <c r="M159" i="69" s="1"/>
  <c r="B140" i="69"/>
  <c r="C141" i="69" s="1"/>
  <c r="G155" i="69" s="1"/>
  <c r="M156" i="69" s="1"/>
  <c r="B110" i="69"/>
  <c r="C127" i="69" s="1"/>
  <c r="G133" i="69" s="1"/>
  <c r="M135" i="69" s="1"/>
  <c r="B102" i="69"/>
  <c r="C123" i="69" s="1"/>
  <c r="G124" i="69" s="1"/>
  <c r="M129" i="69" s="1"/>
  <c r="B106" i="69"/>
  <c r="C125" i="69" s="1"/>
  <c r="G131" i="69" s="1"/>
  <c r="M132" i="69" s="1"/>
  <c r="M152" i="79"/>
  <c r="M147" i="79"/>
  <c r="M167" i="79"/>
  <c r="M164" i="79"/>
  <c r="G113" i="79"/>
  <c r="M114" i="79" s="1"/>
  <c r="B301" i="79" s="1"/>
  <c r="G119" i="79"/>
  <c r="M121" i="79" s="1"/>
  <c r="M156" i="79"/>
  <c r="M159" i="79"/>
  <c r="C146" i="73"/>
  <c r="G150" i="73" s="1"/>
  <c r="M149" i="73" s="1"/>
  <c r="C144" i="73"/>
  <c r="G145" i="73" s="1"/>
  <c r="M146" i="73" s="1"/>
  <c r="B102" i="73"/>
  <c r="C123" i="73" s="1"/>
  <c r="G124" i="73" s="1"/>
  <c r="M126" i="73" s="1"/>
  <c r="B106" i="73"/>
  <c r="B110" i="73"/>
  <c r="C127" i="73" s="1"/>
  <c r="B114" i="73"/>
  <c r="C115" i="73" s="1"/>
  <c r="G113" i="73" s="1"/>
  <c r="M114" i="73" s="1"/>
  <c r="C142" i="73"/>
  <c r="G141" i="73" s="1"/>
  <c r="M143" i="73" s="1"/>
  <c r="C140" i="73"/>
  <c r="G148" i="73" s="1"/>
  <c r="M152" i="73" s="1"/>
  <c r="B104" i="73"/>
  <c r="C103" i="73" s="1"/>
  <c r="G117" i="73" s="1"/>
  <c r="B108" i="73"/>
  <c r="B112" i="73"/>
  <c r="C111" i="73" s="1"/>
  <c r="G119" i="73" s="1"/>
  <c r="B116" i="73"/>
  <c r="C129" i="73" s="1"/>
  <c r="B300" i="79"/>
  <c r="B317" i="79"/>
  <c r="B316" i="79"/>
  <c r="B305" i="79"/>
  <c r="B306" i="79"/>
  <c r="B315" i="79"/>
  <c r="B312" i="79"/>
  <c r="B303" i="79"/>
  <c r="B313" i="79"/>
  <c r="B309" i="79"/>
  <c r="B310" i="79"/>
  <c r="B302" i="79"/>
  <c r="B311" i="79"/>
  <c r="B307" i="79"/>
  <c r="B314" i="79"/>
  <c r="B304" i="79"/>
  <c r="B308" i="79"/>
  <c r="H1" i="49"/>
  <c r="Q1" i="51"/>
  <c r="AO21" i="79" l="1"/>
  <c r="AP21" i="79" s="1"/>
  <c r="AK21" i="79"/>
  <c r="AI21" i="79"/>
  <c r="AM21" i="79"/>
  <c r="AN21" i="79" s="1"/>
  <c r="AO17" i="79"/>
  <c r="AP17" i="79" s="1"/>
  <c r="AM17" i="79"/>
  <c r="AN17" i="79" s="1"/>
  <c r="AI17" i="79"/>
  <c r="AK17" i="79"/>
  <c r="AI20" i="79"/>
  <c r="AM20" i="79"/>
  <c r="AN20" i="79" s="1"/>
  <c r="AK20" i="79"/>
  <c r="AO20" i="79"/>
  <c r="AP20" i="79" s="1"/>
  <c r="AK19" i="79"/>
  <c r="AM19" i="79"/>
  <c r="AN19" i="79" s="1"/>
  <c r="AI19" i="79"/>
  <c r="AO19" i="79"/>
  <c r="AP19" i="79" s="1"/>
  <c r="AK13" i="79"/>
  <c r="AO13" i="79"/>
  <c r="AP13" i="79" s="1"/>
  <c r="AI13" i="79"/>
  <c r="AM13" i="79"/>
  <c r="AN13" i="79" s="1"/>
  <c r="AK23" i="79"/>
  <c r="AO23" i="79"/>
  <c r="AP23" i="79" s="1"/>
  <c r="AI23" i="79"/>
  <c r="AM23" i="79"/>
  <c r="AN23" i="79" s="1"/>
  <c r="AI34" i="44"/>
  <c r="AI15" i="44"/>
  <c r="AM7" i="79"/>
  <c r="AN7" i="79" s="1"/>
  <c r="AO7" i="79"/>
  <c r="AP7" i="79" s="1"/>
  <c r="AK7" i="79"/>
  <c r="AI12" i="44"/>
  <c r="AI52" i="44"/>
  <c r="AI7" i="79"/>
  <c r="AI138" i="44"/>
  <c r="AI162" i="44"/>
  <c r="AI88" i="44"/>
  <c r="AI182" i="44"/>
  <c r="AI185" i="44"/>
  <c r="AI194" i="44"/>
  <c r="AI198" i="44"/>
  <c r="AI200" i="44"/>
  <c r="AI163" i="44"/>
  <c r="AI166" i="44"/>
  <c r="AI169" i="44"/>
  <c r="AI173" i="44"/>
  <c r="AI95" i="44"/>
  <c r="AI91" i="44"/>
  <c r="AI188" i="44"/>
  <c r="AI16" i="44"/>
  <c r="AI19" i="44"/>
  <c r="AI23" i="44"/>
  <c r="AI42" i="44"/>
  <c r="AI32" i="44"/>
  <c r="AI49" i="44"/>
  <c r="AI65" i="44"/>
  <c r="AI87" i="44"/>
  <c r="AI93" i="44"/>
  <c r="AI99" i="44"/>
  <c r="AI110" i="44"/>
  <c r="AI120" i="44"/>
  <c r="AI128" i="44"/>
  <c r="AI137" i="44"/>
  <c r="AI153" i="44"/>
  <c r="AI152" i="44"/>
  <c r="AI112" i="44"/>
  <c r="AI159" i="44"/>
  <c r="AI14" i="44"/>
  <c r="AI24" i="44"/>
  <c r="AI43" i="44"/>
  <c r="AI28" i="44"/>
  <c r="AI48" i="44"/>
  <c r="AI76" i="44"/>
  <c r="AI70" i="44"/>
  <c r="AI66" i="44"/>
  <c r="AI72" i="44"/>
  <c r="AI62" i="44"/>
  <c r="AI161" i="44"/>
  <c r="AI179" i="44"/>
  <c r="AI181" i="44"/>
  <c r="AI184" i="44"/>
  <c r="AI193" i="44"/>
  <c r="AI197" i="44"/>
  <c r="AI199" i="44"/>
  <c r="AI160" i="44"/>
  <c r="AI117" i="44"/>
  <c r="AI168" i="44"/>
  <c r="AI172" i="44"/>
  <c r="AI104" i="44"/>
  <c r="AI177" i="44"/>
  <c r="AI136" i="44"/>
  <c r="AI191" i="44"/>
  <c r="AI13" i="44"/>
  <c r="AI27" i="44"/>
  <c r="AI40" i="44"/>
  <c r="AI36" i="44"/>
  <c r="AI54" i="44"/>
  <c r="AI67" i="44"/>
  <c r="AI57" i="44"/>
  <c r="AI75" i="44"/>
  <c r="AI106" i="44"/>
  <c r="AI83" i="44"/>
  <c r="AI79" i="44"/>
  <c r="AI130" i="44"/>
  <c r="AI141" i="44"/>
  <c r="AI157" i="44"/>
  <c r="AI90" i="44"/>
  <c r="AI158" i="44"/>
  <c r="AI21" i="44"/>
  <c r="AI37" i="44"/>
  <c r="AI38" i="44"/>
  <c r="AI55" i="44"/>
  <c r="AI63" i="44"/>
  <c r="AI85" i="44"/>
  <c r="AI69" i="44"/>
  <c r="AI73" i="44"/>
  <c r="AI108" i="44"/>
  <c r="AI115" i="44"/>
  <c r="AI98" i="44"/>
  <c r="AI92" i="44"/>
  <c r="AI146" i="44"/>
  <c r="AI143" i="44"/>
  <c r="AI144" i="44"/>
  <c r="AI78" i="44"/>
  <c r="AI127" i="44"/>
  <c r="AI135" i="44"/>
  <c r="AI150" i="44"/>
  <c r="AI149" i="44"/>
  <c r="AI148" i="44"/>
  <c r="AI134" i="44"/>
  <c r="AI71" i="44"/>
  <c r="AI125" i="44"/>
  <c r="AI145" i="44"/>
  <c r="AI25" i="44"/>
  <c r="AI33" i="44"/>
  <c r="AI56" i="44"/>
  <c r="AI68" i="44"/>
  <c r="AI111" i="44"/>
  <c r="AI81" i="44"/>
  <c r="AI140" i="44"/>
  <c r="AI155" i="44"/>
  <c r="AI113" i="44"/>
  <c r="AI84" i="44"/>
  <c r="AI151" i="44"/>
  <c r="AI102" i="44"/>
  <c r="AI131" i="44"/>
  <c r="AI178" i="44"/>
  <c r="AI97" i="44"/>
  <c r="AI183" i="44"/>
  <c r="AI124" i="44"/>
  <c r="AI196" i="44"/>
  <c r="AI133" i="44"/>
  <c r="AI201" i="44"/>
  <c r="AI165" i="44"/>
  <c r="AI122" i="44"/>
  <c r="AI171" i="44"/>
  <c r="AI175" i="44"/>
  <c r="AI105" i="44"/>
  <c r="AI187" i="44"/>
  <c r="AI190" i="44"/>
  <c r="AI17" i="44"/>
  <c r="AI18" i="44"/>
  <c r="AI30" i="44"/>
  <c r="AI50" i="44"/>
  <c r="AI59" i="44"/>
  <c r="AI46" i="44"/>
  <c r="AI58" i="44"/>
  <c r="AI82" i="44"/>
  <c r="AI96" i="44"/>
  <c r="AI80" i="44"/>
  <c r="AI114" i="44"/>
  <c r="AI86" i="44"/>
  <c r="AI132" i="44"/>
  <c r="AI142" i="44"/>
  <c r="AI103" i="44"/>
  <c r="AI129" i="44"/>
  <c r="AI9" i="44"/>
  <c r="AI10" i="44"/>
  <c r="AI20" i="44"/>
  <c r="AI41" i="44"/>
  <c r="AI29" i="44"/>
  <c r="AI45" i="44"/>
  <c r="AI47" i="44"/>
  <c r="AI44" i="44"/>
  <c r="AI61" i="44"/>
  <c r="AI94" i="44"/>
  <c r="AI107" i="44"/>
  <c r="AI139" i="44"/>
  <c r="AI100" i="44"/>
  <c r="AI180" i="44"/>
  <c r="AI123" i="44"/>
  <c r="AI192" i="44"/>
  <c r="AI195" i="44"/>
  <c r="AI118" i="44"/>
  <c r="AI119" i="44"/>
  <c r="AI164" i="44"/>
  <c r="AI167" i="44"/>
  <c r="AI170" i="44"/>
  <c r="AI174" i="44"/>
  <c r="AI176" i="44"/>
  <c r="AI186" i="44"/>
  <c r="AI189" i="44"/>
  <c r="AI11" i="44"/>
  <c r="AI22" i="44"/>
  <c r="AI31" i="44"/>
  <c r="AI35" i="44"/>
  <c r="AI39" i="44"/>
  <c r="AI53" i="44"/>
  <c r="AI60" i="44"/>
  <c r="AI89" i="44"/>
  <c r="AI74" i="44"/>
  <c r="AI109" i="44"/>
  <c r="AI116" i="44"/>
  <c r="AI126" i="44"/>
  <c r="AI154" i="44"/>
  <c r="AI26" i="44"/>
  <c r="AI51" i="44"/>
  <c r="AI64" i="44"/>
  <c r="AI101" i="44"/>
  <c r="AI77" i="44"/>
  <c r="AI147" i="44"/>
  <c r="AI121" i="44"/>
  <c r="AI156" i="44"/>
  <c r="M121" i="73"/>
  <c r="M118" i="73"/>
  <c r="AO8" i="79"/>
  <c r="AP8" i="79" s="1"/>
  <c r="AM8" i="79"/>
  <c r="AN8" i="79" s="1"/>
  <c r="AK8" i="79"/>
  <c r="AI8" i="79"/>
  <c r="M170" i="69"/>
  <c r="M173" i="69"/>
  <c r="B300" i="69"/>
  <c r="B301" i="69"/>
  <c r="G169" i="82"/>
  <c r="M173" i="82" s="1"/>
  <c r="G124" i="82"/>
  <c r="M129" i="82" s="1"/>
  <c r="V178" i="82"/>
  <c r="O179" i="82"/>
  <c r="AK15" i="79"/>
  <c r="AO15" i="79"/>
  <c r="AP15" i="79" s="1"/>
  <c r="AI15" i="79"/>
  <c r="AM15" i="79"/>
  <c r="AN15" i="79" s="1"/>
  <c r="AM18" i="79"/>
  <c r="AN18" i="79" s="1"/>
  <c r="AI18" i="79"/>
  <c r="AK18" i="79"/>
  <c r="AO18" i="79"/>
  <c r="AP18" i="79" s="1"/>
  <c r="AK11" i="79"/>
  <c r="AO11" i="79"/>
  <c r="AP11" i="79" s="1"/>
  <c r="AI11" i="79"/>
  <c r="AM11" i="79"/>
  <c r="AN11" i="79" s="1"/>
  <c r="AI14" i="79"/>
  <c r="AM14" i="79"/>
  <c r="AN14" i="79" s="1"/>
  <c r="AK14" i="79"/>
  <c r="AO14" i="79"/>
  <c r="AP14" i="79" s="1"/>
  <c r="AK9" i="79"/>
  <c r="AO9" i="79"/>
  <c r="AP9" i="79" s="1"/>
  <c r="AI9" i="79"/>
  <c r="AM9" i="79"/>
  <c r="AN9" i="79" s="1"/>
  <c r="AI16" i="79"/>
  <c r="AM16" i="79"/>
  <c r="AN16" i="79" s="1"/>
  <c r="AK16" i="79"/>
  <c r="AO16" i="79"/>
  <c r="AP16" i="79" s="1"/>
  <c r="AI10" i="79"/>
  <c r="AM10" i="79"/>
  <c r="AN10" i="79" s="1"/>
  <c r="AK10" i="79"/>
  <c r="AO10" i="79"/>
  <c r="AP10" i="79" s="1"/>
  <c r="AM22" i="79"/>
  <c r="AN22" i="79" s="1"/>
  <c r="AI22" i="79"/>
  <c r="AK22" i="79"/>
  <c r="AO22" i="79"/>
  <c r="AP22" i="79" s="1"/>
  <c r="AI12" i="79"/>
  <c r="AM12" i="79"/>
  <c r="AN12" i="79" s="1"/>
  <c r="AK12" i="79"/>
  <c r="AO12" i="79"/>
  <c r="AP12" i="79" s="1"/>
  <c r="AI24" i="79"/>
  <c r="AM24" i="79"/>
  <c r="AN24" i="79" s="1"/>
  <c r="AK24" i="79"/>
  <c r="AO24" i="79"/>
  <c r="AP24" i="79" s="1"/>
  <c r="G128" i="73"/>
  <c r="M129" i="73" s="1"/>
  <c r="G133" i="73"/>
  <c r="M135" i="73" s="1"/>
  <c r="C125" i="73"/>
  <c r="G131" i="73" s="1"/>
  <c r="M132" i="73" s="1"/>
  <c r="C107" i="73"/>
  <c r="G105" i="73" s="1"/>
  <c r="M109" i="73" s="1"/>
  <c r="M121" i="69"/>
  <c r="M118" i="69"/>
  <c r="B302" i="69" s="1"/>
  <c r="C167" i="82"/>
  <c r="G166" i="82" s="1"/>
  <c r="C153" i="82"/>
  <c r="G151" i="82" s="1"/>
  <c r="C161" i="82"/>
  <c r="G162" i="82" s="1"/>
  <c r="C141" i="82"/>
  <c r="M132" i="82"/>
  <c r="C123" i="82"/>
  <c r="G131" i="82" s="1"/>
  <c r="M135" i="82" s="1"/>
  <c r="C103" i="82"/>
  <c r="O181" i="82"/>
  <c r="W40" i="51"/>
  <c r="W39" i="51"/>
  <c r="W37" i="51"/>
  <c r="W36" i="51"/>
  <c r="W34" i="51"/>
  <c r="W33" i="51"/>
  <c r="X34" i="51" s="1"/>
  <c r="W32" i="51"/>
  <c r="X31" i="51"/>
  <c r="W31" i="51"/>
  <c r="X32" i="51" s="1"/>
  <c r="W26" i="51"/>
  <c r="W9" i="51"/>
  <c r="X36" i="51"/>
  <c r="X39" i="51"/>
  <c r="X40" i="51"/>
  <c r="X37" i="51"/>
  <c r="M164" i="82" l="1"/>
  <c r="M167" i="82"/>
  <c r="G117" i="82"/>
  <c r="G105" i="82"/>
  <c r="M109" i="82" s="1"/>
  <c r="G155" i="82"/>
  <c r="M156" i="82" s="1"/>
  <c r="G143" i="82"/>
  <c r="AK9" i="69"/>
  <c r="AO9" i="69"/>
  <c r="AP9" i="69" s="1"/>
  <c r="AI9" i="69"/>
  <c r="AM9" i="69"/>
  <c r="AN9" i="69" s="1"/>
  <c r="B317" i="69"/>
  <c r="B309" i="69"/>
  <c r="B312" i="69"/>
  <c r="B311" i="69"/>
  <c r="B306" i="69"/>
  <c r="B301" i="73"/>
  <c r="B305" i="73"/>
  <c r="B308" i="73"/>
  <c r="B300" i="73"/>
  <c r="B311" i="73"/>
  <c r="B309" i="73"/>
  <c r="B306" i="73"/>
  <c r="B303" i="73"/>
  <c r="B304" i="73"/>
  <c r="B302" i="73"/>
  <c r="B310" i="73"/>
  <c r="B307" i="73"/>
  <c r="M185" i="82"/>
  <c r="AM8" i="69"/>
  <c r="AN8" i="69" s="1"/>
  <c r="AO8" i="69"/>
  <c r="AP8" i="69" s="1"/>
  <c r="AK8" i="69"/>
  <c r="AI8" i="69"/>
  <c r="B304" i="69"/>
  <c r="B303" i="69"/>
  <c r="B314" i="69"/>
  <c r="O180" i="82"/>
  <c r="M188" i="82" s="1"/>
  <c r="O182" i="82"/>
  <c r="O183" i="82"/>
  <c r="B313" i="69"/>
  <c r="B305" i="69"/>
  <c r="B316" i="69"/>
  <c r="B308" i="69"/>
  <c r="B315" i="69"/>
  <c r="B307" i="69"/>
  <c r="U11" i="44"/>
  <c r="U14" i="44"/>
  <c r="U70" i="44"/>
  <c r="U37" i="44"/>
  <c r="U36" i="44"/>
  <c r="U45" i="44"/>
  <c r="U18" i="44"/>
  <c r="U12" i="44"/>
  <c r="U32" i="44"/>
  <c r="U19" i="44"/>
  <c r="AM7" i="69"/>
  <c r="AN7" i="69" s="1"/>
  <c r="AO7" i="69"/>
  <c r="AP7" i="69" s="1"/>
  <c r="U13" i="44"/>
  <c r="U28" i="44"/>
  <c r="AK7" i="69"/>
  <c r="U20" i="44"/>
  <c r="U63" i="44"/>
  <c r="U9" i="44"/>
  <c r="U10" i="44"/>
  <c r="U21" i="44"/>
  <c r="U23" i="44"/>
  <c r="U31" i="44"/>
  <c r="U48" i="44"/>
  <c r="AI7" i="69"/>
  <c r="B310" i="69"/>
  <c r="X33" i="51"/>
  <c r="X9" i="51"/>
  <c r="X16" i="51"/>
  <c r="X12" i="51"/>
  <c r="X13" i="51"/>
  <c r="X14" i="51"/>
  <c r="X10" i="51"/>
  <c r="X15" i="51"/>
  <c r="X11" i="51"/>
  <c r="G62" i="49"/>
  <c r="C62" i="49"/>
  <c r="G52" i="49"/>
  <c r="C52" i="49"/>
  <c r="G42" i="49"/>
  <c r="C42" i="49"/>
  <c r="G32" i="49"/>
  <c r="C32" i="49"/>
  <c r="G22" i="49"/>
  <c r="C22" i="49"/>
  <c r="C13" i="49"/>
  <c r="G13" i="49"/>
  <c r="A4" i="49"/>
  <c r="A2" i="49"/>
  <c r="A1" i="49"/>
  <c r="A3" i="49"/>
  <c r="AL202" i="44"/>
  <c r="AD202" i="44"/>
  <c r="AC202" i="44"/>
  <c r="AJ202" i="44"/>
  <c r="AJ203" i="44" s="1"/>
  <c r="AB202" i="44"/>
  <c r="K19" i="36" s="1"/>
  <c r="AI202" i="44"/>
  <c r="AH202" i="44"/>
  <c r="AG202" i="44"/>
  <c r="AE202" i="44"/>
  <c r="T202" i="44"/>
  <c r="F93" i="44"/>
  <c r="B93" i="44"/>
  <c r="AK17" i="69" l="1"/>
  <c r="AO17" i="69"/>
  <c r="AP17" i="69" s="1"/>
  <c r="AM17" i="69"/>
  <c r="AN17" i="69" s="1"/>
  <c r="AI17" i="69"/>
  <c r="U87" i="44"/>
  <c r="U157" i="44"/>
  <c r="U38" i="44"/>
  <c r="U24" i="44"/>
  <c r="U41" i="44"/>
  <c r="U129" i="44"/>
  <c r="U113" i="44"/>
  <c r="U68" i="44"/>
  <c r="U150" i="44"/>
  <c r="U151" i="44"/>
  <c r="U46" i="44"/>
  <c r="U27" i="44"/>
  <c r="U79" i="44"/>
  <c r="U56" i="44"/>
  <c r="U96" i="44"/>
  <c r="U110" i="44"/>
  <c r="U126" i="44"/>
  <c r="U134" i="44"/>
  <c r="U135" i="44"/>
  <c r="U107" i="44"/>
  <c r="U116" i="44"/>
  <c r="U52" i="44"/>
  <c r="U124" i="44"/>
  <c r="U188" i="44"/>
  <c r="U184" i="44"/>
  <c r="U97" i="44"/>
  <c r="U95" i="44"/>
  <c r="U172" i="44"/>
  <c r="U122" i="44"/>
  <c r="U160" i="44"/>
  <c r="U199" i="44"/>
  <c r="U196" i="44"/>
  <c r="U136" i="44"/>
  <c r="U179" i="44"/>
  <c r="U168" i="44"/>
  <c r="U100" i="44"/>
  <c r="U139" i="44"/>
  <c r="U145" i="44"/>
  <c r="U84" i="44"/>
  <c r="U71" i="44"/>
  <c r="U142" i="44"/>
  <c r="U30" i="44"/>
  <c r="U55" i="44"/>
  <c r="U82" i="44"/>
  <c r="U156" i="44"/>
  <c r="U102" i="44"/>
  <c r="U144" i="44"/>
  <c r="U103" i="44"/>
  <c r="U75" i="44"/>
  <c r="U69" i="44"/>
  <c r="U65" i="44"/>
  <c r="U50" i="44"/>
  <c r="U60" i="44"/>
  <c r="U15" i="44"/>
  <c r="U125" i="44"/>
  <c r="U76" i="44"/>
  <c r="U143" i="44"/>
  <c r="U153" i="44"/>
  <c r="U146" i="44"/>
  <c r="U25" i="44"/>
  <c r="U42" i="44"/>
  <c r="U51" i="44"/>
  <c r="U16" i="44"/>
  <c r="U26" i="44"/>
  <c r="U89" i="44"/>
  <c r="U127" i="44"/>
  <c r="U111" i="44"/>
  <c r="U128" i="44"/>
  <c r="U80" i="44"/>
  <c r="U94" i="44"/>
  <c r="U130" i="44"/>
  <c r="U194" i="44"/>
  <c r="U189" i="44"/>
  <c r="U91" i="44"/>
  <c r="U182" i="44"/>
  <c r="U176" i="44"/>
  <c r="U173" i="44"/>
  <c r="U169" i="44"/>
  <c r="U164" i="44"/>
  <c r="U200" i="44"/>
  <c r="U198" i="44"/>
  <c r="U192" i="44"/>
  <c r="U88" i="44"/>
  <c r="U174" i="44"/>
  <c r="U163" i="44"/>
  <c r="U131" i="44"/>
  <c r="AM14" i="69"/>
  <c r="AN14" i="69" s="1"/>
  <c r="AO14" i="69"/>
  <c r="AP14" i="69" s="1"/>
  <c r="AI14" i="69"/>
  <c r="AK14" i="69"/>
  <c r="AK15" i="69"/>
  <c r="AO15" i="69"/>
  <c r="AP15" i="69" s="1"/>
  <c r="AI15" i="69"/>
  <c r="AM15" i="69"/>
  <c r="AN15" i="69" s="1"/>
  <c r="AM12" i="69"/>
  <c r="AN12" i="69" s="1"/>
  <c r="AO12" i="69"/>
  <c r="AP12" i="69" s="1"/>
  <c r="AI12" i="69"/>
  <c r="AK12" i="69"/>
  <c r="AM10" i="69"/>
  <c r="AN10" i="69" s="1"/>
  <c r="AO10" i="69"/>
  <c r="AP10" i="69" s="1"/>
  <c r="AI10" i="69"/>
  <c r="AK10" i="69"/>
  <c r="M191" i="82"/>
  <c r="AI17" i="73"/>
  <c r="AM17" i="73"/>
  <c r="AQ17" i="73"/>
  <c r="AR17" i="73" s="1"/>
  <c r="AO17" i="73"/>
  <c r="AP17" i="73" s="1"/>
  <c r="AK17" i="73"/>
  <c r="AI11" i="73"/>
  <c r="AM11" i="73"/>
  <c r="AQ11" i="73"/>
  <c r="AR11" i="73" s="1"/>
  <c r="AO11" i="73"/>
  <c r="AP11" i="73" s="1"/>
  <c r="AK11" i="73"/>
  <c r="AK13" i="73"/>
  <c r="AO13" i="73"/>
  <c r="AP13" i="73" s="1"/>
  <c r="AI13" i="73"/>
  <c r="AM13" i="73"/>
  <c r="AQ13" i="73"/>
  <c r="AR13" i="73" s="1"/>
  <c r="AK18" i="73"/>
  <c r="AI18" i="73"/>
  <c r="AQ18" i="73"/>
  <c r="AR18" i="73" s="1"/>
  <c r="AO18" i="73"/>
  <c r="AP18" i="73" s="1"/>
  <c r="AM18" i="73"/>
  <c r="AK15" i="73"/>
  <c r="AO15" i="73"/>
  <c r="AP15" i="73" s="1"/>
  <c r="AM15" i="73"/>
  <c r="AI15" i="73"/>
  <c r="AQ15" i="73"/>
  <c r="AR15" i="73" s="1"/>
  <c r="AM8" i="73"/>
  <c r="AK8" i="73"/>
  <c r="AQ8" i="73"/>
  <c r="AR8" i="73" s="1"/>
  <c r="AI8" i="73"/>
  <c r="AO8" i="73"/>
  <c r="AP8" i="73" s="1"/>
  <c r="AM18" i="69"/>
  <c r="AN18" i="69" s="1"/>
  <c r="AO18" i="69"/>
  <c r="AP18" i="69" s="1"/>
  <c r="AK18" i="69"/>
  <c r="AI18" i="69"/>
  <c r="AM16" i="69"/>
  <c r="AN16" i="69" s="1"/>
  <c r="AO16" i="69"/>
  <c r="AP16" i="69" s="1"/>
  <c r="AI16" i="69"/>
  <c r="AK16" i="69"/>
  <c r="M147" i="82"/>
  <c r="M152" i="82"/>
  <c r="B301" i="82"/>
  <c r="B300" i="82"/>
  <c r="U148" i="44"/>
  <c r="U77" i="44"/>
  <c r="U121" i="44"/>
  <c r="U112" i="44"/>
  <c r="U147" i="44"/>
  <c r="U92" i="44"/>
  <c r="U155" i="44"/>
  <c r="U59" i="44"/>
  <c r="U66" i="44"/>
  <c r="U140" i="44"/>
  <c r="U33" i="44"/>
  <c r="U114" i="44"/>
  <c r="U64" i="44"/>
  <c r="U40" i="44"/>
  <c r="U115" i="44"/>
  <c r="U108" i="44"/>
  <c r="U67" i="44"/>
  <c r="U109" i="44"/>
  <c r="U73" i="44"/>
  <c r="U57" i="44"/>
  <c r="U106" i="44"/>
  <c r="U197" i="44"/>
  <c r="U190" i="44"/>
  <c r="U186" i="44"/>
  <c r="U123" i="44"/>
  <c r="U178" i="44"/>
  <c r="U175" i="44"/>
  <c r="U170" i="44"/>
  <c r="U166" i="44"/>
  <c r="U119" i="44"/>
  <c r="U118" i="44"/>
  <c r="U193" i="44"/>
  <c r="U181" i="44"/>
  <c r="U105" i="44"/>
  <c r="U165" i="44"/>
  <c r="U161" i="44"/>
  <c r="U132" i="44"/>
  <c r="U90" i="44"/>
  <c r="U154" i="44"/>
  <c r="U141" i="44"/>
  <c r="U81" i="44"/>
  <c r="U43" i="44"/>
  <c r="U159" i="44"/>
  <c r="U120" i="44"/>
  <c r="U62" i="44"/>
  <c r="U152" i="44"/>
  <c r="U49" i="44"/>
  <c r="U85" i="44"/>
  <c r="U54" i="44"/>
  <c r="U53" i="44"/>
  <c r="U78" i="44"/>
  <c r="U83" i="44"/>
  <c r="U39" i="44"/>
  <c r="U93" i="44"/>
  <c r="U158" i="44"/>
  <c r="U58" i="44"/>
  <c r="U149" i="44"/>
  <c r="U98" i="44"/>
  <c r="U29" i="44"/>
  <c r="U44" i="44"/>
  <c r="U72" i="44"/>
  <c r="U35" i="44"/>
  <c r="U22" i="44"/>
  <c r="U17" i="44"/>
  <c r="U34" i="44"/>
  <c r="U86" i="44"/>
  <c r="U47" i="44"/>
  <c r="U101" i="44"/>
  <c r="U74" i="44"/>
  <c r="U61" i="44"/>
  <c r="U99" i="44"/>
  <c r="U137" i="44"/>
  <c r="U191" i="44"/>
  <c r="U187" i="44"/>
  <c r="U183" i="44"/>
  <c r="U180" i="44"/>
  <c r="U104" i="44"/>
  <c r="U171" i="44"/>
  <c r="U167" i="44"/>
  <c r="U201" i="44"/>
  <c r="U133" i="44"/>
  <c r="U195" i="44"/>
  <c r="U185" i="44"/>
  <c r="U177" i="44"/>
  <c r="U117" i="44"/>
  <c r="U162" i="44"/>
  <c r="U138" i="44"/>
  <c r="AM22" i="69"/>
  <c r="AN22" i="69" s="1"/>
  <c r="AO22" i="69"/>
  <c r="AP22" i="69" s="1"/>
  <c r="AI22" i="69"/>
  <c r="AK22" i="69"/>
  <c r="AK23" i="69"/>
  <c r="AO23" i="69"/>
  <c r="AP23" i="69" s="1"/>
  <c r="AI23" i="69"/>
  <c r="AM23" i="69"/>
  <c r="AN23" i="69" s="1"/>
  <c r="AM20" i="69"/>
  <c r="AN20" i="69" s="1"/>
  <c r="AO20" i="69"/>
  <c r="AP20" i="69" s="1"/>
  <c r="AI20" i="69"/>
  <c r="AK20" i="69"/>
  <c r="AK21" i="69"/>
  <c r="AO21" i="69"/>
  <c r="AP21" i="69" s="1"/>
  <c r="AI21" i="69"/>
  <c r="AM21" i="69"/>
  <c r="AN21" i="69" s="1"/>
  <c r="AK11" i="69"/>
  <c r="AO11" i="69"/>
  <c r="AP11" i="69" s="1"/>
  <c r="AI11" i="69"/>
  <c r="AM11" i="69"/>
  <c r="AN11" i="69" s="1"/>
  <c r="AK14" i="73"/>
  <c r="AI14" i="73"/>
  <c r="AQ14" i="73"/>
  <c r="AR14" i="73" s="1"/>
  <c r="AO14" i="73"/>
  <c r="AP14" i="73" s="1"/>
  <c r="AM14" i="73"/>
  <c r="AI9" i="73"/>
  <c r="AM9" i="73"/>
  <c r="AQ9" i="73"/>
  <c r="AR9" i="73" s="1"/>
  <c r="AK9" i="73"/>
  <c r="AO9" i="73"/>
  <c r="AP9" i="73" s="1"/>
  <c r="AO10" i="73"/>
  <c r="AP10" i="73" s="1"/>
  <c r="AM10" i="73"/>
  <c r="AK10" i="73"/>
  <c r="AQ10" i="73"/>
  <c r="AR10" i="73" s="1"/>
  <c r="AI10" i="73"/>
  <c r="AM16" i="73"/>
  <c r="AK16" i="73"/>
  <c r="AI16" i="73"/>
  <c r="AO16" i="73"/>
  <c r="AP16" i="73" s="1"/>
  <c r="AQ16" i="73"/>
  <c r="AR16" i="73" s="1"/>
  <c r="V94" i="44"/>
  <c r="V73" i="44"/>
  <c r="V128" i="44"/>
  <c r="V47" i="44"/>
  <c r="V61" i="44"/>
  <c r="V107" i="44"/>
  <c r="V108" i="44"/>
  <c r="V86" i="44"/>
  <c r="V101" i="44"/>
  <c r="V134" i="44"/>
  <c r="V115" i="44"/>
  <c r="V34" i="44"/>
  <c r="V11" i="44"/>
  <c r="V20" i="44"/>
  <c r="V14" i="44"/>
  <c r="V63" i="44"/>
  <c r="V70" i="44"/>
  <c r="V9" i="44"/>
  <c r="V37" i="44"/>
  <c r="V10" i="44"/>
  <c r="V36" i="44"/>
  <c r="V40" i="44"/>
  <c r="V45" i="44"/>
  <c r="V21" i="44"/>
  <c r="V26" i="44"/>
  <c r="V64" i="44"/>
  <c r="V17" i="44"/>
  <c r="V56" i="44"/>
  <c r="V16" i="44"/>
  <c r="V114" i="44"/>
  <c r="V22" i="44"/>
  <c r="V79" i="44"/>
  <c r="V51" i="44"/>
  <c r="V33" i="44"/>
  <c r="V35" i="44"/>
  <c r="V27" i="44"/>
  <c r="V42" i="44"/>
  <c r="V140" i="44"/>
  <c r="V72" i="44"/>
  <c r="V46" i="44"/>
  <c r="V25" i="44"/>
  <c r="V66" i="44"/>
  <c r="V44" i="44"/>
  <c r="V151" i="44"/>
  <c r="V146" i="44"/>
  <c r="V59" i="44"/>
  <c r="V29" i="44"/>
  <c r="V150" i="44"/>
  <c r="V153" i="44"/>
  <c r="V155" i="44"/>
  <c r="V98" i="44"/>
  <c r="V68" i="44"/>
  <c r="V143" i="44"/>
  <c r="V92" i="44"/>
  <c r="V149" i="44"/>
  <c r="V113" i="44"/>
  <c r="V76" i="44"/>
  <c r="V147" i="44"/>
  <c r="V58" i="44"/>
  <c r="V129" i="44"/>
  <c r="V125" i="44"/>
  <c r="V112" i="44"/>
  <c r="V158" i="44"/>
  <c r="AM7" i="73"/>
  <c r="AK7" i="73"/>
  <c r="V71" i="44"/>
  <c r="V152" i="44"/>
  <c r="V90" i="44"/>
  <c r="V144" i="44"/>
  <c r="V148" i="44"/>
  <c r="V159" i="44"/>
  <c r="AQ7" i="73"/>
  <c r="AR7" i="73" s="1"/>
  <c r="AI7" i="73"/>
  <c r="V127" i="44"/>
  <c r="V74" i="44"/>
  <c r="V89" i="44"/>
  <c r="V96" i="44"/>
  <c r="V126" i="44"/>
  <c r="V80" i="44"/>
  <c r="V135" i="44"/>
  <c r="V109" i="44"/>
  <c r="V110" i="44"/>
  <c r="V111" i="44"/>
  <c r="V67" i="44"/>
  <c r="V23" i="44"/>
  <c r="V18" i="44"/>
  <c r="V13" i="44"/>
  <c r="V12" i="44"/>
  <c r="V31" i="44"/>
  <c r="V32" i="44"/>
  <c r="V41" i="44"/>
  <c r="V93" i="44"/>
  <c r="V28" i="44"/>
  <c r="V19" i="44"/>
  <c r="V82" i="44"/>
  <c r="V39" i="44"/>
  <c r="V48" i="44"/>
  <c r="V15" i="44"/>
  <c r="V43" i="44"/>
  <c r="V83" i="44"/>
  <c r="V55" i="44"/>
  <c r="V60" i="44"/>
  <c r="V24" i="44"/>
  <c r="V78" i="44"/>
  <c r="V121" i="44"/>
  <c r="V50" i="44"/>
  <c r="V81" i="44"/>
  <c r="V53" i="44"/>
  <c r="V30" i="44"/>
  <c r="V65" i="44"/>
  <c r="V38" i="44"/>
  <c r="V54" i="44"/>
  <c r="V141" i="44"/>
  <c r="V69" i="44"/>
  <c r="V77" i="44"/>
  <c r="V85" i="44"/>
  <c r="V142" i="44"/>
  <c r="V75" i="44"/>
  <c r="V154" i="44"/>
  <c r="V62" i="44"/>
  <c r="V49" i="44"/>
  <c r="V84" i="44"/>
  <c r="V157" i="44"/>
  <c r="V102" i="44"/>
  <c r="V103" i="44"/>
  <c r="V132" i="44"/>
  <c r="V120" i="44"/>
  <c r="V87" i="44"/>
  <c r="V156" i="44"/>
  <c r="V145" i="44"/>
  <c r="AO7" i="73"/>
  <c r="AP7" i="73" s="1"/>
  <c r="V138" i="44"/>
  <c r="V118" i="44"/>
  <c r="V124" i="44"/>
  <c r="V186" i="44"/>
  <c r="V97" i="44"/>
  <c r="V95" i="44"/>
  <c r="V171" i="44"/>
  <c r="V166" i="44"/>
  <c r="V160" i="44"/>
  <c r="V198" i="44"/>
  <c r="V188" i="44"/>
  <c r="V185" i="44"/>
  <c r="V88" i="44"/>
  <c r="V172" i="44"/>
  <c r="V164" i="44"/>
  <c r="V139" i="44"/>
  <c r="V195" i="44"/>
  <c r="V192" i="44"/>
  <c r="V183" i="44"/>
  <c r="V179" i="44"/>
  <c r="V175" i="44"/>
  <c r="V169" i="44"/>
  <c r="V117" i="44"/>
  <c r="V201" i="44"/>
  <c r="V197" i="44"/>
  <c r="V136" i="44"/>
  <c r="V184" i="44"/>
  <c r="V105" i="44"/>
  <c r="V170" i="44"/>
  <c r="V163" i="44"/>
  <c r="V137" i="44"/>
  <c r="V106" i="44"/>
  <c r="V116" i="44"/>
  <c r="V52" i="44"/>
  <c r="V99" i="44"/>
  <c r="V130" i="44"/>
  <c r="V119" i="44"/>
  <c r="V194" i="44"/>
  <c r="V191" i="44"/>
  <c r="V182" i="44"/>
  <c r="V178" i="44"/>
  <c r="V174" i="44"/>
  <c r="V168" i="44"/>
  <c r="V100" i="44"/>
  <c r="V200" i="44"/>
  <c r="V196" i="44"/>
  <c r="V187" i="44"/>
  <c r="V123" i="44"/>
  <c r="V176" i="44"/>
  <c r="V167" i="44"/>
  <c r="V162" i="44"/>
  <c r="V199" i="44"/>
  <c r="V193" i="44"/>
  <c r="V189" i="44"/>
  <c r="V181" i="44"/>
  <c r="V177" i="44"/>
  <c r="V173" i="44"/>
  <c r="V122" i="44"/>
  <c r="V161" i="44"/>
  <c r="V133" i="44"/>
  <c r="V190" i="44"/>
  <c r="V91" i="44"/>
  <c r="V180" i="44"/>
  <c r="V104" i="44"/>
  <c r="V165" i="44"/>
  <c r="V131" i="44"/>
  <c r="V57" i="44"/>
  <c r="AI12" i="73"/>
  <c r="AQ12" i="73"/>
  <c r="AR12" i="73" s="1"/>
  <c r="AO12" i="73"/>
  <c r="AP12" i="73" s="1"/>
  <c r="AM12" i="73"/>
  <c r="AK12" i="73"/>
  <c r="AK13" i="69"/>
  <c r="AO13" i="69"/>
  <c r="AP13" i="69" s="1"/>
  <c r="AI13" i="69"/>
  <c r="AM13" i="69"/>
  <c r="AN13" i="69" s="1"/>
  <c r="AK19" i="69"/>
  <c r="AO19" i="69"/>
  <c r="AP19" i="69" s="1"/>
  <c r="AI19" i="69"/>
  <c r="AM19" i="69"/>
  <c r="AN19" i="69" s="1"/>
  <c r="AM24" i="69"/>
  <c r="AN24" i="69" s="1"/>
  <c r="AO24" i="69"/>
  <c r="AP24" i="69" s="1"/>
  <c r="AI24" i="69"/>
  <c r="AK24" i="69"/>
  <c r="M121" i="82"/>
  <c r="M118" i="82"/>
  <c r="B305" i="82" s="1"/>
  <c r="AI203" i="44"/>
  <c r="K24" i="36"/>
  <c r="AD203" i="44"/>
  <c r="K21" i="36"/>
  <c r="AL203" i="44"/>
  <c r="K29" i="36"/>
  <c r="AC203" i="44"/>
  <c r="K20" i="36"/>
  <c r="B306" i="51"/>
  <c r="AI15" i="51" s="1"/>
  <c r="B307" i="51"/>
  <c r="AI16" i="51" s="1"/>
  <c r="B28" i="51"/>
  <c r="Y28" i="51" s="1"/>
  <c r="B27" i="51"/>
  <c r="Y27" i="51" s="1"/>
  <c r="B26" i="51"/>
  <c r="Y26" i="51" s="1"/>
  <c r="B29" i="51"/>
  <c r="Y29" i="51" s="1"/>
  <c r="X29" i="51" s="1"/>
  <c r="B33" i="51"/>
  <c r="B40" i="51" s="1"/>
  <c r="B31" i="51"/>
  <c r="B39" i="51" s="1"/>
  <c r="U202" i="44"/>
  <c r="K12" i="36" s="1"/>
  <c r="K23" i="36"/>
  <c r="G23" i="49"/>
  <c r="G33" i="49" s="1"/>
  <c r="G43" i="49" s="1"/>
  <c r="G53" i="49" s="1"/>
  <c r="G63" i="49" s="1"/>
  <c r="K25" i="36"/>
  <c r="C23" i="49"/>
  <c r="C33" i="49" s="1"/>
  <c r="C43" i="49" s="1"/>
  <c r="C53" i="49" s="1"/>
  <c r="C63" i="49" s="1"/>
  <c r="V202" i="44" l="1"/>
  <c r="B311" i="82"/>
  <c r="B315" i="82"/>
  <c r="B313" i="82"/>
  <c r="B312" i="82"/>
  <c r="B308" i="82"/>
  <c r="B306" i="82"/>
  <c r="B304" i="82"/>
  <c r="B302" i="82"/>
  <c r="AK84" i="44" s="1"/>
  <c r="B316" i="82"/>
  <c r="B309" i="82"/>
  <c r="B318" i="82"/>
  <c r="B310" i="82"/>
  <c r="B314" i="82"/>
  <c r="B307" i="82"/>
  <c r="AK18" i="44"/>
  <c r="AK57" i="44"/>
  <c r="AK23" i="44"/>
  <c r="AK36" i="44"/>
  <c r="AK35" i="44"/>
  <c r="AK20" i="44"/>
  <c r="AK39" i="44"/>
  <c r="AK58" i="44"/>
  <c r="AK10" i="44"/>
  <c r="AK11" i="44"/>
  <c r="AK31" i="44"/>
  <c r="B303" i="82"/>
  <c r="AK33" i="44" s="1"/>
  <c r="B317" i="82"/>
  <c r="AK140" i="44" s="1"/>
  <c r="X27" i="51"/>
  <c r="X26" i="51"/>
  <c r="X28" i="51"/>
  <c r="U203" i="44"/>
  <c r="AK111" i="44" l="1"/>
  <c r="AK77" i="44"/>
  <c r="AK157" i="44"/>
  <c r="AK96" i="44"/>
  <c r="AK183" i="44"/>
  <c r="AR183" i="44" s="1"/>
  <c r="AK82" i="44"/>
  <c r="AK17" i="44"/>
  <c r="AK101" i="44"/>
  <c r="AK128" i="44"/>
  <c r="AK158" i="44"/>
  <c r="AR158" i="44" s="1"/>
  <c r="AK136" i="44"/>
  <c r="AK198" i="44"/>
  <c r="AK16" i="44"/>
  <c r="AK59" i="44"/>
  <c r="AK108" i="44"/>
  <c r="AK133" i="44"/>
  <c r="AK164" i="44"/>
  <c r="AK40" i="44"/>
  <c r="AK89" i="44"/>
  <c r="AK79" i="44"/>
  <c r="AK149" i="44"/>
  <c r="AK179" i="44"/>
  <c r="AK21" i="44"/>
  <c r="AK48" i="44"/>
  <c r="AK117" i="44"/>
  <c r="AK159" i="44"/>
  <c r="AK32" i="44"/>
  <c r="AK64" i="44"/>
  <c r="AK124" i="44"/>
  <c r="AK144" i="44"/>
  <c r="AK185" i="44"/>
  <c r="AK194" i="44"/>
  <c r="AK54" i="44"/>
  <c r="AK123" i="44"/>
  <c r="AK176" i="44"/>
  <c r="AR176" i="44" s="1"/>
  <c r="AK76" i="44"/>
  <c r="AK122" i="44"/>
  <c r="AK167" i="44"/>
  <c r="AR167" i="44" s="1"/>
  <c r="AK56" i="44"/>
  <c r="AK120" i="44"/>
  <c r="AK178" i="44"/>
  <c r="AR178" i="44" s="1"/>
  <c r="AK80" i="44"/>
  <c r="AK34" i="44"/>
  <c r="AK87" i="44"/>
  <c r="AK119" i="44"/>
  <c r="AK129" i="44"/>
  <c r="AK182" i="44"/>
  <c r="AK63" i="44"/>
  <c r="AK103" i="44"/>
  <c r="AK130" i="44"/>
  <c r="AK160" i="44"/>
  <c r="AK189" i="44"/>
  <c r="AR189" i="44" s="1"/>
  <c r="AK41" i="44"/>
  <c r="AK74" i="44"/>
  <c r="AK125" i="44"/>
  <c r="AK170" i="44"/>
  <c r="AR170" i="44" s="1"/>
  <c r="AK24" i="44"/>
  <c r="AK69" i="44"/>
  <c r="AK109" i="44"/>
  <c r="AK135" i="44"/>
  <c r="AK165" i="44"/>
  <c r="AK195" i="44"/>
  <c r="AK199" i="44"/>
  <c r="AR199" i="44" s="1"/>
  <c r="AK27" i="44"/>
  <c r="AK61" i="44"/>
  <c r="AK115" i="44"/>
  <c r="AK154" i="44"/>
  <c r="AK172" i="44"/>
  <c r="AR172" i="44" s="1"/>
  <c r="AK65" i="44"/>
  <c r="AK72" i="44"/>
  <c r="AK126" i="44"/>
  <c r="AK112" i="44"/>
  <c r="AK186" i="44"/>
  <c r="AR186" i="44" s="1"/>
  <c r="AK43" i="44"/>
  <c r="AK75" i="44"/>
  <c r="AK98" i="44"/>
  <c r="AK166" i="44"/>
  <c r="AK49" i="44"/>
  <c r="AK73" i="44"/>
  <c r="AK132" i="44"/>
  <c r="AK162" i="44"/>
  <c r="AR162" i="44" s="1"/>
  <c r="AK191" i="44"/>
  <c r="AR191" i="44" s="1"/>
  <c r="AK181" i="44"/>
  <c r="AK91" i="44"/>
  <c r="AK71" i="44"/>
  <c r="AK44" i="44"/>
  <c r="AK88" i="44"/>
  <c r="AK26" i="44"/>
  <c r="AK9" i="44"/>
  <c r="AK97" i="44"/>
  <c r="AK81" i="44"/>
  <c r="AK30" i="44"/>
  <c r="AK92" i="44"/>
  <c r="AK51" i="44"/>
  <c r="AK116" i="44"/>
  <c r="AK150" i="44"/>
  <c r="AK173" i="44"/>
  <c r="AR173" i="44" s="1"/>
  <c r="AK184" i="44"/>
  <c r="AR184" i="44" s="1"/>
  <c r="AK192" i="44"/>
  <c r="AR192" i="44" s="1"/>
  <c r="AK37" i="44"/>
  <c r="AK66" i="44"/>
  <c r="AK121" i="44"/>
  <c r="AK152" i="44"/>
  <c r="AK131" i="44"/>
  <c r="AK68" i="44"/>
  <c r="AK107" i="44"/>
  <c r="AK134" i="44"/>
  <c r="AK163" i="44"/>
  <c r="AK193" i="44"/>
  <c r="AK46" i="44"/>
  <c r="AK94" i="44"/>
  <c r="AR94" i="44" s="1"/>
  <c r="AK137" i="44"/>
  <c r="AK174" i="44"/>
  <c r="AK55" i="44"/>
  <c r="AK104" i="44"/>
  <c r="AK151" i="44"/>
  <c r="AK169" i="44"/>
  <c r="AK201" i="44"/>
  <c r="AR201" i="44" s="1"/>
  <c r="AK188" i="44"/>
  <c r="AK95" i="44"/>
  <c r="AK161" i="44"/>
  <c r="AR161" i="44" s="1"/>
  <c r="AK47" i="44"/>
  <c r="AK110" i="44"/>
  <c r="AK156" i="44"/>
  <c r="AK197" i="44"/>
  <c r="AK105" i="44"/>
  <c r="AK145" i="44"/>
  <c r="AK42" i="44"/>
  <c r="AK15" i="44"/>
  <c r="AK52" i="44"/>
  <c r="AK106" i="44"/>
  <c r="AK141" i="44"/>
  <c r="AK168" i="44"/>
  <c r="AK22" i="44"/>
  <c r="AK70" i="44"/>
  <c r="AK118" i="44"/>
  <c r="AK155" i="44"/>
  <c r="AK175" i="44"/>
  <c r="AK13" i="44"/>
  <c r="AK85" i="44"/>
  <c r="AK113" i="44"/>
  <c r="AK142" i="44"/>
  <c r="AK138" i="44"/>
  <c r="AK38" i="44"/>
  <c r="AK93" i="44"/>
  <c r="AK86" i="44"/>
  <c r="AK147" i="44"/>
  <c r="AK180" i="44"/>
  <c r="AK190" i="44"/>
  <c r="AR190" i="44" s="1"/>
  <c r="AK200" i="44"/>
  <c r="AR200" i="44" s="1"/>
  <c r="AK50" i="44"/>
  <c r="AK99" i="44"/>
  <c r="AK127" i="44"/>
  <c r="AK148" i="44"/>
  <c r="AK14" i="44"/>
  <c r="AK67" i="44"/>
  <c r="AK114" i="44"/>
  <c r="AK146" i="44"/>
  <c r="AK171" i="44"/>
  <c r="AR171" i="44" s="1"/>
  <c r="AK12" i="44"/>
  <c r="AK45" i="44"/>
  <c r="AK102" i="44"/>
  <c r="AK153" i="44"/>
  <c r="AK19" i="44"/>
  <c r="AK53" i="44"/>
  <c r="AK83" i="44"/>
  <c r="AK143" i="44"/>
  <c r="AK177" i="44"/>
  <c r="AR177" i="44" s="1"/>
  <c r="AK187" i="44"/>
  <c r="AR187" i="44" s="1"/>
  <c r="AK196" i="44"/>
  <c r="AR196" i="44" s="1"/>
  <c r="AK78" i="44"/>
  <c r="AK100" i="44"/>
  <c r="AK62" i="44"/>
  <c r="AK28" i="44"/>
  <c r="AK29" i="44"/>
  <c r="AK90" i="44"/>
  <c r="AK60" i="44"/>
  <c r="AK25" i="44"/>
  <c r="AK139" i="44"/>
  <c r="K13" i="36"/>
  <c r="V203" i="44"/>
  <c r="B304" i="51"/>
  <c r="AI13" i="51" s="1"/>
  <c r="B301" i="51"/>
  <c r="AI10" i="51" s="1"/>
  <c r="B305" i="51"/>
  <c r="AI14" i="51" s="1"/>
  <c r="B300" i="51"/>
  <c r="B32" i="51"/>
  <c r="B37" i="51" s="1"/>
  <c r="B303" i="51" s="1"/>
  <c r="AI12" i="51" s="1"/>
  <c r="B34" i="51"/>
  <c r="B36" i="51" s="1"/>
  <c r="B302" i="51" s="1"/>
  <c r="AI11" i="51" s="1"/>
  <c r="W28" i="44" l="1"/>
  <c r="AR28" i="44" s="1"/>
  <c r="W32" i="44"/>
  <c r="W38" i="44"/>
  <c r="W46" i="44"/>
  <c r="W50" i="44"/>
  <c r="W68" i="44"/>
  <c r="AR68" i="44" s="1"/>
  <c r="W70" i="44"/>
  <c r="AR70" i="44" s="1"/>
  <c r="W80" i="44"/>
  <c r="W82" i="44"/>
  <c r="AR82" i="44" s="1"/>
  <c r="W102" i="44"/>
  <c r="AR102" i="44" s="1"/>
  <c r="W124" i="44"/>
  <c r="AR124" i="44" s="1"/>
  <c r="W130" i="44"/>
  <c r="O130" i="44" s="1"/>
  <c r="W136" i="44"/>
  <c r="AR136" i="44" s="1"/>
  <c r="W144" i="44"/>
  <c r="AR144" i="44" s="1"/>
  <c r="W148" i="44"/>
  <c r="AR148" i="44" s="1"/>
  <c r="W154" i="44"/>
  <c r="W160" i="44"/>
  <c r="W164" i="44"/>
  <c r="AR164" i="44" s="1"/>
  <c r="W166" i="44"/>
  <c r="W168" i="44"/>
  <c r="W174" i="44"/>
  <c r="W180" i="44"/>
  <c r="W182" i="44"/>
  <c r="AR182" i="44" s="1"/>
  <c r="W188" i="44"/>
  <c r="AR188" i="44" s="1"/>
  <c r="W194" i="44"/>
  <c r="AR194" i="44" s="1"/>
  <c r="W37" i="44"/>
  <c r="AR37" i="44" s="1"/>
  <c r="W41" i="44"/>
  <c r="AR41" i="44" s="1"/>
  <c r="W45" i="44"/>
  <c r="W51" i="44"/>
  <c r="AR51" i="44" s="1"/>
  <c r="W59" i="44"/>
  <c r="AR59" i="44" s="1"/>
  <c r="W63" i="44"/>
  <c r="W81" i="44"/>
  <c r="W83" i="44"/>
  <c r="W87" i="44"/>
  <c r="W93" i="44"/>
  <c r="W105" i="44"/>
  <c r="W107" i="44"/>
  <c r="W121" i="44"/>
  <c r="O121" i="44" s="1"/>
  <c r="W139" i="44"/>
  <c r="O139" i="44" s="1"/>
  <c r="W143" i="44"/>
  <c r="W149" i="44"/>
  <c r="W153" i="44"/>
  <c r="W155" i="44"/>
  <c r="AR155" i="44" s="1"/>
  <c r="W159" i="44"/>
  <c r="W163" i="44"/>
  <c r="W165" i="44"/>
  <c r="AR165" i="44" s="1"/>
  <c r="W169" i="44"/>
  <c r="AR169" i="44" s="1"/>
  <c r="W175" i="44"/>
  <c r="AR175" i="44" s="1"/>
  <c r="W179" i="44"/>
  <c r="AR179" i="44" s="1"/>
  <c r="W195" i="44"/>
  <c r="AR195" i="44" s="1"/>
  <c r="W198" i="44"/>
  <c r="W181" i="44"/>
  <c r="AR181" i="44" s="1"/>
  <c r="W185" i="44"/>
  <c r="W193" i="44"/>
  <c r="W197" i="44"/>
  <c r="W16" i="44"/>
  <c r="W22" i="44"/>
  <c r="W11" i="44"/>
  <c r="AR11" i="44" s="1"/>
  <c r="W13" i="44"/>
  <c r="AR13" i="44" s="1"/>
  <c r="W19" i="44"/>
  <c r="W21" i="44"/>
  <c r="AK202" i="44"/>
  <c r="AR139" i="44"/>
  <c r="Y139" i="44"/>
  <c r="Y138" i="44"/>
  <c r="Y131" i="44"/>
  <c r="AR160" i="44"/>
  <c r="Y160" i="44"/>
  <c r="Y161" i="44"/>
  <c r="Y162" i="44"/>
  <c r="Y100" i="44"/>
  <c r="Y163" i="44"/>
  <c r="Y164" i="44"/>
  <c r="Y165" i="44"/>
  <c r="Y117" i="44"/>
  <c r="AR166" i="44"/>
  <c r="Y166" i="44"/>
  <c r="Y167" i="44"/>
  <c r="Y122" i="44"/>
  <c r="AR168" i="44"/>
  <c r="Y168" i="44"/>
  <c r="Y169" i="44"/>
  <c r="Y170" i="44"/>
  <c r="Y171" i="44"/>
  <c r="Y172" i="44"/>
  <c r="Y173" i="44"/>
  <c r="AR174" i="44"/>
  <c r="Y174" i="44"/>
  <c r="Y175" i="44"/>
  <c r="Y104" i="44"/>
  <c r="Y95" i="44"/>
  <c r="Y176" i="44"/>
  <c r="AR105" i="44"/>
  <c r="Y105" i="44"/>
  <c r="Y177" i="44"/>
  <c r="Y178" i="44"/>
  <c r="Y179" i="44"/>
  <c r="Y88" i="44"/>
  <c r="AR180" i="44"/>
  <c r="Y180" i="44"/>
  <c r="Y97" i="44"/>
  <c r="Y181" i="44"/>
  <c r="Y182" i="44"/>
  <c r="Y123" i="44"/>
  <c r="Y183" i="44"/>
  <c r="Y184" i="44"/>
  <c r="AR185" i="44"/>
  <c r="Y185" i="44"/>
  <c r="Y91" i="44"/>
  <c r="Y186" i="44"/>
  <c r="Y187" i="44"/>
  <c r="Y136" i="44"/>
  <c r="Y188" i="44"/>
  <c r="Y189" i="44"/>
  <c r="Y190" i="44"/>
  <c r="Y191" i="44"/>
  <c r="Y192" i="44"/>
  <c r="Y124" i="44"/>
  <c r="AR193" i="44"/>
  <c r="Y193" i="44"/>
  <c r="Y194" i="44"/>
  <c r="Y195" i="44"/>
  <c r="Y196" i="44"/>
  <c r="AR197" i="44"/>
  <c r="Y197" i="44"/>
  <c r="AR198" i="44"/>
  <c r="Y198" i="44"/>
  <c r="Y118" i="44"/>
  <c r="Y133" i="44"/>
  <c r="Y199" i="44"/>
  <c r="Y200" i="44"/>
  <c r="Y119" i="44"/>
  <c r="Y201" i="44"/>
  <c r="Y137" i="44"/>
  <c r="Y52" i="44"/>
  <c r="AR99" i="44"/>
  <c r="Y99" i="44"/>
  <c r="AR130" i="44"/>
  <c r="Y130" i="44"/>
  <c r="Y106" i="44"/>
  <c r="Y116" i="44"/>
  <c r="Y94" i="44"/>
  <c r="AI9" i="51"/>
  <c r="Y57" i="44"/>
  <c r="Y61" i="44"/>
  <c r="Y126" i="44"/>
  <c r="Y127" i="44"/>
  <c r="AR107" i="44"/>
  <c r="Y107" i="44"/>
  <c r="AR80" i="44"/>
  <c r="Y80" i="44"/>
  <c r="Y73" i="44"/>
  <c r="Y74" i="44"/>
  <c r="Y108" i="44"/>
  <c r="Y135" i="44"/>
  <c r="Y128" i="44"/>
  <c r="Y86" i="44"/>
  <c r="Y109" i="44"/>
  <c r="Y101" i="44"/>
  <c r="Y110" i="44"/>
  <c r="Y89" i="44"/>
  <c r="Y134" i="44"/>
  <c r="Y111" i="44"/>
  <c r="Y115" i="44"/>
  <c r="Y67" i="44"/>
  <c r="Y47" i="44"/>
  <c r="Y34" i="44"/>
  <c r="Y96" i="44"/>
  <c r="AR63" i="44"/>
  <c r="AR45" i="44"/>
  <c r="AR21" i="44"/>
  <c r="AR16" i="44"/>
  <c r="AR22" i="44"/>
  <c r="AR46" i="44"/>
  <c r="AR153" i="44"/>
  <c r="AR143" i="44"/>
  <c r="AR149" i="44"/>
  <c r="AR32" i="44"/>
  <c r="AR93" i="44"/>
  <c r="AR19" i="44"/>
  <c r="AR83" i="44"/>
  <c r="AR121" i="44"/>
  <c r="AR50" i="44"/>
  <c r="AR81" i="44"/>
  <c r="AR38" i="44"/>
  <c r="AR154" i="44"/>
  <c r="AR87" i="44"/>
  <c r="AR159" i="44"/>
  <c r="Y11" i="44"/>
  <c r="Y20" i="44"/>
  <c r="Y14" i="44"/>
  <c r="Y63" i="44"/>
  <c r="Y70" i="44"/>
  <c r="Y9" i="44"/>
  <c r="Y37" i="44"/>
  <c r="Y10" i="44"/>
  <c r="Y36" i="44"/>
  <c r="Y40" i="44"/>
  <c r="Y45" i="44"/>
  <c r="Y21" i="44"/>
  <c r="Y26" i="44"/>
  <c r="Y64" i="44"/>
  <c r="Y17" i="44"/>
  <c r="Y56" i="44"/>
  <c r="Y16" i="44"/>
  <c r="Y114" i="44"/>
  <c r="Y22" i="44"/>
  <c r="Y79" i="44"/>
  <c r="Y51" i="44"/>
  <c r="Y33" i="44"/>
  <c r="Y35" i="44"/>
  <c r="Y27" i="44"/>
  <c r="Y42" i="44"/>
  <c r="Y140" i="44"/>
  <c r="Y72" i="44"/>
  <c r="Y46" i="44"/>
  <c r="Y25" i="44"/>
  <c r="Y66" i="44"/>
  <c r="Y44" i="44"/>
  <c r="Y151" i="44"/>
  <c r="Y146" i="44"/>
  <c r="Y59" i="44"/>
  <c r="Y29" i="44"/>
  <c r="Y150" i="44"/>
  <c r="Y153" i="44"/>
  <c r="Y155" i="44"/>
  <c r="Y98" i="44"/>
  <c r="Y68" i="44"/>
  <c r="Y143" i="44"/>
  <c r="Y92" i="44"/>
  <c r="Y149" i="44"/>
  <c r="Y113" i="44"/>
  <c r="Y76" i="44"/>
  <c r="Y147" i="44"/>
  <c r="Y58" i="44"/>
  <c r="Y129" i="44"/>
  <c r="Y125" i="44"/>
  <c r="Y112" i="44"/>
  <c r="Y158" i="44"/>
  <c r="Y18" i="44"/>
  <c r="Y13" i="44"/>
  <c r="Y12" i="44"/>
  <c r="Y31" i="44"/>
  <c r="Y32" i="44"/>
  <c r="Y41" i="44"/>
  <c r="Y93" i="44"/>
  <c r="Y28" i="44"/>
  <c r="Y19" i="44"/>
  <c r="Y82" i="44"/>
  <c r="Y39" i="44"/>
  <c r="Y48" i="44"/>
  <c r="Y15" i="44"/>
  <c r="Y43" i="44"/>
  <c r="Y83" i="44"/>
  <c r="Y55" i="44"/>
  <c r="Y60" i="44"/>
  <c r="Y24" i="44"/>
  <c r="Y78" i="44"/>
  <c r="Y121" i="44"/>
  <c r="Y50" i="44"/>
  <c r="Y81" i="44"/>
  <c r="Y53" i="44"/>
  <c r="Y30" i="44"/>
  <c r="Y65" i="44"/>
  <c r="Y38" i="44"/>
  <c r="Y54" i="44"/>
  <c r="Y141" i="44"/>
  <c r="Y69" i="44"/>
  <c r="Y77" i="44"/>
  <c r="Y85" i="44"/>
  <c r="Y142" i="44"/>
  <c r="Y75" i="44"/>
  <c r="Y154" i="44"/>
  <c r="Y62" i="44"/>
  <c r="Y49" i="44"/>
  <c r="Y84" i="44"/>
  <c r="Y157" i="44"/>
  <c r="Y102" i="44"/>
  <c r="Y103" i="44"/>
  <c r="Y132" i="44"/>
  <c r="Y71" i="44"/>
  <c r="Y120" i="44"/>
  <c r="Y152" i="44"/>
  <c r="Y87" i="44"/>
  <c r="Y90" i="44"/>
  <c r="Y156" i="44"/>
  <c r="Y144" i="44"/>
  <c r="Y145" i="44"/>
  <c r="Y148" i="44"/>
  <c r="Y159" i="44"/>
  <c r="Y23" i="44"/>
  <c r="AR163" i="44" l="1"/>
  <c r="AK203" i="44"/>
  <c r="K28" i="36"/>
  <c r="W202" i="44"/>
  <c r="K14" i="36" s="1"/>
  <c r="Y202" i="44"/>
  <c r="C110" i="75" l="1"/>
  <c r="C107" i="75"/>
  <c r="I108" i="75" s="1"/>
  <c r="C103" i="75"/>
  <c r="I105" i="75" s="1"/>
  <c r="B300" i="75" l="1"/>
  <c r="B301" i="75"/>
  <c r="I111" i="75"/>
  <c r="B302" i="75" s="1"/>
  <c r="I114" i="75"/>
  <c r="B313" i="75" l="1"/>
  <c r="AM20" i="75" s="1"/>
  <c r="B309" i="75"/>
  <c r="B303" i="75"/>
  <c r="B312" i="75"/>
  <c r="B308" i="75"/>
  <c r="AK15" i="75" s="1"/>
  <c r="B304" i="75"/>
  <c r="B307" i="75"/>
  <c r="AQ14" i="75" s="1"/>
  <c r="B311" i="75"/>
  <c r="B305" i="75"/>
  <c r="AQ12" i="75" s="1"/>
  <c r="AR12" i="75" s="1"/>
  <c r="AA41" i="44"/>
  <c r="AQ41" i="44" s="1"/>
  <c r="AA10" i="44"/>
  <c r="AQ10" i="44" s="1"/>
  <c r="AA22" i="44"/>
  <c r="AQ22" i="44" s="1"/>
  <c r="AA31" i="44"/>
  <c r="AQ31" i="44" s="1"/>
  <c r="AA16" i="44"/>
  <c r="AQ16" i="44" s="1"/>
  <c r="AA21" i="44"/>
  <c r="AQ21" i="44" s="1"/>
  <c r="AA17" i="44"/>
  <c r="AQ17" i="44" s="1"/>
  <c r="AA19" i="44"/>
  <c r="AQ19" i="44" s="1"/>
  <c r="AA37" i="44"/>
  <c r="AQ37" i="44" s="1"/>
  <c r="AA48" i="44"/>
  <c r="AQ48" i="44" s="1"/>
  <c r="AA40" i="44"/>
  <c r="AQ40" i="44" s="1"/>
  <c r="AA27" i="44"/>
  <c r="AQ27" i="44" s="1"/>
  <c r="AA29" i="44"/>
  <c r="AQ29" i="44" s="1"/>
  <c r="AA80" i="44"/>
  <c r="AQ80" i="44" s="1"/>
  <c r="B310" i="75"/>
  <c r="B306" i="75"/>
  <c r="AO13" i="75" s="1"/>
  <c r="AP13" i="75" s="1"/>
  <c r="AQ9" i="75"/>
  <c r="AI9" i="75"/>
  <c r="AO9" i="75"/>
  <c r="AM9" i="75"/>
  <c r="AN9" i="75" s="1"/>
  <c r="AK9" i="75"/>
  <c r="AO11" i="75"/>
  <c r="AP11" i="75" s="1"/>
  <c r="AM11" i="75"/>
  <c r="AI11" i="75"/>
  <c r="AQ11" i="75"/>
  <c r="AR11" i="75" s="1"/>
  <c r="AK11" i="75"/>
  <c r="AQ7" i="75"/>
  <c r="AR7" i="75" s="1"/>
  <c r="AK7" i="75"/>
  <c r="AI7" i="75"/>
  <c r="AO7" i="75"/>
  <c r="AP7" i="75" s="1"/>
  <c r="AM7" i="75"/>
  <c r="AK18" i="75"/>
  <c r="AQ18" i="75"/>
  <c r="AR18" i="75" s="1"/>
  <c r="AM18" i="75"/>
  <c r="AO18" i="75"/>
  <c r="AP18" i="75" s="1"/>
  <c r="AI18" i="75"/>
  <c r="AK14" i="75"/>
  <c r="AO14" i="75"/>
  <c r="AO20" i="75"/>
  <c r="AP20" i="75" s="1"/>
  <c r="AQ20" i="75"/>
  <c r="AR20" i="75" s="1"/>
  <c r="AK20" i="75"/>
  <c r="AK12" i="75"/>
  <c r="AM12" i="75"/>
  <c r="AQ15" i="75"/>
  <c r="AR15" i="75" s="1"/>
  <c r="AI15" i="75"/>
  <c r="AM15" i="75"/>
  <c r="AM10" i="75"/>
  <c r="AO10" i="75"/>
  <c r="AP10" i="75" s="1"/>
  <c r="AQ17" i="75"/>
  <c r="AR17" i="75" s="1"/>
  <c r="AO17" i="75"/>
  <c r="AP17" i="75" s="1"/>
  <c r="AI17" i="75"/>
  <c r="AO8" i="75"/>
  <c r="AP8" i="75" s="1"/>
  <c r="AM8" i="75"/>
  <c r="AK8" i="75"/>
  <c r="AQ8" i="75"/>
  <c r="AR8" i="75" s="1"/>
  <c r="AI8" i="75"/>
  <c r="AQ16" i="75"/>
  <c r="AR16" i="75" s="1"/>
  <c r="AK16" i="75"/>
  <c r="AM16" i="75"/>
  <c r="AO16" i="75"/>
  <c r="AP16" i="75" s="1"/>
  <c r="AI16" i="75"/>
  <c r="AM19" i="75"/>
  <c r="AQ19" i="75"/>
  <c r="AR19" i="75" s="1"/>
  <c r="AO19" i="75"/>
  <c r="AP19" i="75" s="1"/>
  <c r="AK19" i="75"/>
  <c r="AI19" i="75"/>
  <c r="AQ13" i="75" l="1"/>
  <c r="AR13" i="75" s="1"/>
  <c r="AK13" i="75"/>
  <c r="AA109" i="44"/>
  <c r="AQ109" i="44" s="1"/>
  <c r="AM13" i="75"/>
  <c r="AI13" i="75"/>
  <c r="AA137" i="44"/>
  <c r="AA12" i="44"/>
  <c r="AQ12" i="44" s="1"/>
  <c r="AA119" i="44"/>
  <c r="AQ119" i="44" s="1"/>
  <c r="AA118" i="44"/>
  <c r="AQ118" i="44" s="1"/>
  <c r="AA194" i="44"/>
  <c r="AQ194" i="44" s="1"/>
  <c r="AA192" i="44"/>
  <c r="AA189" i="44"/>
  <c r="AQ189" i="44" s="1"/>
  <c r="AA186" i="44"/>
  <c r="AQ186" i="44" s="1"/>
  <c r="AA184" i="44"/>
  <c r="AQ184" i="44" s="1"/>
  <c r="AA182" i="44"/>
  <c r="AQ182" i="44" s="1"/>
  <c r="AA174" i="44"/>
  <c r="AQ174" i="44" s="1"/>
  <c r="AA171" i="44"/>
  <c r="AQ171" i="44" s="1"/>
  <c r="AA122" i="44"/>
  <c r="AQ122" i="44" s="1"/>
  <c r="AA100" i="44"/>
  <c r="AQ100" i="44" s="1"/>
  <c r="AA201" i="44"/>
  <c r="AQ201" i="44" s="1"/>
  <c r="AA133" i="44"/>
  <c r="AQ133" i="44" s="1"/>
  <c r="AA196" i="44"/>
  <c r="AQ196" i="44" s="1"/>
  <c r="AA193" i="44"/>
  <c r="AQ193" i="44" s="1"/>
  <c r="AA136" i="44"/>
  <c r="AQ136" i="44" s="1"/>
  <c r="AA91" i="44"/>
  <c r="AQ91" i="44" s="1"/>
  <c r="AA181" i="44"/>
  <c r="AQ181" i="44" s="1"/>
  <c r="AA180" i="44"/>
  <c r="AQ180" i="44" s="1"/>
  <c r="AA179" i="44"/>
  <c r="AQ179" i="44" s="1"/>
  <c r="AA177" i="44"/>
  <c r="AQ177" i="44" s="1"/>
  <c r="AA176" i="44"/>
  <c r="AQ176" i="44" s="1"/>
  <c r="AA175" i="44"/>
  <c r="AQ175" i="44" s="1"/>
  <c r="AA170" i="44"/>
  <c r="AQ170" i="44" s="1"/>
  <c r="AA167" i="44"/>
  <c r="AQ167" i="44" s="1"/>
  <c r="AA117" i="44"/>
  <c r="AQ117" i="44" s="1"/>
  <c r="AA163" i="44"/>
  <c r="AA160" i="44"/>
  <c r="AQ160" i="44" s="1"/>
  <c r="AA138" i="44"/>
  <c r="AQ138" i="44" s="1"/>
  <c r="AA199" i="44"/>
  <c r="AQ199" i="44" s="1"/>
  <c r="AA198" i="44"/>
  <c r="AQ198" i="44" s="1"/>
  <c r="AA124" i="44"/>
  <c r="AQ124" i="44" s="1"/>
  <c r="AA191" i="44"/>
  <c r="AQ191" i="44" s="1"/>
  <c r="AA188" i="44"/>
  <c r="AQ188" i="44" s="1"/>
  <c r="AA185" i="44"/>
  <c r="AQ185" i="44" s="1"/>
  <c r="AA123" i="44"/>
  <c r="AQ123" i="44" s="1"/>
  <c r="AA95" i="44"/>
  <c r="AQ95" i="44" s="1"/>
  <c r="AA173" i="44"/>
  <c r="AQ173" i="44" s="1"/>
  <c r="AA168" i="44"/>
  <c r="AQ168" i="44" s="1"/>
  <c r="AA164" i="44"/>
  <c r="AQ164" i="44" s="1"/>
  <c r="AA161" i="44"/>
  <c r="AA200" i="44"/>
  <c r="AQ200" i="44" s="1"/>
  <c r="AA197" i="44"/>
  <c r="AQ197" i="44" s="1"/>
  <c r="AA195" i="44"/>
  <c r="AQ195" i="44" s="1"/>
  <c r="AA190" i="44"/>
  <c r="AQ190" i="44" s="1"/>
  <c r="AA187" i="44"/>
  <c r="AQ187" i="44" s="1"/>
  <c r="AA183" i="44"/>
  <c r="AQ183" i="44" s="1"/>
  <c r="AA97" i="44"/>
  <c r="AQ97" i="44" s="1"/>
  <c r="AA88" i="44"/>
  <c r="AQ88" i="44" s="1"/>
  <c r="AA178" i="44"/>
  <c r="AA105" i="44"/>
  <c r="AQ105" i="44" s="1"/>
  <c r="AA104" i="44"/>
  <c r="AQ104" i="44" s="1"/>
  <c r="AA172" i="44"/>
  <c r="AQ172" i="44" s="1"/>
  <c r="AA169" i="44"/>
  <c r="AQ169" i="44" s="1"/>
  <c r="AA166" i="44"/>
  <c r="AQ166" i="44" s="1"/>
  <c r="AA165" i="44"/>
  <c r="AQ165" i="44" s="1"/>
  <c r="AA162" i="44"/>
  <c r="AQ162" i="44" s="1"/>
  <c r="AA131" i="44"/>
  <c r="AQ131" i="44" s="1"/>
  <c r="AA139" i="44"/>
  <c r="AA99" i="44"/>
  <c r="AQ99" i="44" s="1"/>
  <c r="AA130" i="44"/>
  <c r="AQ130" i="44" s="1"/>
  <c r="AA106" i="44"/>
  <c r="AQ106" i="44" s="1"/>
  <c r="AA52" i="44"/>
  <c r="AQ52" i="44" s="1"/>
  <c r="AM17" i="75"/>
  <c r="AK17" i="75"/>
  <c r="AK10" i="75"/>
  <c r="AI10" i="75"/>
  <c r="AQ10" i="75"/>
  <c r="AR10" i="75" s="1"/>
  <c r="AO15" i="75"/>
  <c r="AP15" i="75" s="1"/>
  <c r="AO12" i="75"/>
  <c r="AP12" i="75" s="1"/>
  <c r="AI12" i="75"/>
  <c r="AI20" i="75"/>
  <c r="AI14" i="75"/>
  <c r="AM14" i="75"/>
  <c r="AN14" i="75" s="1"/>
  <c r="AA94" i="44"/>
  <c r="AA108" i="44"/>
  <c r="AQ108" i="44" s="1"/>
  <c r="AA9" i="44"/>
  <c r="AQ9" i="44" s="1"/>
  <c r="AA15" i="44"/>
  <c r="AQ15" i="44" s="1"/>
  <c r="M94" i="44"/>
  <c r="AA23" i="44"/>
  <c r="AQ23" i="44" s="1"/>
  <c r="AA134" i="44"/>
  <c r="AQ134" i="44" s="1"/>
  <c r="M80" i="44"/>
  <c r="N80" i="44"/>
  <c r="AO80" i="44"/>
  <c r="AP80" i="44"/>
  <c r="AN80" i="44"/>
  <c r="AM80" i="44"/>
  <c r="AA148" i="44"/>
  <c r="AQ148" i="44" s="1"/>
  <c r="AA144" i="44"/>
  <c r="AQ144" i="44" s="1"/>
  <c r="AA90" i="44"/>
  <c r="AQ90" i="44" s="1"/>
  <c r="AA113" i="44"/>
  <c r="AQ113" i="44" s="1"/>
  <c r="AA132" i="44"/>
  <c r="AQ132" i="44" s="1"/>
  <c r="AA102" i="44"/>
  <c r="AQ102" i="44" s="1"/>
  <c r="AA84" i="44"/>
  <c r="AQ84" i="44" s="1"/>
  <c r="AA154" i="44"/>
  <c r="AQ154" i="44" s="1"/>
  <c r="AA44" i="44"/>
  <c r="AQ44" i="44" s="1"/>
  <c r="AA141" i="44"/>
  <c r="AQ141" i="44" s="1"/>
  <c r="AA35" i="44"/>
  <c r="AQ35" i="44" s="1"/>
  <c r="AA96" i="44"/>
  <c r="AQ96" i="44" s="1"/>
  <c r="AA54" i="44"/>
  <c r="AQ54" i="44" s="1"/>
  <c r="M29" i="44"/>
  <c r="AM29" i="44"/>
  <c r="AN29" i="44"/>
  <c r="AP29" i="44"/>
  <c r="AO29" i="44"/>
  <c r="AA85" i="44"/>
  <c r="AQ85" i="44" s="1"/>
  <c r="AA65" i="44"/>
  <c r="AQ65" i="44" s="1"/>
  <c r="AA76" i="44"/>
  <c r="AQ76" i="44" s="1"/>
  <c r="AA45" i="44"/>
  <c r="AQ45" i="44" s="1"/>
  <c r="M27" i="44"/>
  <c r="AM27" i="44"/>
  <c r="AN27" i="44"/>
  <c r="AO27" i="44"/>
  <c r="AP27" i="44"/>
  <c r="AA70" i="44"/>
  <c r="AQ70" i="44" s="1"/>
  <c r="M48" i="44"/>
  <c r="AM48" i="44"/>
  <c r="AN48" i="44"/>
  <c r="AP48" i="44"/>
  <c r="AO48" i="44"/>
  <c r="AA18" i="44"/>
  <c r="AQ18" i="44" s="1"/>
  <c r="AA43" i="44"/>
  <c r="AQ43" i="44" s="1"/>
  <c r="M21" i="44"/>
  <c r="AM21" i="44"/>
  <c r="AN21" i="44"/>
  <c r="N21" i="44"/>
  <c r="AP21" i="44"/>
  <c r="AO21" i="44"/>
  <c r="AA26" i="44"/>
  <c r="AQ26" i="44" s="1"/>
  <c r="M31" i="44"/>
  <c r="AM31" i="44"/>
  <c r="AP31" i="44"/>
  <c r="AN31" i="44"/>
  <c r="AO31" i="44"/>
  <c r="AN9" i="44"/>
  <c r="AM9" i="44"/>
  <c r="AA73" i="44"/>
  <c r="AQ73" i="44" s="1"/>
  <c r="AA127" i="44"/>
  <c r="AQ127" i="44" s="1"/>
  <c r="AA61" i="44"/>
  <c r="AQ61" i="44" s="1"/>
  <c r="AA112" i="44"/>
  <c r="AQ112" i="44" s="1"/>
  <c r="AA129" i="44"/>
  <c r="AQ129" i="44" s="1"/>
  <c r="AA147" i="44"/>
  <c r="AQ147" i="44" s="1"/>
  <c r="AA149" i="44"/>
  <c r="AQ149" i="44" s="1"/>
  <c r="AA143" i="44"/>
  <c r="AQ143" i="44" s="1"/>
  <c r="AA98" i="44"/>
  <c r="AQ98" i="44" s="1"/>
  <c r="AA153" i="44"/>
  <c r="AQ153" i="44" s="1"/>
  <c r="AA146" i="44"/>
  <c r="AQ146" i="44" s="1"/>
  <c r="AA77" i="44"/>
  <c r="AQ77" i="44" s="1"/>
  <c r="AA72" i="44"/>
  <c r="AQ72" i="44" s="1"/>
  <c r="AA59" i="44"/>
  <c r="AQ59" i="44" s="1"/>
  <c r="AA47" i="44"/>
  <c r="AQ47" i="44" s="1"/>
  <c r="AA121" i="44"/>
  <c r="AQ121" i="44" s="1"/>
  <c r="AA78" i="44"/>
  <c r="AQ78" i="44" s="1"/>
  <c r="AA60" i="44"/>
  <c r="AQ60" i="44" s="1"/>
  <c r="AA107" i="44"/>
  <c r="AQ107" i="44" s="1"/>
  <c r="AA53" i="44"/>
  <c r="AQ53" i="44" s="1"/>
  <c r="AA82" i="44"/>
  <c r="AQ82" i="44" s="1"/>
  <c r="AA57" i="44"/>
  <c r="AQ57" i="44" s="1"/>
  <c r="AA55" i="44"/>
  <c r="AQ55" i="44" s="1"/>
  <c r="AA25" i="44"/>
  <c r="AQ25" i="44" s="1"/>
  <c r="AA33" i="44"/>
  <c r="AQ33" i="44" s="1"/>
  <c r="AA11" i="44"/>
  <c r="AQ11" i="44" s="1"/>
  <c r="AA14" i="44"/>
  <c r="AQ14" i="44" s="1"/>
  <c r="M10" i="44"/>
  <c r="AN10" i="44"/>
  <c r="AO10" i="44"/>
  <c r="AM10" i="44"/>
  <c r="AP10" i="44"/>
  <c r="M15" i="44"/>
  <c r="AN15" i="44"/>
  <c r="AM15" i="44"/>
  <c r="AP15" i="44"/>
  <c r="AO15" i="44"/>
  <c r="M12" i="44"/>
  <c r="AN12" i="44"/>
  <c r="AM12" i="44"/>
  <c r="AO12" i="44"/>
  <c r="AP12" i="44"/>
  <c r="AA116" i="44"/>
  <c r="AQ116" i="44" s="1"/>
  <c r="AA111" i="44"/>
  <c r="AQ111" i="44" s="1"/>
  <c r="AA89" i="44"/>
  <c r="AQ89" i="44" s="1"/>
  <c r="AA128" i="44"/>
  <c r="AQ128" i="44" s="1"/>
  <c r="M108" i="44"/>
  <c r="AN108" i="44"/>
  <c r="AM108" i="44"/>
  <c r="AO108" i="44"/>
  <c r="AP108" i="44"/>
  <c r="AA126" i="44"/>
  <c r="AQ126" i="44" s="1"/>
  <c r="AA159" i="44"/>
  <c r="AQ159" i="44" s="1"/>
  <c r="AA145" i="44"/>
  <c r="AQ145" i="44" s="1"/>
  <c r="AA156" i="44"/>
  <c r="AQ156" i="44" s="1"/>
  <c r="AA87" i="44"/>
  <c r="AQ87" i="44" s="1"/>
  <c r="AA71" i="44"/>
  <c r="AQ71" i="44" s="1"/>
  <c r="AA103" i="44"/>
  <c r="AQ103" i="44" s="1"/>
  <c r="AA157" i="44"/>
  <c r="AQ157" i="44" s="1"/>
  <c r="AA150" i="44"/>
  <c r="AQ150" i="44" s="1"/>
  <c r="AA142" i="44"/>
  <c r="AQ142" i="44" s="1"/>
  <c r="AA66" i="44"/>
  <c r="AQ66" i="44" s="1"/>
  <c r="AA38" i="44"/>
  <c r="AQ38" i="44" s="1"/>
  <c r="AA81" i="44"/>
  <c r="AQ81" i="44" s="1"/>
  <c r="AA67" i="44"/>
  <c r="AQ67" i="44" s="1"/>
  <c r="AA79" i="44"/>
  <c r="AQ79" i="44" s="1"/>
  <c r="AA49" i="44"/>
  <c r="AQ49" i="44" s="1"/>
  <c r="AA56" i="44"/>
  <c r="AQ56" i="44" s="1"/>
  <c r="AA42" i="44"/>
  <c r="AQ42" i="44" s="1"/>
  <c r="AA30" i="44"/>
  <c r="AQ30" i="44" s="1"/>
  <c r="AA75" i="44"/>
  <c r="AQ75" i="44" s="1"/>
  <c r="AA24" i="44"/>
  <c r="AQ24" i="44" s="1"/>
  <c r="M40" i="44"/>
  <c r="AM40" i="44"/>
  <c r="AN40" i="44"/>
  <c r="AO40" i="44"/>
  <c r="AP40" i="44"/>
  <c r="M37" i="44"/>
  <c r="AN37" i="44"/>
  <c r="AM37" i="44"/>
  <c r="AP37" i="44"/>
  <c r="N37" i="44"/>
  <c r="AO37" i="44"/>
  <c r="AM19" i="44"/>
  <c r="M19" i="44"/>
  <c r="AN19" i="44"/>
  <c r="N19" i="44"/>
  <c r="AO19" i="44"/>
  <c r="AP19" i="44"/>
  <c r="M17" i="44"/>
  <c r="AN17" i="44"/>
  <c r="AM17" i="44"/>
  <c r="AP17" i="44"/>
  <c r="AO17" i="44"/>
  <c r="AA13" i="44"/>
  <c r="AQ13" i="44" s="1"/>
  <c r="M16" i="44"/>
  <c r="AM16" i="44"/>
  <c r="AN16" i="44"/>
  <c r="AP16" i="44"/>
  <c r="N16" i="44"/>
  <c r="AO16" i="44"/>
  <c r="AA20" i="44"/>
  <c r="AQ20" i="44" s="1"/>
  <c r="AA115" i="44"/>
  <c r="AQ115" i="44" s="1"/>
  <c r="AA110" i="44"/>
  <c r="AQ110" i="44" s="1"/>
  <c r="AA101" i="44"/>
  <c r="AQ101" i="44" s="1"/>
  <c r="M109" i="44"/>
  <c r="AM109" i="44"/>
  <c r="AN109" i="44"/>
  <c r="AP109" i="44"/>
  <c r="AO109" i="44"/>
  <c r="AA86" i="44"/>
  <c r="AQ86" i="44" s="1"/>
  <c r="AA135" i="44"/>
  <c r="AQ135" i="44" s="1"/>
  <c r="AA74" i="44"/>
  <c r="AQ74" i="44" s="1"/>
  <c r="AA158" i="44"/>
  <c r="AQ158" i="44" s="1"/>
  <c r="AA125" i="44"/>
  <c r="AQ125" i="44" s="1"/>
  <c r="AA58" i="44"/>
  <c r="AQ58" i="44" s="1"/>
  <c r="AA152" i="44"/>
  <c r="AQ152" i="44" s="1"/>
  <c r="AA92" i="44"/>
  <c r="AQ92" i="44" s="1"/>
  <c r="AA68" i="44"/>
  <c r="AQ68" i="44" s="1"/>
  <c r="AA155" i="44"/>
  <c r="AQ155" i="44" s="1"/>
  <c r="AA62" i="44"/>
  <c r="AQ62" i="44" s="1"/>
  <c r="AA151" i="44"/>
  <c r="AQ151" i="44" s="1"/>
  <c r="AA69" i="44"/>
  <c r="AQ69" i="44" s="1"/>
  <c r="AA140" i="44"/>
  <c r="AQ140" i="44" s="1"/>
  <c r="AA34" i="44"/>
  <c r="AQ34" i="44" s="1"/>
  <c r="AA46" i="44"/>
  <c r="AQ46" i="44" s="1"/>
  <c r="AA120" i="44"/>
  <c r="AQ120" i="44" s="1"/>
  <c r="AA114" i="44"/>
  <c r="AQ114" i="44" s="1"/>
  <c r="AA83" i="44"/>
  <c r="AQ83" i="44" s="1"/>
  <c r="AA64" i="44"/>
  <c r="AQ64" i="44" s="1"/>
  <c r="AA39" i="44"/>
  <c r="AQ39" i="44" s="1"/>
  <c r="AA93" i="44"/>
  <c r="AQ93" i="44" s="1"/>
  <c r="AA32" i="44"/>
  <c r="AQ32" i="44" s="1"/>
  <c r="AA51" i="44"/>
  <c r="AQ51" i="44" s="1"/>
  <c r="AA50" i="44"/>
  <c r="AQ50" i="44" s="1"/>
  <c r="AA36" i="44"/>
  <c r="AQ36" i="44" s="1"/>
  <c r="M22" i="44"/>
  <c r="AN22" i="44"/>
  <c r="AM22" i="44"/>
  <c r="N22" i="44"/>
  <c r="AP22" i="44"/>
  <c r="AO22" i="44"/>
  <c r="AA63" i="44"/>
  <c r="AQ63" i="44" s="1"/>
  <c r="AA28" i="44"/>
  <c r="AQ28" i="44" s="1"/>
  <c r="M41" i="44"/>
  <c r="N41" i="44"/>
  <c r="AP41" i="44"/>
  <c r="AM41" i="44"/>
  <c r="AN41" i="44"/>
  <c r="AO41" i="44"/>
  <c r="AQ178" i="44" l="1"/>
  <c r="O178" i="44"/>
  <c r="AQ161" i="44"/>
  <c r="O161" i="44"/>
  <c r="AQ163" i="44"/>
  <c r="O163" i="44"/>
  <c r="AQ192" i="44"/>
  <c r="O192" i="44"/>
  <c r="AN137" i="44"/>
  <c r="AQ137" i="44"/>
  <c r="AN94" i="44"/>
  <c r="AQ94" i="44"/>
  <c r="F139" i="44"/>
  <c r="AQ139" i="44"/>
  <c r="E41" i="44"/>
  <c r="E22" i="44"/>
  <c r="E19" i="44"/>
  <c r="E40" i="44"/>
  <c r="E108" i="44"/>
  <c r="E15" i="44"/>
  <c r="E21" i="44"/>
  <c r="E29" i="44"/>
  <c r="E94" i="44"/>
  <c r="E109" i="44"/>
  <c r="E16" i="44"/>
  <c r="E17" i="44"/>
  <c r="E37" i="44"/>
  <c r="E12" i="44"/>
  <c r="E10" i="44"/>
  <c r="E31" i="44"/>
  <c r="E48" i="44"/>
  <c r="E27" i="44"/>
  <c r="E80" i="44"/>
  <c r="R108" i="44"/>
  <c r="C108" i="44"/>
  <c r="R94" i="44"/>
  <c r="C94" i="44"/>
  <c r="R109" i="44"/>
  <c r="C109" i="44"/>
  <c r="R48" i="44"/>
  <c r="C48" i="44"/>
  <c r="R80" i="44"/>
  <c r="R41" i="44"/>
  <c r="R40" i="44"/>
  <c r="C40" i="44"/>
  <c r="R29" i="44"/>
  <c r="C29" i="44"/>
  <c r="R37" i="44"/>
  <c r="R31" i="44"/>
  <c r="C31" i="44"/>
  <c r="R27" i="44"/>
  <c r="C27" i="44"/>
  <c r="R22" i="44"/>
  <c r="R19" i="44"/>
  <c r="R15" i="44"/>
  <c r="C15" i="44"/>
  <c r="R21" i="44"/>
  <c r="R16" i="44"/>
  <c r="R17" i="44"/>
  <c r="C17" i="44"/>
  <c r="R12" i="44"/>
  <c r="C12" i="44"/>
  <c r="R10" i="44"/>
  <c r="C10" i="44"/>
  <c r="P41" i="44"/>
  <c r="P108" i="44"/>
  <c r="P29" i="44"/>
  <c r="P94" i="44"/>
  <c r="P109" i="44"/>
  <c r="P16" i="44"/>
  <c r="P17" i="44"/>
  <c r="P37" i="44"/>
  <c r="P12" i="44"/>
  <c r="P10" i="44"/>
  <c r="P31" i="44"/>
  <c r="V13" i="81"/>
  <c r="P22" i="44"/>
  <c r="V14" i="81"/>
  <c r="P19" i="44"/>
  <c r="AJ25" i="61"/>
  <c r="P40" i="44"/>
  <c r="AJ17" i="61"/>
  <c r="P15" i="44"/>
  <c r="X13" i="81"/>
  <c r="P21" i="44"/>
  <c r="AJ28" i="61"/>
  <c r="P48" i="44"/>
  <c r="AJ27" i="61"/>
  <c r="P27" i="44"/>
  <c r="X9" i="81"/>
  <c r="P80" i="44"/>
  <c r="M9" i="44"/>
  <c r="AN9" i="82" s="1"/>
  <c r="D80" i="44"/>
  <c r="D19" i="44"/>
  <c r="D41" i="44"/>
  <c r="D22" i="44"/>
  <c r="D16" i="44"/>
  <c r="D37" i="44"/>
  <c r="D21" i="44"/>
  <c r="AO137" i="44"/>
  <c r="X8" i="81"/>
  <c r="AJ20" i="61"/>
  <c r="AN15" i="82"/>
  <c r="AJ18" i="61"/>
  <c r="V19" i="81"/>
  <c r="AJ23" i="61"/>
  <c r="AL15" i="82"/>
  <c r="AJ26" i="61"/>
  <c r="T19" i="81"/>
  <c r="AJ24" i="61"/>
  <c r="AM137" i="44"/>
  <c r="AP137" i="44"/>
  <c r="M137" i="44"/>
  <c r="B137" i="44" s="1"/>
  <c r="AJ16" i="83"/>
  <c r="T13" i="81"/>
  <c r="AJ29" i="83"/>
  <c r="AL21" i="82"/>
  <c r="AN25" i="83"/>
  <c r="AJ24" i="82"/>
  <c r="AJ15" i="83"/>
  <c r="AL23" i="82"/>
  <c r="AJ19" i="83"/>
  <c r="AJ15" i="82"/>
  <c r="AL31" i="83"/>
  <c r="AL20" i="82"/>
  <c r="AJ18" i="83"/>
  <c r="AL10" i="82"/>
  <c r="AL22" i="83"/>
  <c r="AP25" i="83"/>
  <c r="AN24" i="82"/>
  <c r="AL29" i="83"/>
  <c r="AN21" i="82"/>
  <c r="AL16" i="83"/>
  <c r="AL24" i="82"/>
  <c r="AN21" i="83"/>
  <c r="AL11" i="82"/>
  <c r="AJ31" i="83"/>
  <c r="AJ20" i="82"/>
  <c r="AL12" i="83"/>
  <c r="AN19" i="82"/>
  <c r="AM139" i="44"/>
  <c r="AN139" i="44"/>
  <c r="N139" i="44"/>
  <c r="AO139" i="44"/>
  <c r="M139" i="44"/>
  <c r="AP139" i="44"/>
  <c r="AN162" i="44"/>
  <c r="AM162" i="44"/>
  <c r="M162" i="44"/>
  <c r="G162" i="44" s="1"/>
  <c r="AP162" i="44"/>
  <c r="AO162" i="44"/>
  <c r="N166" i="44"/>
  <c r="AP166" i="44"/>
  <c r="AO166" i="44"/>
  <c r="M166" i="44"/>
  <c r="AM166" i="44"/>
  <c r="AN166" i="44"/>
  <c r="AM172" i="44"/>
  <c r="M172" i="44"/>
  <c r="AN172" i="44"/>
  <c r="AP172" i="44"/>
  <c r="AO172" i="44"/>
  <c r="AN105" i="44"/>
  <c r="AO105" i="44"/>
  <c r="M105" i="44"/>
  <c r="AM105" i="44"/>
  <c r="AP105" i="44"/>
  <c r="N105" i="44"/>
  <c r="AN88" i="44"/>
  <c r="M88" i="44"/>
  <c r="AM88" i="44"/>
  <c r="AO88" i="44"/>
  <c r="AP88" i="44"/>
  <c r="AN183" i="44"/>
  <c r="AM183" i="44"/>
  <c r="M183" i="44"/>
  <c r="AP183" i="44"/>
  <c r="AO183" i="44"/>
  <c r="AN190" i="44"/>
  <c r="M190" i="44"/>
  <c r="AM190" i="44"/>
  <c r="AO190" i="44"/>
  <c r="AP190" i="44"/>
  <c r="N197" i="44"/>
  <c r="AM197" i="44"/>
  <c r="AO197" i="44"/>
  <c r="AP197" i="44"/>
  <c r="AN197" i="44"/>
  <c r="M197" i="44"/>
  <c r="AM161" i="44"/>
  <c r="M161" i="44"/>
  <c r="G161" i="44" s="1"/>
  <c r="AN161" i="44"/>
  <c r="AO161" i="44"/>
  <c r="AP161" i="44"/>
  <c r="N168" i="44"/>
  <c r="AP168" i="44"/>
  <c r="AO168" i="44"/>
  <c r="M168" i="44"/>
  <c r="AM168" i="44"/>
  <c r="AN168" i="44"/>
  <c r="AN95" i="44"/>
  <c r="M95" i="44"/>
  <c r="AM95" i="44"/>
  <c r="AO95" i="44"/>
  <c r="AP95" i="44"/>
  <c r="N185" i="44"/>
  <c r="AM185" i="44"/>
  <c r="M185" i="44"/>
  <c r="AP185" i="44"/>
  <c r="AN185" i="44"/>
  <c r="AO185" i="44"/>
  <c r="AN191" i="44"/>
  <c r="M191" i="44"/>
  <c r="AM191" i="44"/>
  <c r="AO191" i="44"/>
  <c r="AP191" i="44"/>
  <c r="N198" i="44"/>
  <c r="AM198" i="44"/>
  <c r="AO198" i="44"/>
  <c r="AP198" i="44"/>
  <c r="AN198" i="44"/>
  <c r="M198" i="44"/>
  <c r="AM138" i="44"/>
  <c r="AN138" i="44"/>
  <c r="M138" i="44"/>
  <c r="AO138" i="44"/>
  <c r="AP138" i="44"/>
  <c r="AM163" i="44"/>
  <c r="AO163" i="44"/>
  <c r="AN163" i="44"/>
  <c r="M163" i="44"/>
  <c r="G163" i="44" s="1"/>
  <c r="AP163" i="44"/>
  <c r="N163" i="44"/>
  <c r="AM167" i="44"/>
  <c r="M167" i="44"/>
  <c r="AN167" i="44"/>
  <c r="AP167" i="44"/>
  <c r="AO167" i="44"/>
  <c r="N175" i="44"/>
  <c r="AP175" i="44"/>
  <c r="AN175" i="44"/>
  <c r="M175" i="44"/>
  <c r="AM175" i="44"/>
  <c r="AO175" i="44"/>
  <c r="M177" i="44"/>
  <c r="AN177" i="44"/>
  <c r="AM177" i="44"/>
  <c r="AP177" i="44"/>
  <c r="AO177" i="44"/>
  <c r="N180" i="44"/>
  <c r="AO180" i="44"/>
  <c r="M180" i="44"/>
  <c r="AP180" i="44"/>
  <c r="AN180" i="44"/>
  <c r="AM180" i="44"/>
  <c r="AM91" i="44"/>
  <c r="M91" i="44"/>
  <c r="AN91" i="44"/>
  <c r="AO91" i="44"/>
  <c r="AP91" i="44"/>
  <c r="AN193" i="44"/>
  <c r="AM193" i="44"/>
  <c r="AP193" i="44"/>
  <c r="M193" i="44"/>
  <c r="AO193" i="44"/>
  <c r="N193" i="44"/>
  <c r="AN133" i="44"/>
  <c r="AM133" i="44"/>
  <c r="M133" i="44"/>
  <c r="AL21" i="79" s="1"/>
  <c r="AP133" i="44"/>
  <c r="AO133" i="44"/>
  <c r="AN100" i="44"/>
  <c r="AM100" i="44"/>
  <c r="M100" i="44"/>
  <c r="AP100" i="44"/>
  <c r="AO100" i="44"/>
  <c r="AM171" i="44"/>
  <c r="M171" i="44"/>
  <c r="AN171" i="44"/>
  <c r="AO171" i="44"/>
  <c r="AP171" i="44"/>
  <c r="AN182" i="44"/>
  <c r="AM182" i="44"/>
  <c r="AP182" i="44"/>
  <c r="M182" i="44"/>
  <c r="AO182" i="44"/>
  <c r="N182" i="44"/>
  <c r="AN186" i="44"/>
  <c r="M186" i="44"/>
  <c r="AM186" i="44"/>
  <c r="AO186" i="44"/>
  <c r="AP186" i="44"/>
  <c r="AN192" i="44"/>
  <c r="AM192" i="44"/>
  <c r="M192" i="44"/>
  <c r="AP192" i="44"/>
  <c r="AO192" i="44"/>
  <c r="AM118" i="44"/>
  <c r="AN118" i="44"/>
  <c r="M118" i="44"/>
  <c r="AP118" i="44"/>
  <c r="AO118" i="44"/>
  <c r="AN131" i="44"/>
  <c r="M131" i="44"/>
  <c r="AM131" i="44"/>
  <c r="AO131" i="44"/>
  <c r="AP131" i="44"/>
  <c r="AM165" i="44"/>
  <c r="M165" i="44"/>
  <c r="G165" i="44" s="1"/>
  <c r="AN165" i="44"/>
  <c r="AO165" i="44"/>
  <c r="AP165" i="44"/>
  <c r="N165" i="44"/>
  <c r="N169" i="44"/>
  <c r="AP169" i="44"/>
  <c r="AO169" i="44"/>
  <c r="M169" i="44"/>
  <c r="AM169" i="44"/>
  <c r="AN169" i="44"/>
  <c r="AN104" i="44"/>
  <c r="AM104" i="44"/>
  <c r="M104" i="44"/>
  <c r="AP104" i="44"/>
  <c r="AO104" i="44"/>
  <c r="AN178" i="44"/>
  <c r="M178" i="44"/>
  <c r="AM178" i="44"/>
  <c r="AP178" i="44"/>
  <c r="AO178" i="44"/>
  <c r="AM97" i="44"/>
  <c r="AN97" i="44"/>
  <c r="M97" i="44"/>
  <c r="AO97" i="44"/>
  <c r="AP97" i="44"/>
  <c r="AM187" i="44"/>
  <c r="AN187" i="44"/>
  <c r="M187" i="44"/>
  <c r="AP187" i="44"/>
  <c r="AO187" i="44"/>
  <c r="AN195" i="44"/>
  <c r="M195" i="44"/>
  <c r="AP195" i="44"/>
  <c r="AM195" i="44"/>
  <c r="AO195" i="44"/>
  <c r="N195" i="44"/>
  <c r="M200" i="44"/>
  <c r="AN200" i="44"/>
  <c r="AM200" i="44"/>
  <c r="AP200" i="44"/>
  <c r="AO200" i="44"/>
  <c r="AM164" i="44"/>
  <c r="AN164" i="44"/>
  <c r="AO164" i="44"/>
  <c r="M164" i="44"/>
  <c r="G164" i="44" s="1"/>
  <c r="AP164" i="44"/>
  <c r="N164" i="44"/>
  <c r="AN173" i="44"/>
  <c r="AM173" i="44"/>
  <c r="M173" i="44"/>
  <c r="AO173" i="44"/>
  <c r="AP173" i="44"/>
  <c r="AM123" i="44"/>
  <c r="AN123" i="44"/>
  <c r="M123" i="44"/>
  <c r="AP123" i="44"/>
  <c r="AO123" i="44"/>
  <c r="AN188" i="44"/>
  <c r="M188" i="44"/>
  <c r="AP188" i="44"/>
  <c r="AM188" i="44"/>
  <c r="AO188" i="44"/>
  <c r="N188" i="44"/>
  <c r="AN124" i="44"/>
  <c r="AO124" i="44"/>
  <c r="AP124" i="44"/>
  <c r="AM124" i="44"/>
  <c r="M124" i="44"/>
  <c r="N124" i="44"/>
  <c r="AN199" i="44"/>
  <c r="M199" i="44"/>
  <c r="AM199" i="44"/>
  <c r="AO199" i="44"/>
  <c r="AP199" i="44"/>
  <c r="AP160" i="44"/>
  <c r="N160" i="44"/>
  <c r="AO160" i="44"/>
  <c r="M160" i="44"/>
  <c r="G160" i="44" s="1"/>
  <c r="AM160" i="44"/>
  <c r="AN160" i="44"/>
  <c r="AM117" i="44"/>
  <c r="M117" i="44"/>
  <c r="AN117" i="44"/>
  <c r="AP117" i="44"/>
  <c r="AO117" i="44"/>
  <c r="AN170" i="44"/>
  <c r="AM170" i="44"/>
  <c r="M170" i="44"/>
  <c r="AP170" i="44"/>
  <c r="AO170" i="44"/>
  <c r="AN176" i="44"/>
  <c r="M176" i="44"/>
  <c r="AM176" i="44"/>
  <c r="AP176" i="44"/>
  <c r="AO176" i="44"/>
  <c r="AN179" i="44"/>
  <c r="M179" i="44"/>
  <c r="AP179" i="44"/>
  <c r="AO179" i="44"/>
  <c r="AM179" i="44"/>
  <c r="N179" i="44"/>
  <c r="AN181" i="44"/>
  <c r="M181" i="44"/>
  <c r="AP181" i="44"/>
  <c r="AO181" i="44"/>
  <c r="AM181" i="44"/>
  <c r="N181" i="44"/>
  <c r="AN136" i="44"/>
  <c r="M136" i="44"/>
  <c r="AP136" i="44"/>
  <c r="AM136" i="44"/>
  <c r="AO136" i="44"/>
  <c r="N136" i="44"/>
  <c r="M196" i="44"/>
  <c r="AN196" i="44"/>
  <c r="AM196" i="44"/>
  <c r="AP196" i="44"/>
  <c r="AO196" i="44"/>
  <c r="M201" i="44"/>
  <c r="AM201" i="44"/>
  <c r="AN201" i="44"/>
  <c r="AP201" i="44"/>
  <c r="AO201" i="44"/>
  <c r="M122" i="44"/>
  <c r="AM122" i="44"/>
  <c r="AN122" i="44"/>
  <c r="AO122" i="44"/>
  <c r="AP122" i="44"/>
  <c r="N174" i="44"/>
  <c r="AP174" i="44"/>
  <c r="AN174" i="44"/>
  <c r="M174" i="44"/>
  <c r="AM174" i="44"/>
  <c r="AO174" i="44"/>
  <c r="AN184" i="44"/>
  <c r="M184" i="44"/>
  <c r="AM184" i="44"/>
  <c r="AP184" i="44"/>
  <c r="AO184" i="44"/>
  <c r="AM189" i="44"/>
  <c r="AN189" i="44"/>
  <c r="M189" i="44"/>
  <c r="AP189" i="44"/>
  <c r="AO189" i="44"/>
  <c r="AN194" i="44"/>
  <c r="M194" i="44"/>
  <c r="AP194" i="44"/>
  <c r="AM194" i="44"/>
  <c r="AO194" i="44"/>
  <c r="N194" i="44"/>
  <c r="AM119" i="44"/>
  <c r="M119" i="44"/>
  <c r="AN119" i="44"/>
  <c r="AP119" i="44"/>
  <c r="AO119" i="44"/>
  <c r="S31" i="67"/>
  <c r="Q31" i="67" s="1"/>
  <c r="S29" i="67"/>
  <c r="Q29" i="67" s="1"/>
  <c r="S8" i="67"/>
  <c r="Q8" i="67" s="1"/>
  <c r="AP94" i="44"/>
  <c r="AJ12" i="75"/>
  <c r="AL10" i="75"/>
  <c r="S11" i="67"/>
  <c r="Q11" i="67" s="1"/>
  <c r="AJ11" i="75"/>
  <c r="AL12" i="79"/>
  <c r="S10" i="31"/>
  <c r="Q10" i="31" s="1"/>
  <c r="S19" i="67"/>
  <c r="Q19" i="67" s="1"/>
  <c r="AL8" i="79"/>
  <c r="S27" i="67"/>
  <c r="Q27" i="67" s="1"/>
  <c r="AL13" i="79"/>
  <c r="S12" i="31"/>
  <c r="Q12" i="31" s="1"/>
  <c r="S14" i="31"/>
  <c r="Q14" i="31" s="1"/>
  <c r="S8" i="31"/>
  <c r="Q8" i="31" s="1"/>
  <c r="S22" i="67"/>
  <c r="Q22" i="67" s="1"/>
  <c r="AJ18" i="79"/>
  <c r="S17" i="67"/>
  <c r="Q17" i="67" s="1"/>
  <c r="AJ15" i="78"/>
  <c r="AM94" i="44"/>
  <c r="AP9" i="44"/>
  <c r="AO9" i="44"/>
  <c r="AO94" i="44"/>
  <c r="S12" i="67"/>
  <c r="Q12" i="67" s="1"/>
  <c r="AM52" i="44"/>
  <c r="M52" i="44"/>
  <c r="AN52" i="44"/>
  <c r="AO52" i="44"/>
  <c r="AP52" i="44"/>
  <c r="N130" i="44"/>
  <c r="AM130" i="44"/>
  <c r="AN130" i="44"/>
  <c r="AP130" i="44"/>
  <c r="AO130" i="44"/>
  <c r="M130" i="44"/>
  <c r="AN106" i="44"/>
  <c r="AM106" i="44"/>
  <c r="M106" i="44"/>
  <c r="AO106" i="44"/>
  <c r="AP106" i="44"/>
  <c r="AM99" i="44"/>
  <c r="M99" i="44"/>
  <c r="AP99" i="44"/>
  <c r="AN99" i="44"/>
  <c r="AO99" i="44"/>
  <c r="AL9" i="78"/>
  <c r="AL13" i="77"/>
  <c r="AL11" i="77"/>
  <c r="AJ15" i="77"/>
  <c r="AL15" i="77"/>
  <c r="AL16" i="78"/>
  <c r="AN11" i="77"/>
  <c r="AN13" i="77"/>
  <c r="AL16" i="77"/>
  <c r="AN16" i="77"/>
  <c r="AL8" i="78"/>
  <c r="AJ9" i="75"/>
  <c r="AJ16" i="78"/>
  <c r="AN9" i="77"/>
  <c r="AN7" i="75"/>
  <c r="AN10" i="77"/>
  <c r="AL11" i="75"/>
  <c r="AN15" i="77"/>
  <c r="AL7" i="75"/>
  <c r="AR9" i="75"/>
  <c r="AL8" i="75"/>
  <c r="AA202" i="44"/>
  <c r="AJ9" i="51"/>
  <c r="AH9" i="51" s="1"/>
  <c r="AJ17" i="69"/>
  <c r="A41" i="44"/>
  <c r="AJ11" i="73"/>
  <c r="M63" i="44"/>
  <c r="AN63" i="44"/>
  <c r="AP63" i="44"/>
  <c r="AM63" i="44"/>
  <c r="N63" i="44"/>
  <c r="AO63" i="44"/>
  <c r="AN23" i="76"/>
  <c r="AJ11" i="51"/>
  <c r="AH11" i="51" s="1"/>
  <c r="A22" i="44"/>
  <c r="AN12" i="73"/>
  <c r="AL21" i="69"/>
  <c r="AN50" i="44"/>
  <c r="AM50" i="44"/>
  <c r="M50" i="44"/>
  <c r="AP50" i="44"/>
  <c r="N50" i="44"/>
  <c r="AO50" i="44"/>
  <c r="M32" i="44"/>
  <c r="AN32" i="44"/>
  <c r="AM32" i="44"/>
  <c r="N32" i="44"/>
  <c r="AO32" i="44"/>
  <c r="AP32" i="44"/>
  <c r="M39" i="44"/>
  <c r="AN39" i="44"/>
  <c r="AM39" i="44"/>
  <c r="AP39" i="44"/>
  <c r="AO39" i="44"/>
  <c r="M83" i="44"/>
  <c r="AM83" i="44"/>
  <c r="AN83" i="44"/>
  <c r="N83" i="44"/>
  <c r="AO83" i="44"/>
  <c r="AP83" i="44"/>
  <c r="M120" i="44"/>
  <c r="AM120" i="44"/>
  <c r="AN120" i="44"/>
  <c r="AO120" i="44"/>
  <c r="AP120" i="44"/>
  <c r="M34" i="44"/>
  <c r="AN34" i="44"/>
  <c r="AM34" i="44"/>
  <c r="AP34" i="44"/>
  <c r="AO34" i="44"/>
  <c r="M69" i="44"/>
  <c r="AN69" i="44"/>
  <c r="AM69" i="44"/>
  <c r="AO69" i="44"/>
  <c r="AP69" i="44"/>
  <c r="M62" i="44"/>
  <c r="AN62" i="44"/>
  <c r="AM62" i="44"/>
  <c r="AP62" i="44"/>
  <c r="AO62" i="44"/>
  <c r="M68" i="44"/>
  <c r="AN68" i="44"/>
  <c r="N68" i="44"/>
  <c r="AO68" i="44"/>
  <c r="AM68" i="44"/>
  <c r="AP68" i="44"/>
  <c r="M152" i="44"/>
  <c r="AM152" i="44"/>
  <c r="AN152" i="44"/>
  <c r="AP152" i="44"/>
  <c r="AO152" i="44"/>
  <c r="M125" i="44"/>
  <c r="AM125" i="44"/>
  <c r="AN125" i="44"/>
  <c r="AO125" i="44"/>
  <c r="AP125" i="44"/>
  <c r="M135" i="44"/>
  <c r="AN135" i="44"/>
  <c r="AM135" i="44"/>
  <c r="AP135" i="44"/>
  <c r="AO135" i="44"/>
  <c r="B109" i="44"/>
  <c r="M101" i="44"/>
  <c r="AM101" i="44"/>
  <c r="AN101" i="44"/>
  <c r="AP101" i="44"/>
  <c r="AO101" i="44"/>
  <c r="M115" i="44"/>
  <c r="AM115" i="44"/>
  <c r="AN115" i="44"/>
  <c r="AP115" i="44"/>
  <c r="AO115" i="44"/>
  <c r="M13" i="44"/>
  <c r="AN13" i="44"/>
  <c r="AO13" i="44"/>
  <c r="AM13" i="44"/>
  <c r="N13" i="44"/>
  <c r="AP13" i="44"/>
  <c r="AL7" i="73"/>
  <c r="AL14" i="69"/>
  <c r="A19" i="44"/>
  <c r="AJ11" i="76"/>
  <c r="AJ316" i="61"/>
  <c r="B40" i="44"/>
  <c r="M75" i="44"/>
  <c r="AN75" i="44"/>
  <c r="AM75" i="44"/>
  <c r="AP75" i="44"/>
  <c r="AO75" i="44"/>
  <c r="M42" i="44"/>
  <c r="AN42" i="44"/>
  <c r="AM42" i="44"/>
  <c r="AP42" i="44"/>
  <c r="AO42" i="44"/>
  <c r="M49" i="44"/>
  <c r="AM49" i="44"/>
  <c r="AN49" i="44"/>
  <c r="AO49" i="44"/>
  <c r="AP49" i="44"/>
  <c r="M67" i="44"/>
  <c r="AM67" i="44"/>
  <c r="AN67" i="44"/>
  <c r="AO67" i="44"/>
  <c r="AP67" i="44"/>
  <c r="M38" i="44"/>
  <c r="AM38" i="44"/>
  <c r="AP38" i="44"/>
  <c r="AN38" i="44"/>
  <c r="N38" i="44"/>
  <c r="AO38" i="44"/>
  <c r="M142" i="44"/>
  <c r="AN142" i="44"/>
  <c r="AM142" i="44"/>
  <c r="AP142" i="44"/>
  <c r="AO142" i="44"/>
  <c r="M157" i="44"/>
  <c r="AN157" i="44"/>
  <c r="AM157" i="44"/>
  <c r="AP157" i="44"/>
  <c r="AO157" i="44"/>
  <c r="M71" i="44"/>
  <c r="AM71" i="44"/>
  <c r="AN71" i="44"/>
  <c r="AP71" i="44"/>
  <c r="AO71" i="44"/>
  <c r="M156" i="44"/>
  <c r="AM156" i="44"/>
  <c r="AN156" i="44"/>
  <c r="AO156" i="44"/>
  <c r="AP156" i="44"/>
  <c r="M159" i="44"/>
  <c r="G159" i="44" s="1"/>
  <c r="AN159" i="44"/>
  <c r="AM159" i="44"/>
  <c r="N159" i="44"/>
  <c r="AO159" i="44"/>
  <c r="AP159" i="44"/>
  <c r="B108" i="44"/>
  <c r="M128" i="44"/>
  <c r="AM128" i="44"/>
  <c r="AN128" i="44"/>
  <c r="AO128" i="44"/>
  <c r="AP128" i="44"/>
  <c r="M111" i="44"/>
  <c r="AM111" i="44"/>
  <c r="AN111" i="44"/>
  <c r="AP111" i="44"/>
  <c r="AO111" i="44"/>
  <c r="AJ7" i="75"/>
  <c r="AJ10" i="75"/>
  <c r="AN116" i="44"/>
  <c r="M116" i="44"/>
  <c r="AM116" i="44"/>
  <c r="AO116" i="44"/>
  <c r="AP116" i="44"/>
  <c r="AJ27" i="76"/>
  <c r="AJ308" i="61"/>
  <c r="AJ8" i="73"/>
  <c r="B15" i="44"/>
  <c r="AJ23" i="69"/>
  <c r="M14" i="44"/>
  <c r="AN14" i="44"/>
  <c r="AM14" i="44"/>
  <c r="AO14" i="44"/>
  <c r="AP14" i="44"/>
  <c r="M33" i="44"/>
  <c r="AM33" i="44"/>
  <c r="AN33" i="44"/>
  <c r="AO33" i="44"/>
  <c r="AP33" i="44"/>
  <c r="M55" i="44"/>
  <c r="AM55" i="44"/>
  <c r="AN55" i="44"/>
  <c r="AO55" i="44"/>
  <c r="AP55" i="44"/>
  <c r="M82" i="44"/>
  <c r="AN82" i="44"/>
  <c r="N82" i="44"/>
  <c r="AP82" i="44"/>
  <c r="AM82" i="44"/>
  <c r="AO82" i="44"/>
  <c r="M107" i="44"/>
  <c r="AP107" i="44"/>
  <c r="AN107" i="44"/>
  <c r="AO107" i="44"/>
  <c r="N107" i="44"/>
  <c r="AM107" i="44"/>
  <c r="M78" i="44"/>
  <c r="AM78" i="44"/>
  <c r="AN78" i="44"/>
  <c r="AP78" i="44"/>
  <c r="AO78" i="44"/>
  <c r="M47" i="44"/>
  <c r="AM47" i="44"/>
  <c r="AN47" i="44"/>
  <c r="AP47" i="44"/>
  <c r="AO47" i="44"/>
  <c r="M72" i="44"/>
  <c r="AM72" i="44"/>
  <c r="AN72" i="44"/>
  <c r="AO72" i="44"/>
  <c r="AP72" i="44"/>
  <c r="M146" i="44"/>
  <c r="AN146" i="44"/>
  <c r="AM146" i="44"/>
  <c r="AP146" i="44"/>
  <c r="AO146" i="44"/>
  <c r="M98" i="44"/>
  <c r="AM98" i="44"/>
  <c r="AN98" i="44"/>
  <c r="AP98" i="44"/>
  <c r="AO98" i="44"/>
  <c r="AM149" i="44"/>
  <c r="AN149" i="44"/>
  <c r="M149" i="44"/>
  <c r="N149" i="44"/>
  <c r="AO149" i="44"/>
  <c r="AP149" i="44"/>
  <c r="M129" i="44"/>
  <c r="AM129" i="44"/>
  <c r="AN129" i="44"/>
  <c r="AO129" i="44"/>
  <c r="AP129" i="44"/>
  <c r="M61" i="44"/>
  <c r="AM61" i="44"/>
  <c r="AN61" i="44"/>
  <c r="AO61" i="44"/>
  <c r="AP61" i="44"/>
  <c r="AJ317" i="61"/>
  <c r="AL11" i="73"/>
  <c r="AJ15" i="69"/>
  <c r="B31" i="44"/>
  <c r="M43" i="44"/>
  <c r="AN43" i="44"/>
  <c r="AM43" i="44"/>
  <c r="AO43" i="44"/>
  <c r="AP43" i="44"/>
  <c r="AJ16" i="69"/>
  <c r="B48" i="44"/>
  <c r="AJ12" i="73"/>
  <c r="AL27" i="76"/>
  <c r="AJ318" i="61"/>
  <c r="B27" i="44"/>
  <c r="AL16" i="73"/>
  <c r="M76" i="44"/>
  <c r="AN76" i="44"/>
  <c r="AM76" i="44"/>
  <c r="AP76" i="44"/>
  <c r="AO76" i="44"/>
  <c r="M85" i="44"/>
  <c r="AN85" i="44"/>
  <c r="AM85" i="44"/>
  <c r="AP85" i="44"/>
  <c r="AO85" i="44"/>
  <c r="M54" i="44"/>
  <c r="AM54" i="44"/>
  <c r="AN54" i="44"/>
  <c r="AO54" i="44"/>
  <c r="AP54" i="44"/>
  <c r="M35" i="44"/>
  <c r="AM35" i="44"/>
  <c r="AN35" i="44"/>
  <c r="AP35" i="44"/>
  <c r="AO35" i="44"/>
  <c r="M44" i="44"/>
  <c r="AM44" i="44"/>
  <c r="AN44" i="44"/>
  <c r="AP44" i="44"/>
  <c r="AO44" i="44"/>
  <c r="M84" i="44"/>
  <c r="AM84" i="44"/>
  <c r="AN84" i="44"/>
  <c r="AO84" i="44"/>
  <c r="AP84" i="44"/>
  <c r="M132" i="44"/>
  <c r="AN132" i="44"/>
  <c r="AM132" i="44"/>
  <c r="AP132" i="44"/>
  <c r="AO132" i="44"/>
  <c r="M90" i="44"/>
  <c r="AM90" i="44"/>
  <c r="AN90" i="44"/>
  <c r="AP90" i="44"/>
  <c r="AO90" i="44"/>
  <c r="M148" i="44"/>
  <c r="AM148" i="44"/>
  <c r="N148" i="44"/>
  <c r="AO148" i="44"/>
  <c r="AN148" i="44"/>
  <c r="AP148" i="44"/>
  <c r="A80" i="44"/>
  <c r="M23" i="44"/>
  <c r="AN23" i="44"/>
  <c r="AM23" i="44"/>
  <c r="AP23" i="44"/>
  <c r="AO23" i="44"/>
  <c r="AL9" i="75"/>
  <c r="AN12" i="75"/>
  <c r="AJ29" i="76"/>
  <c r="B94" i="44"/>
  <c r="M28" i="44"/>
  <c r="AM28" i="44"/>
  <c r="AN28" i="44"/>
  <c r="AP28" i="44"/>
  <c r="N28" i="44"/>
  <c r="AO28" i="44"/>
  <c r="M36" i="44"/>
  <c r="AM36" i="44"/>
  <c r="AN36" i="44"/>
  <c r="AO36" i="44"/>
  <c r="AP36" i="44"/>
  <c r="M51" i="44"/>
  <c r="AM51" i="44"/>
  <c r="AN51" i="44"/>
  <c r="AP51" i="44"/>
  <c r="N51" i="44"/>
  <c r="AO51" i="44"/>
  <c r="M93" i="44"/>
  <c r="AN93" i="44"/>
  <c r="AM93" i="44"/>
  <c r="AP93" i="44"/>
  <c r="N93" i="44"/>
  <c r="AO93" i="44"/>
  <c r="M64" i="44"/>
  <c r="AM64" i="44"/>
  <c r="AN64" i="44"/>
  <c r="AO64" i="44"/>
  <c r="AP64" i="44"/>
  <c r="M114" i="44"/>
  <c r="AN114" i="44"/>
  <c r="AM114" i="44"/>
  <c r="AO114" i="44"/>
  <c r="AP114" i="44"/>
  <c r="M46" i="44"/>
  <c r="AN46" i="44"/>
  <c r="AP46" i="44"/>
  <c r="AM46" i="44"/>
  <c r="N46" i="44"/>
  <c r="AO46" i="44"/>
  <c r="M140" i="44"/>
  <c r="AN140" i="44"/>
  <c r="AO140" i="44"/>
  <c r="AP140" i="44"/>
  <c r="M151" i="44"/>
  <c r="AN151" i="44"/>
  <c r="AM151" i="44"/>
  <c r="AP151" i="44"/>
  <c r="AO151" i="44"/>
  <c r="M155" i="44"/>
  <c r="AP155" i="44"/>
  <c r="AN155" i="44"/>
  <c r="AM155" i="44"/>
  <c r="N155" i="44"/>
  <c r="AO155" i="44"/>
  <c r="M92" i="44"/>
  <c r="AN92" i="44"/>
  <c r="AM92" i="44"/>
  <c r="AP92" i="44"/>
  <c r="AO92" i="44"/>
  <c r="M58" i="44"/>
  <c r="AN58" i="44"/>
  <c r="AM58" i="44"/>
  <c r="AP58" i="44"/>
  <c r="AO58" i="44"/>
  <c r="M158" i="44"/>
  <c r="AN158" i="44"/>
  <c r="AM158" i="44"/>
  <c r="AP158" i="44"/>
  <c r="AO158" i="44"/>
  <c r="M74" i="44"/>
  <c r="AM74" i="44"/>
  <c r="AN74" i="44"/>
  <c r="AP74" i="44"/>
  <c r="AO74" i="44"/>
  <c r="M86" i="44"/>
  <c r="AN86" i="44"/>
  <c r="AM86" i="44"/>
  <c r="AP86" i="44"/>
  <c r="AO86" i="44"/>
  <c r="M110" i="44"/>
  <c r="AM110" i="44"/>
  <c r="AN110" i="44"/>
  <c r="AO110" i="44"/>
  <c r="AP110" i="44"/>
  <c r="M20" i="44"/>
  <c r="AN20" i="44"/>
  <c r="AO20" i="44"/>
  <c r="AM20" i="44"/>
  <c r="AP20" i="44"/>
  <c r="AL17" i="76"/>
  <c r="AJ10" i="51"/>
  <c r="AH10" i="51" s="1"/>
  <c r="AL20" i="69"/>
  <c r="A16" i="44"/>
  <c r="AN7" i="73"/>
  <c r="AP10" i="76"/>
  <c r="AJ311" i="61"/>
  <c r="AJ18" i="69"/>
  <c r="AN14" i="73"/>
  <c r="B17" i="44"/>
  <c r="AL20" i="76"/>
  <c r="AJ13" i="51"/>
  <c r="AH13" i="51" s="1"/>
  <c r="AL12" i="69"/>
  <c r="A37" i="44"/>
  <c r="M24" i="44"/>
  <c r="AM24" i="44"/>
  <c r="AN24" i="44"/>
  <c r="AP24" i="44"/>
  <c r="AO24" i="44"/>
  <c r="M30" i="44"/>
  <c r="AN30" i="44"/>
  <c r="AM30" i="44"/>
  <c r="AO30" i="44"/>
  <c r="AP30" i="44"/>
  <c r="M56" i="44"/>
  <c r="AN56" i="44"/>
  <c r="AP56" i="44"/>
  <c r="AO56" i="44"/>
  <c r="M79" i="44"/>
  <c r="AN79" i="44"/>
  <c r="AM79" i="44"/>
  <c r="AO79" i="44"/>
  <c r="AP79" i="44"/>
  <c r="M81" i="44"/>
  <c r="N81" i="44"/>
  <c r="AP81" i="44"/>
  <c r="AN81" i="44"/>
  <c r="AM81" i="44"/>
  <c r="AO81" i="44"/>
  <c r="M66" i="44"/>
  <c r="AN66" i="44"/>
  <c r="AM66" i="44"/>
  <c r="AO66" i="44"/>
  <c r="AP66" i="44"/>
  <c r="M150" i="44"/>
  <c r="AN150" i="44"/>
  <c r="AM150" i="44"/>
  <c r="AO150" i="44"/>
  <c r="AP150" i="44"/>
  <c r="M103" i="44"/>
  <c r="AM103" i="44"/>
  <c r="AN103" i="44"/>
  <c r="AP103" i="44"/>
  <c r="AO103" i="44"/>
  <c r="M87" i="44"/>
  <c r="AM87" i="44"/>
  <c r="AP87" i="44"/>
  <c r="AN87" i="44"/>
  <c r="N87" i="44"/>
  <c r="AO87" i="44"/>
  <c r="M145" i="44"/>
  <c r="AM145" i="44"/>
  <c r="AN145" i="44"/>
  <c r="AP145" i="44"/>
  <c r="AO145" i="44"/>
  <c r="M126" i="44"/>
  <c r="AM126" i="44"/>
  <c r="AN126" i="44"/>
  <c r="AO126" i="44"/>
  <c r="AP126" i="44"/>
  <c r="M89" i="44"/>
  <c r="AN89" i="44"/>
  <c r="AM89" i="44"/>
  <c r="AO89" i="44"/>
  <c r="AP89" i="44"/>
  <c r="AJ8" i="75"/>
  <c r="AL15" i="76"/>
  <c r="AJ309" i="61"/>
  <c r="B12" i="44"/>
  <c r="AN8" i="73"/>
  <c r="AL8" i="69"/>
  <c r="AJ16" i="76"/>
  <c r="AJ314" i="61"/>
  <c r="AL9" i="73"/>
  <c r="AL13" i="69"/>
  <c r="B10" i="44"/>
  <c r="M11" i="44"/>
  <c r="AN11" i="44"/>
  <c r="AM11" i="44"/>
  <c r="AO11" i="44"/>
  <c r="N11" i="44"/>
  <c r="AP11" i="44"/>
  <c r="M25" i="44"/>
  <c r="AM25" i="44"/>
  <c r="AN25" i="44"/>
  <c r="AO25" i="44"/>
  <c r="AP25" i="44"/>
  <c r="M57" i="44"/>
  <c r="AM57" i="44"/>
  <c r="AN57" i="44"/>
  <c r="AP57" i="44"/>
  <c r="AO57" i="44"/>
  <c r="M53" i="44"/>
  <c r="AM53" i="44"/>
  <c r="AN53" i="44"/>
  <c r="AP53" i="44"/>
  <c r="AO53" i="44"/>
  <c r="M60" i="44"/>
  <c r="AN60" i="44"/>
  <c r="AM60" i="44"/>
  <c r="AP60" i="44"/>
  <c r="AO60" i="44"/>
  <c r="M121" i="44"/>
  <c r="AN121" i="44"/>
  <c r="AP121" i="44"/>
  <c r="AM121" i="44"/>
  <c r="N121" i="44"/>
  <c r="AO121" i="44"/>
  <c r="M59" i="44"/>
  <c r="AM59" i="44"/>
  <c r="N59" i="44"/>
  <c r="AP59" i="44"/>
  <c r="AN59" i="44"/>
  <c r="AO59" i="44"/>
  <c r="M77" i="44"/>
  <c r="AN77" i="44"/>
  <c r="AM77" i="44"/>
  <c r="AP77" i="44"/>
  <c r="AO77" i="44"/>
  <c r="AN153" i="44"/>
  <c r="M153" i="44"/>
  <c r="AM153" i="44"/>
  <c r="N153" i="44"/>
  <c r="AP153" i="44"/>
  <c r="AO153" i="44"/>
  <c r="M143" i="44"/>
  <c r="AN143" i="44"/>
  <c r="AM143" i="44"/>
  <c r="AP143" i="44"/>
  <c r="AO143" i="44"/>
  <c r="N143" i="44"/>
  <c r="M147" i="44"/>
  <c r="AM147" i="44"/>
  <c r="AN147" i="44"/>
  <c r="AP147" i="44"/>
  <c r="AO147" i="44"/>
  <c r="M112" i="44"/>
  <c r="AN112" i="44"/>
  <c r="AM112" i="44"/>
  <c r="AP112" i="44"/>
  <c r="AO112" i="44"/>
  <c r="M127" i="44"/>
  <c r="AM127" i="44"/>
  <c r="AN127" i="44"/>
  <c r="AO127" i="44"/>
  <c r="AP127" i="44"/>
  <c r="M73" i="44"/>
  <c r="AM73" i="44"/>
  <c r="AN73" i="44"/>
  <c r="AP73" i="44"/>
  <c r="AO73" i="44"/>
  <c r="AL8" i="76"/>
  <c r="AJ307" i="61"/>
  <c r="B9" i="44"/>
  <c r="AN9" i="73"/>
  <c r="AL9" i="69"/>
  <c r="M26" i="44"/>
  <c r="AM26" i="44"/>
  <c r="AN26" i="44"/>
  <c r="AO26" i="44"/>
  <c r="AP26" i="44"/>
  <c r="AP23" i="76"/>
  <c r="AJ14" i="51"/>
  <c r="AH14" i="51" s="1"/>
  <c r="AN11" i="73"/>
  <c r="AL16" i="69"/>
  <c r="A21" i="44"/>
  <c r="M18" i="44"/>
  <c r="AM18" i="44"/>
  <c r="AN18" i="44"/>
  <c r="AP18" i="44"/>
  <c r="AO18" i="44"/>
  <c r="M70" i="44"/>
  <c r="AM70" i="44"/>
  <c r="AN70" i="44"/>
  <c r="N70" i="44"/>
  <c r="AO70" i="44"/>
  <c r="AP70" i="44"/>
  <c r="M45" i="44"/>
  <c r="AM45" i="44"/>
  <c r="AN45" i="44"/>
  <c r="N45" i="44"/>
  <c r="AO45" i="44"/>
  <c r="AP45" i="44"/>
  <c r="M65" i="44"/>
  <c r="AM65" i="44"/>
  <c r="AN65" i="44"/>
  <c r="AP65" i="44"/>
  <c r="AO65" i="44"/>
  <c r="AJ19" i="76"/>
  <c r="B29" i="44"/>
  <c r="AJ315" i="61"/>
  <c r="M96" i="44"/>
  <c r="AN96" i="44"/>
  <c r="AM96" i="44"/>
  <c r="AP96" i="44"/>
  <c r="AO96" i="44"/>
  <c r="M141" i="44"/>
  <c r="AN141" i="44"/>
  <c r="AM141" i="44"/>
  <c r="AO141" i="44"/>
  <c r="AP141" i="44"/>
  <c r="M154" i="44"/>
  <c r="AN154" i="44"/>
  <c r="AM154" i="44"/>
  <c r="N154" i="44"/>
  <c r="AP154" i="44"/>
  <c r="AO154" i="44"/>
  <c r="AN102" i="44"/>
  <c r="AM102" i="44"/>
  <c r="M102" i="44"/>
  <c r="N102" i="44"/>
  <c r="AO102" i="44"/>
  <c r="AP102" i="44"/>
  <c r="M113" i="44"/>
  <c r="AN113" i="44"/>
  <c r="AM113" i="44"/>
  <c r="AP113" i="44"/>
  <c r="AO113" i="44"/>
  <c r="M144" i="44"/>
  <c r="AM144" i="44"/>
  <c r="AO144" i="44"/>
  <c r="AN144" i="44"/>
  <c r="N144" i="44"/>
  <c r="AP144" i="44"/>
  <c r="M134" i="44"/>
  <c r="AM134" i="44"/>
  <c r="AN134" i="44"/>
  <c r="AP134" i="44"/>
  <c r="AO134" i="44"/>
  <c r="AP9" i="75"/>
  <c r="AN11" i="75"/>
  <c r="AL12" i="75"/>
  <c r="AN10" i="75"/>
  <c r="AN8" i="75"/>
  <c r="AA203" i="44" l="1"/>
  <c r="K18" i="36"/>
  <c r="G41" i="44"/>
  <c r="E134" i="44"/>
  <c r="G134" i="44"/>
  <c r="E141" i="44"/>
  <c r="G141" i="44"/>
  <c r="G65" i="44"/>
  <c r="E45" i="44"/>
  <c r="G45" i="44"/>
  <c r="E70" i="44"/>
  <c r="G70" i="44"/>
  <c r="E127" i="44"/>
  <c r="G127" i="44"/>
  <c r="E147" i="44"/>
  <c r="G147" i="44"/>
  <c r="E143" i="44"/>
  <c r="G143" i="44"/>
  <c r="G121" i="44"/>
  <c r="E53" i="44"/>
  <c r="G53" i="44"/>
  <c r="E25" i="44"/>
  <c r="G25" i="44"/>
  <c r="E11" i="44"/>
  <c r="G11" i="44"/>
  <c r="E89" i="44"/>
  <c r="G89" i="44"/>
  <c r="E145" i="44"/>
  <c r="G145" i="44"/>
  <c r="E87" i="44"/>
  <c r="G87" i="44"/>
  <c r="E150" i="44"/>
  <c r="G150" i="44"/>
  <c r="E79" i="44"/>
  <c r="G79" i="44"/>
  <c r="E56" i="44"/>
  <c r="G56" i="44"/>
  <c r="E20" i="44"/>
  <c r="G20" i="44"/>
  <c r="E86" i="44"/>
  <c r="G86" i="44"/>
  <c r="E92" i="44"/>
  <c r="G92" i="44"/>
  <c r="E155" i="44"/>
  <c r="G155" i="44"/>
  <c r="E114" i="44"/>
  <c r="G114" i="44"/>
  <c r="E36" i="44"/>
  <c r="G36" i="44"/>
  <c r="E28" i="44"/>
  <c r="G28" i="44"/>
  <c r="E148" i="44"/>
  <c r="G148" i="44"/>
  <c r="G90" i="44"/>
  <c r="E84" i="44"/>
  <c r="G84" i="44"/>
  <c r="E35" i="44"/>
  <c r="G35" i="44"/>
  <c r="E85" i="44"/>
  <c r="G85" i="44"/>
  <c r="E61" i="44"/>
  <c r="G61" i="44"/>
  <c r="E98" i="44"/>
  <c r="G98" i="44"/>
  <c r="E72" i="44"/>
  <c r="G72" i="44"/>
  <c r="E78" i="44"/>
  <c r="G78" i="44"/>
  <c r="E107" i="44"/>
  <c r="G107" i="44"/>
  <c r="E82" i="44"/>
  <c r="G82" i="44"/>
  <c r="E33" i="44"/>
  <c r="G33" i="44"/>
  <c r="E116" i="44"/>
  <c r="G116" i="44"/>
  <c r="E111" i="44"/>
  <c r="G111" i="44"/>
  <c r="G157" i="44"/>
  <c r="E49" i="44"/>
  <c r="G49" i="44"/>
  <c r="E75" i="44"/>
  <c r="G75" i="44"/>
  <c r="E13" i="44"/>
  <c r="G13" i="44"/>
  <c r="E101" i="44"/>
  <c r="G101" i="44"/>
  <c r="E135" i="44"/>
  <c r="G135" i="44"/>
  <c r="E152" i="44"/>
  <c r="G152" i="44"/>
  <c r="E68" i="44"/>
  <c r="G68" i="44"/>
  <c r="E69" i="44"/>
  <c r="G69" i="44"/>
  <c r="E120" i="44"/>
  <c r="G120" i="44"/>
  <c r="E83" i="44"/>
  <c r="G83" i="44"/>
  <c r="E63" i="44"/>
  <c r="G63" i="44"/>
  <c r="E99" i="44"/>
  <c r="G99" i="44"/>
  <c r="E106" i="44"/>
  <c r="G106" i="44"/>
  <c r="E119" i="44"/>
  <c r="G119" i="44"/>
  <c r="E122" i="44"/>
  <c r="G122" i="44"/>
  <c r="E117" i="44"/>
  <c r="G117" i="44"/>
  <c r="E124" i="44"/>
  <c r="G124" i="44"/>
  <c r="E104" i="44"/>
  <c r="G104" i="44"/>
  <c r="E131" i="44"/>
  <c r="G131" i="44"/>
  <c r="E118" i="44"/>
  <c r="G118" i="44"/>
  <c r="E133" i="44"/>
  <c r="G133" i="44"/>
  <c r="E138" i="44"/>
  <c r="G138" i="44"/>
  <c r="E88" i="44"/>
  <c r="G88" i="44"/>
  <c r="E137" i="44"/>
  <c r="G137" i="44"/>
  <c r="G80" i="44"/>
  <c r="G27" i="44"/>
  <c r="G48" i="44"/>
  <c r="G31" i="44"/>
  <c r="G10" i="44"/>
  <c r="G12" i="44"/>
  <c r="G37" i="44"/>
  <c r="G17" i="44"/>
  <c r="G16" i="44"/>
  <c r="G109" i="44"/>
  <c r="G94" i="44"/>
  <c r="G29" i="44"/>
  <c r="G21" i="44"/>
  <c r="G15" i="44"/>
  <c r="G108" i="44"/>
  <c r="G40" i="44"/>
  <c r="G19" i="44"/>
  <c r="G22" i="44"/>
  <c r="E144" i="44"/>
  <c r="G144" i="44"/>
  <c r="E113" i="44"/>
  <c r="G113" i="44"/>
  <c r="E102" i="44"/>
  <c r="G102" i="44"/>
  <c r="E154" i="44"/>
  <c r="G154" i="44"/>
  <c r="E96" i="44"/>
  <c r="G96" i="44"/>
  <c r="E18" i="44"/>
  <c r="G18" i="44"/>
  <c r="E26" i="44"/>
  <c r="G26" i="44"/>
  <c r="E73" i="44"/>
  <c r="G73" i="44"/>
  <c r="E112" i="44"/>
  <c r="G112" i="44"/>
  <c r="E153" i="44"/>
  <c r="G153" i="44"/>
  <c r="E77" i="44"/>
  <c r="G77" i="44"/>
  <c r="E59" i="44"/>
  <c r="G59" i="44"/>
  <c r="E60" i="44"/>
  <c r="G60" i="44"/>
  <c r="E57" i="44"/>
  <c r="G57" i="44"/>
  <c r="E126" i="44"/>
  <c r="G126" i="44"/>
  <c r="E103" i="44"/>
  <c r="G103" i="44"/>
  <c r="E66" i="44"/>
  <c r="G66" i="44"/>
  <c r="E81" i="44"/>
  <c r="G81" i="44"/>
  <c r="E30" i="44"/>
  <c r="G30" i="44"/>
  <c r="G24" i="44"/>
  <c r="E110" i="44"/>
  <c r="G110" i="44"/>
  <c r="E74" i="44"/>
  <c r="G74" i="44"/>
  <c r="E58" i="44"/>
  <c r="G58" i="44"/>
  <c r="E151" i="44"/>
  <c r="G151" i="44"/>
  <c r="E140" i="44"/>
  <c r="G140" i="44"/>
  <c r="E46" i="44"/>
  <c r="G46" i="44"/>
  <c r="E64" i="44"/>
  <c r="G64" i="44"/>
  <c r="E93" i="44"/>
  <c r="G93" i="44"/>
  <c r="E51" i="44"/>
  <c r="G51" i="44"/>
  <c r="E23" i="44"/>
  <c r="G23" i="44"/>
  <c r="E132" i="44"/>
  <c r="G132" i="44"/>
  <c r="E44" i="44"/>
  <c r="G44" i="44"/>
  <c r="E54" i="44"/>
  <c r="G54" i="44"/>
  <c r="E76" i="44"/>
  <c r="G76" i="44"/>
  <c r="E43" i="44"/>
  <c r="G43" i="44"/>
  <c r="E129" i="44"/>
  <c r="G129" i="44"/>
  <c r="E149" i="44"/>
  <c r="G149" i="44"/>
  <c r="E146" i="44"/>
  <c r="G146" i="44"/>
  <c r="E47" i="44"/>
  <c r="G47" i="44"/>
  <c r="E55" i="44"/>
  <c r="G55" i="44"/>
  <c r="E14" i="44"/>
  <c r="G14" i="44"/>
  <c r="E128" i="44"/>
  <c r="G128" i="44"/>
  <c r="E156" i="44"/>
  <c r="G156" i="44"/>
  <c r="G71" i="44"/>
  <c r="E142" i="44"/>
  <c r="G142" i="44"/>
  <c r="E38" i="44"/>
  <c r="G38" i="44"/>
  <c r="G67" i="44"/>
  <c r="E42" i="44"/>
  <c r="G42" i="44"/>
  <c r="E115" i="44"/>
  <c r="G115" i="44"/>
  <c r="E125" i="44"/>
  <c r="G125" i="44"/>
  <c r="E62" i="44"/>
  <c r="G62" i="44"/>
  <c r="E34" i="44"/>
  <c r="G34" i="44"/>
  <c r="E39" i="44"/>
  <c r="G39" i="44"/>
  <c r="E32" i="44"/>
  <c r="G32" i="44"/>
  <c r="E50" i="44"/>
  <c r="G50" i="44"/>
  <c r="G130" i="44"/>
  <c r="E52" i="44"/>
  <c r="G52" i="44"/>
  <c r="E136" i="44"/>
  <c r="G136" i="44"/>
  <c r="E123" i="44"/>
  <c r="G123" i="44"/>
  <c r="E97" i="44"/>
  <c r="G97" i="44"/>
  <c r="E100" i="44"/>
  <c r="G100" i="44"/>
  <c r="G91" i="44"/>
  <c r="E95" i="44"/>
  <c r="G95" i="44"/>
  <c r="E105" i="44"/>
  <c r="G105" i="44"/>
  <c r="G139" i="44"/>
  <c r="AJ16" i="61"/>
  <c r="G9" i="44"/>
  <c r="E194" i="44"/>
  <c r="G194" i="44"/>
  <c r="E189" i="44"/>
  <c r="G189" i="44"/>
  <c r="E184" i="44"/>
  <c r="G184" i="44"/>
  <c r="E174" i="44"/>
  <c r="G174" i="44"/>
  <c r="E196" i="44"/>
  <c r="G196" i="44"/>
  <c r="E176" i="44"/>
  <c r="G176" i="44"/>
  <c r="E170" i="44"/>
  <c r="G170" i="44"/>
  <c r="E173" i="44"/>
  <c r="G173" i="44"/>
  <c r="E195" i="44"/>
  <c r="G195" i="44"/>
  <c r="E187" i="44"/>
  <c r="G187" i="44"/>
  <c r="E178" i="44"/>
  <c r="G178" i="44"/>
  <c r="E186" i="44"/>
  <c r="G186" i="44"/>
  <c r="E182" i="44"/>
  <c r="G182" i="44"/>
  <c r="E180" i="44"/>
  <c r="G180" i="44"/>
  <c r="E175" i="44"/>
  <c r="G175" i="44"/>
  <c r="E191" i="44"/>
  <c r="G191" i="44"/>
  <c r="E190" i="44"/>
  <c r="G190" i="44"/>
  <c r="E183" i="44"/>
  <c r="G183" i="44"/>
  <c r="E201" i="44"/>
  <c r="G201" i="44"/>
  <c r="E181" i="44"/>
  <c r="G181" i="44"/>
  <c r="E179" i="44"/>
  <c r="G179" i="44"/>
  <c r="E199" i="44"/>
  <c r="G199" i="44"/>
  <c r="E188" i="44"/>
  <c r="G188" i="44"/>
  <c r="E200" i="44"/>
  <c r="G200" i="44"/>
  <c r="E169" i="44"/>
  <c r="G169" i="44"/>
  <c r="E192" i="44"/>
  <c r="G192" i="44"/>
  <c r="E171" i="44"/>
  <c r="G171" i="44"/>
  <c r="E193" i="44"/>
  <c r="G193" i="44"/>
  <c r="E177" i="44"/>
  <c r="G177" i="44"/>
  <c r="E167" i="44"/>
  <c r="G167" i="44"/>
  <c r="E198" i="44"/>
  <c r="G198" i="44"/>
  <c r="E185" i="44"/>
  <c r="G185" i="44"/>
  <c r="E168" i="44"/>
  <c r="G168" i="44"/>
  <c r="E197" i="44"/>
  <c r="G197" i="44"/>
  <c r="E172" i="44"/>
  <c r="G172" i="44"/>
  <c r="E166" i="44"/>
  <c r="G166" i="44"/>
  <c r="E158" i="44"/>
  <c r="G158" i="44"/>
  <c r="E159" i="44"/>
  <c r="E160" i="44"/>
  <c r="E164" i="44"/>
  <c r="E165" i="44"/>
  <c r="E163" i="44"/>
  <c r="E161" i="44"/>
  <c r="E162" i="44"/>
  <c r="E157" i="44"/>
  <c r="X26" i="81"/>
  <c r="E9" i="44"/>
  <c r="R144" i="44"/>
  <c r="R141" i="44"/>
  <c r="C141" i="44"/>
  <c r="R127" i="44"/>
  <c r="C127" i="44"/>
  <c r="R147" i="44"/>
  <c r="C147" i="44"/>
  <c r="R143" i="44"/>
  <c r="R121" i="44"/>
  <c r="R89" i="44"/>
  <c r="C89" i="44"/>
  <c r="R145" i="44"/>
  <c r="C145" i="44"/>
  <c r="R87" i="44"/>
  <c r="R150" i="44"/>
  <c r="C150" i="44"/>
  <c r="R86" i="44"/>
  <c r="C86" i="44"/>
  <c r="R158" i="44"/>
  <c r="C158" i="44"/>
  <c r="R92" i="44"/>
  <c r="C92" i="44"/>
  <c r="R155" i="44"/>
  <c r="R114" i="44"/>
  <c r="C114" i="44"/>
  <c r="R148" i="44"/>
  <c r="R90" i="44"/>
  <c r="C90" i="44"/>
  <c r="R85" i="44"/>
  <c r="C85" i="44"/>
  <c r="R98" i="44"/>
  <c r="C98" i="44"/>
  <c r="R107" i="44"/>
  <c r="R116" i="44"/>
  <c r="C116" i="44"/>
  <c r="R111" i="44"/>
  <c r="C111" i="44"/>
  <c r="R159" i="44"/>
  <c r="C159" i="44"/>
  <c r="R157" i="44"/>
  <c r="C157" i="44"/>
  <c r="R101" i="44"/>
  <c r="C101" i="44"/>
  <c r="R135" i="44"/>
  <c r="C135" i="44"/>
  <c r="R152" i="44"/>
  <c r="C152" i="44"/>
  <c r="R120" i="44"/>
  <c r="C120" i="44"/>
  <c r="R99" i="44"/>
  <c r="C99" i="44"/>
  <c r="R106" i="44"/>
  <c r="C106" i="44"/>
  <c r="R119" i="44"/>
  <c r="C119" i="44"/>
  <c r="R194" i="44"/>
  <c r="C194" i="44"/>
  <c r="R189" i="44"/>
  <c r="C189" i="44"/>
  <c r="R184" i="44"/>
  <c r="C184" i="44"/>
  <c r="R174" i="44"/>
  <c r="C174" i="44"/>
  <c r="R122" i="44"/>
  <c r="C122" i="44"/>
  <c r="R196" i="44"/>
  <c r="C196" i="44"/>
  <c r="R176" i="44"/>
  <c r="C176" i="44"/>
  <c r="R170" i="44"/>
  <c r="C170" i="44"/>
  <c r="R117" i="44"/>
  <c r="C117" i="44"/>
  <c r="R160" i="44"/>
  <c r="C160" i="44"/>
  <c r="R124" i="44"/>
  <c r="R173" i="44"/>
  <c r="C173" i="44"/>
  <c r="R195" i="44"/>
  <c r="C195" i="44"/>
  <c r="R187" i="44"/>
  <c r="C187" i="44"/>
  <c r="R178" i="44"/>
  <c r="C178" i="44"/>
  <c r="R104" i="44"/>
  <c r="C104" i="44"/>
  <c r="R131" i="44"/>
  <c r="C131" i="44"/>
  <c r="R118" i="44"/>
  <c r="C118" i="44"/>
  <c r="R186" i="44"/>
  <c r="C186" i="44"/>
  <c r="R182" i="44"/>
  <c r="C182" i="44"/>
  <c r="R133" i="44"/>
  <c r="C133" i="44"/>
  <c r="R180" i="44"/>
  <c r="C180" i="44"/>
  <c r="R175" i="44"/>
  <c r="C175" i="44"/>
  <c r="R138" i="44"/>
  <c r="C138" i="44"/>
  <c r="R191" i="44"/>
  <c r="C191" i="44"/>
  <c r="R190" i="44"/>
  <c r="C190" i="44"/>
  <c r="R183" i="44"/>
  <c r="C183" i="44"/>
  <c r="R88" i="44"/>
  <c r="C88" i="44"/>
  <c r="R137" i="44"/>
  <c r="C137" i="44"/>
  <c r="R134" i="44"/>
  <c r="C134" i="44"/>
  <c r="R113" i="44"/>
  <c r="C113" i="44"/>
  <c r="R102" i="44"/>
  <c r="R154" i="44"/>
  <c r="R96" i="44"/>
  <c r="C96" i="44"/>
  <c r="R112" i="44"/>
  <c r="C112" i="44"/>
  <c r="R153" i="44"/>
  <c r="R126" i="44"/>
  <c r="C126" i="44"/>
  <c r="R103" i="44"/>
  <c r="C103" i="44"/>
  <c r="R110" i="44"/>
  <c r="C110" i="44"/>
  <c r="R151" i="44"/>
  <c r="C151" i="44"/>
  <c r="R140" i="44"/>
  <c r="C140" i="44"/>
  <c r="R93" i="44"/>
  <c r="R132" i="44"/>
  <c r="C132" i="44"/>
  <c r="R129" i="44"/>
  <c r="C129" i="44"/>
  <c r="R149" i="44"/>
  <c r="R146" i="44"/>
  <c r="C146" i="44"/>
  <c r="R128" i="44"/>
  <c r="C128" i="44"/>
  <c r="R156" i="44"/>
  <c r="C156" i="44"/>
  <c r="R142" i="44"/>
  <c r="C142" i="44"/>
  <c r="R115" i="44"/>
  <c r="C115" i="44"/>
  <c r="R125" i="44"/>
  <c r="C125" i="44"/>
  <c r="R130" i="44"/>
  <c r="R201" i="44"/>
  <c r="C201" i="44"/>
  <c r="R136" i="44"/>
  <c r="R181" i="44"/>
  <c r="C181" i="44"/>
  <c r="R179" i="44"/>
  <c r="C179" i="44"/>
  <c r="R199" i="44"/>
  <c r="C199" i="44"/>
  <c r="R188" i="44"/>
  <c r="C188" i="44"/>
  <c r="R123" i="44"/>
  <c r="C123" i="44"/>
  <c r="R164" i="44"/>
  <c r="C164" i="44"/>
  <c r="R200" i="44"/>
  <c r="C200" i="44"/>
  <c r="R97" i="44"/>
  <c r="C97" i="44"/>
  <c r="R169" i="44"/>
  <c r="C169" i="44"/>
  <c r="R165" i="44"/>
  <c r="C165" i="44"/>
  <c r="R192" i="44"/>
  <c r="C192" i="44"/>
  <c r="R171" i="44"/>
  <c r="C171" i="44"/>
  <c r="R100" i="44"/>
  <c r="C100" i="44"/>
  <c r="R193" i="44"/>
  <c r="C193" i="44"/>
  <c r="R91" i="44"/>
  <c r="C91" i="44"/>
  <c r="R177" i="44"/>
  <c r="C177" i="44"/>
  <c r="R167" i="44"/>
  <c r="C167" i="44"/>
  <c r="R163" i="44"/>
  <c r="C163" i="44"/>
  <c r="R198" i="44"/>
  <c r="C198" i="44"/>
  <c r="R185" i="44"/>
  <c r="C185" i="44"/>
  <c r="R95" i="44"/>
  <c r="C95" i="44"/>
  <c r="R168" i="44"/>
  <c r="C168" i="44"/>
  <c r="R161" i="44"/>
  <c r="C161" i="44"/>
  <c r="R197" i="44"/>
  <c r="C197" i="44"/>
  <c r="R105" i="44"/>
  <c r="R172" i="44"/>
  <c r="C172" i="44"/>
  <c r="R166" i="44"/>
  <c r="C166" i="44"/>
  <c r="R162" i="44"/>
  <c r="C162" i="44"/>
  <c r="R139" i="44"/>
  <c r="R65" i="44"/>
  <c r="C65" i="44"/>
  <c r="R70" i="44"/>
  <c r="R53" i="44"/>
  <c r="C53" i="44"/>
  <c r="R79" i="44"/>
  <c r="C79" i="44"/>
  <c r="R73" i="44"/>
  <c r="C73" i="44"/>
  <c r="R77" i="44"/>
  <c r="C77" i="44"/>
  <c r="R59" i="44"/>
  <c r="R60" i="44"/>
  <c r="C60" i="44"/>
  <c r="R57" i="44"/>
  <c r="C57" i="44"/>
  <c r="R66" i="44"/>
  <c r="C66" i="44"/>
  <c r="R81" i="44"/>
  <c r="R74" i="44"/>
  <c r="C74" i="44"/>
  <c r="R58" i="44"/>
  <c r="C58" i="44"/>
  <c r="R46" i="44"/>
  <c r="R64" i="44"/>
  <c r="C64" i="44"/>
  <c r="R51" i="44"/>
  <c r="R54" i="44"/>
  <c r="C54" i="44"/>
  <c r="R76" i="44"/>
  <c r="C76" i="44"/>
  <c r="R47" i="44"/>
  <c r="C47" i="44"/>
  <c r="R55" i="44"/>
  <c r="C55" i="44"/>
  <c r="R71" i="44"/>
  <c r="C71" i="44"/>
  <c r="R67" i="44"/>
  <c r="C67" i="44"/>
  <c r="R62" i="44"/>
  <c r="C62" i="44"/>
  <c r="R50" i="44"/>
  <c r="R52" i="44"/>
  <c r="C52" i="44"/>
  <c r="R56" i="44"/>
  <c r="C56" i="44"/>
  <c r="R84" i="44"/>
  <c r="C84" i="44"/>
  <c r="R61" i="44"/>
  <c r="C61" i="44"/>
  <c r="R72" i="44"/>
  <c r="C72" i="44"/>
  <c r="R78" i="44"/>
  <c r="C78" i="44"/>
  <c r="R82" i="44"/>
  <c r="R49" i="44"/>
  <c r="C49" i="44"/>
  <c r="R75" i="44"/>
  <c r="C75" i="44"/>
  <c r="R68" i="44"/>
  <c r="R69" i="44"/>
  <c r="C69" i="44"/>
  <c r="R83" i="44"/>
  <c r="R63" i="44"/>
  <c r="R30" i="44"/>
  <c r="C30" i="44"/>
  <c r="R44" i="44"/>
  <c r="C44" i="44"/>
  <c r="R43" i="44"/>
  <c r="C43" i="44"/>
  <c r="R38" i="44"/>
  <c r="R42" i="44"/>
  <c r="C42" i="44"/>
  <c r="R34" i="44"/>
  <c r="C34" i="44"/>
  <c r="R39" i="44"/>
  <c r="C39" i="44"/>
  <c r="R32" i="44"/>
  <c r="R45" i="44"/>
  <c r="R36" i="44"/>
  <c r="C36" i="44"/>
  <c r="R28" i="44"/>
  <c r="R35" i="44"/>
  <c r="C35" i="44"/>
  <c r="R33" i="44"/>
  <c r="C33" i="44"/>
  <c r="R18" i="44"/>
  <c r="C18" i="44"/>
  <c r="R26" i="44"/>
  <c r="C26" i="44"/>
  <c r="R24" i="44"/>
  <c r="C24" i="44"/>
  <c r="R23" i="44"/>
  <c r="C23" i="44"/>
  <c r="R14" i="44"/>
  <c r="C14" i="44"/>
  <c r="R25" i="44"/>
  <c r="C25" i="44"/>
  <c r="R11" i="44"/>
  <c r="R20" i="44"/>
  <c r="C20" i="44"/>
  <c r="R13" i="44"/>
  <c r="R9" i="44"/>
  <c r="S162" i="44" s="1"/>
  <c r="C9" i="44"/>
  <c r="P141" i="44"/>
  <c r="P45" i="44"/>
  <c r="P127" i="44"/>
  <c r="P147" i="44"/>
  <c r="P143" i="44"/>
  <c r="P121" i="44"/>
  <c r="P53" i="44"/>
  <c r="P25" i="44"/>
  <c r="P11" i="44"/>
  <c r="P145" i="44"/>
  <c r="P87" i="44"/>
  <c r="P150" i="44"/>
  <c r="P56" i="44"/>
  <c r="P158" i="44"/>
  <c r="P155" i="44"/>
  <c r="P114" i="44"/>
  <c r="P36" i="44"/>
  <c r="P28" i="44"/>
  <c r="P148" i="44"/>
  <c r="P85" i="44"/>
  <c r="P61" i="44"/>
  <c r="P78" i="44"/>
  <c r="P107" i="44"/>
  <c r="P33" i="44"/>
  <c r="P116" i="44"/>
  <c r="P111" i="44"/>
  <c r="P157" i="44"/>
  <c r="P101" i="44"/>
  <c r="P135" i="44"/>
  <c r="P152" i="44"/>
  <c r="P68" i="44"/>
  <c r="P69" i="44"/>
  <c r="P120" i="44"/>
  <c r="P63" i="44"/>
  <c r="P106" i="44"/>
  <c r="P119" i="44"/>
  <c r="P189" i="44"/>
  <c r="P196" i="44"/>
  <c r="P176" i="44"/>
  <c r="P170" i="44"/>
  <c r="P178" i="44"/>
  <c r="P131" i="44"/>
  <c r="P186" i="44"/>
  <c r="P138" i="44"/>
  <c r="P183" i="44"/>
  <c r="P137" i="44"/>
  <c r="P144" i="44"/>
  <c r="P113" i="44"/>
  <c r="P154" i="44"/>
  <c r="P153" i="44"/>
  <c r="P59" i="44"/>
  <c r="P57" i="44"/>
  <c r="P126" i="44"/>
  <c r="P30" i="44"/>
  <c r="P24" i="44"/>
  <c r="P110" i="44"/>
  <c r="P151" i="44"/>
  <c r="P140" i="44"/>
  <c r="P93" i="44"/>
  <c r="P51" i="44"/>
  <c r="P54" i="44"/>
  <c r="P129" i="44"/>
  <c r="P149" i="44"/>
  <c r="P146" i="44"/>
  <c r="P47" i="44"/>
  <c r="P128" i="44"/>
  <c r="P156" i="44"/>
  <c r="P142" i="44"/>
  <c r="P67" i="44"/>
  <c r="P115" i="44"/>
  <c r="P62" i="44"/>
  <c r="P32" i="44"/>
  <c r="P50" i="44"/>
  <c r="P130" i="44"/>
  <c r="P136" i="44"/>
  <c r="P199" i="44"/>
  <c r="P192" i="44"/>
  <c r="P91" i="44"/>
  <c r="P167" i="44"/>
  <c r="P163" i="44"/>
  <c r="P95" i="44"/>
  <c r="P161" i="44"/>
  <c r="P162" i="44"/>
  <c r="V10" i="81"/>
  <c r="P102" i="44"/>
  <c r="AP19" i="78"/>
  <c r="P96" i="44"/>
  <c r="AJ11" i="83"/>
  <c r="P18" i="44"/>
  <c r="AJ10" i="61"/>
  <c r="P26" i="44"/>
  <c r="AJ17" i="82"/>
  <c r="P73" i="44"/>
  <c r="AL9" i="83"/>
  <c r="P112" i="44"/>
  <c r="T27" i="81"/>
  <c r="P77" i="44"/>
  <c r="AN12" i="82"/>
  <c r="P60" i="44"/>
  <c r="X10" i="81"/>
  <c r="P103" i="44"/>
  <c r="AJ8" i="83"/>
  <c r="P66" i="44"/>
  <c r="AL9" i="82"/>
  <c r="P81" i="44"/>
  <c r="AL17" i="82"/>
  <c r="P74" i="44"/>
  <c r="AN11" i="82"/>
  <c r="P58" i="44"/>
  <c r="V26" i="81"/>
  <c r="P46" i="44"/>
  <c r="AL10" i="83"/>
  <c r="P64" i="44"/>
  <c r="AJ14" i="61"/>
  <c r="P23" i="44"/>
  <c r="AL20" i="78"/>
  <c r="P132" i="44"/>
  <c r="X19" i="81"/>
  <c r="R19" i="81" s="1"/>
  <c r="P44" i="44"/>
  <c r="AJ19" i="61"/>
  <c r="P76" i="44"/>
  <c r="AJ11" i="61"/>
  <c r="P43" i="44"/>
  <c r="AJ21" i="61"/>
  <c r="P55" i="44"/>
  <c r="X25" i="81"/>
  <c r="P14" i="44"/>
  <c r="AJ12" i="82"/>
  <c r="P71" i="44"/>
  <c r="AL14" i="83"/>
  <c r="P38" i="44"/>
  <c r="V15" i="81"/>
  <c r="P42" i="44"/>
  <c r="T10" i="81"/>
  <c r="P125" i="44"/>
  <c r="AN25" i="82"/>
  <c r="P34" i="44"/>
  <c r="AL11" i="83"/>
  <c r="P39" i="44"/>
  <c r="AL8" i="83"/>
  <c r="AH8" i="83" s="1"/>
  <c r="P52" i="44"/>
  <c r="P201" i="44"/>
  <c r="A181" i="44"/>
  <c r="P181" i="44"/>
  <c r="A179" i="44"/>
  <c r="P179" i="44"/>
  <c r="A188" i="44"/>
  <c r="P188" i="44"/>
  <c r="V21" i="81"/>
  <c r="P123" i="44"/>
  <c r="A164" i="44"/>
  <c r="P164" i="44"/>
  <c r="P200" i="44"/>
  <c r="AJ14" i="82"/>
  <c r="P97" i="44"/>
  <c r="A169" i="44"/>
  <c r="P169" i="44"/>
  <c r="A165" i="44"/>
  <c r="P165" i="44"/>
  <c r="P171" i="44"/>
  <c r="AJ16" i="82"/>
  <c r="P100" i="44"/>
  <c r="A193" i="44"/>
  <c r="P193" i="44"/>
  <c r="P177" i="44"/>
  <c r="A198" i="44"/>
  <c r="P198" i="44"/>
  <c r="A185" i="44"/>
  <c r="P185" i="44"/>
  <c r="A168" i="44"/>
  <c r="P168" i="44"/>
  <c r="A197" i="44"/>
  <c r="P197" i="44"/>
  <c r="V9" i="81"/>
  <c r="P105" i="44"/>
  <c r="P172" i="44"/>
  <c r="A166" i="44"/>
  <c r="P166" i="44"/>
  <c r="AJ33" i="83"/>
  <c r="P139" i="44"/>
  <c r="AL21" i="78"/>
  <c r="P134" i="44"/>
  <c r="X15" i="81"/>
  <c r="P65" i="44"/>
  <c r="AN20" i="82"/>
  <c r="AH20" i="82" s="1"/>
  <c r="P70" i="44"/>
  <c r="AL32" i="83"/>
  <c r="P89" i="44"/>
  <c r="AJ10" i="83"/>
  <c r="P79" i="44"/>
  <c r="AJ13" i="61"/>
  <c r="P20" i="44"/>
  <c r="AN17" i="82"/>
  <c r="P86" i="44"/>
  <c r="AJ9" i="83"/>
  <c r="P92" i="44"/>
  <c r="AN14" i="82"/>
  <c r="P90" i="44"/>
  <c r="AL14" i="82"/>
  <c r="P84" i="44"/>
  <c r="AN7" i="82"/>
  <c r="P35" i="44"/>
  <c r="AL17" i="83"/>
  <c r="P98" i="44"/>
  <c r="AJ13" i="83"/>
  <c r="P72" i="44"/>
  <c r="AL24" i="83"/>
  <c r="P82" i="44"/>
  <c r="P159" i="44"/>
  <c r="T15" i="81"/>
  <c r="P49" i="44"/>
  <c r="AJ15" i="61"/>
  <c r="P75" i="44"/>
  <c r="T25" i="81"/>
  <c r="P13" i="44"/>
  <c r="AJ23" i="82"/>
  <c r="P83" i="44"/>
  <c r="B99" i="44"/>
  <c r="P99" i="44"/>
  <c r="A194" i="44"/>
  <c r="P194" i="44"/>
  <c r="P184" i="44"/>
  <c r="A174" i="44"/>
  <c r="P174" i="44"/>
  <c r="T21" i="81"/>
  <c r="P122" i="44"/>
  <c r="B117" i="44"/>
  <c r="P117" i="44"/>
  <c r="A160" i="44"/>
  <c r="P160" i="44"/>
  <c r="X21" i="81"/>
  <c r="P124" i="44"/>
  <c r="P173" i="44"/>
  <c r="A195" i="44"/>
  <c r="P195" i="44"/>
  <c r="P187" i="44"/>
  <c r="T9" i="81"/>
  <c r="P104" i="44"/>
  <c r="V27" i="81"/>
  <c r="P118" i="44"/>
  <c r="A182" i="44"/>
  <c r="P182" i="44"/>
  <c r="B133" i="44"/>
  <c r="P133" i="44"/>
  <c r="A180" i="44"/>
  <c r="P180" i="44"/>
  <c r="A175" i="44"/>
  <c r="P175" i="44"/>
  <c r="P191" i="44"/>
  <c r="P190" i="44"/>
  <c r="AL12" i="82"/>
  <c r="P88" i="44"/>
  <c r="P9" i="44"/>
  <c r="F121" i="44"/>
  <c r="F163" i="44"/>
  <c r="F130" i="44"/>
  <c r="D143" i="44"/>
  <c r="D144" i="44"/>
  <c r="D102" i="44"/>
  <c r="D154" i="44"/>
  <c r="D87" i="44"/>
  <c r="D81" i="44"/>
  <c r="D155" i="44"/>
  <c r="D148" i="44"/>
  <c r="F90" i="44"/>
  <c r="D149" i="44"/>
  <c r="D107" i="44"/>
  <c r="D82" i="44"/>
  <c r="D194" i="44"/>
  <c r="D160" i="44"/>
  <c r="D195" i="44"/>
  <c r="F178" i="44"/>
  <c r="D169" i="44"/>
  <c r="D182" i="44"/>
  <c r="D180" i="44"/>
  <c r="D198" i="44"/>
  <c r="D168" i="44"/>
  <c r="D197" i="44"/>
  <c r="D105" i="44"/>
  <c r="D166" i="44"/>
  <c r="D153" i="44"/>
  <c r="D93" i="44"/>
  <c r="D159" i="44"/>
  <c r="D83" i="44"/>
  <c r="D174" i="44"/>
  <c r="D136" i="44"/>
  <c r="D181" i="44"/>
  <c r="D179" i="44"/>
  <c r="D124" i="44"/>
  <c r="D188" i="44"/>
  <c r="D164" i="44"/>
  <c r="D165" i="44"/>
  <c r="F192" i="44"/>
  <c r="D193" i="44"/>
  <c r="F91" i="44"/>
  <c r="D175" i="44"/>
  <c r="D185" i="44"/>
  <c r="F161" i="44"/>
  <c r="D139" i="44"/>
  <c r="F65" i="44"/>
  <c r="D11" i="44"/>
  <c r="F24" i="44"/>
  <c r="D28" i="44"/>
  <c r="F67" i="44"/>
  <c r="D13" i="44"/>
  <c r="D68" i="44"/>
  <c r="D32" i="44"/>
  <c r="D63" i="44"/>
  <c r="D45" i="44"/>
  <c r="D70" i="44"/>
  <c r="D59" i="44"/>
  <c r="D46" i="44"/>
  <c r="D51" i="44"/>
  <c r="F71" i="44"/>
  <c r="D38" i="44"/>
  <c r="D50" i="44"/>
  <c r="AH309" i="61"/>
  <c r="AH18" i="61"/>
  <c r="AH311" i="61"/>
  <c r="AH20" i="61"/>
  <c r="AH317" i="61"/>
  <c r="AH26" i="61"/>
  <c r="AH308" i="61"/>
  <c r="AH17" i="61"/>
  <c r="AH315" i="61"/>
  <c r="AH24" i="61"/>
  <c r="AH314" i="61"/>
  <c r="AH23" i="61"/>
  <c r="AH318" i="61"/>
  <c r="AH27" i="61"/>
  <c r="X20" i="81"/>
  <c r="AJ22" i="61"/>
  <c r="AH316" i="61"/>
  <c r="AH25" i="61"/>
  <c r="AH307" i="61"/>
  <c r="AH16" i="61"/>
  <c r="AJ8" i="82"/>
  <c r="AJ12" i="61"/>
  <c r="T20" i="81"/>
  <c r="AJ9" i="61"/>
  <c r="AL18" i="82"/>
  <c r="V25" i="81"/>
  <c r="R25" i="81" s="1"/>
  <c r="B95" i="44"/>
  <c r="T26" i="81"/>
  <c r="R26" i="81" s="1"/>
  <c r="AL13" i="82"/>
  <c r="V20" i="81"/>
  <c r="B119" i="44"/>
  <c r="X27" i="81"/>
  <c r="AJ11" i="82"/>
  <c r="T14" i="81"/>
  <c r="AJ21" i="82"/>
  <c r="AH21" i="82" s="1"/>
  <c r="T8" i="81"/>
  <c r="AJ32" i="83"/>
  <c r="X14" i="81"/>
  <c r="AJ19" i="82"/>
  <c r="V8" i="81"/>
  <c r="AJ9" i="82"/>
  <c r="AL13" i="83"/>
  <c r="AN8" i="82"/>
  <c r="AL33" i="83"/>
  <c r="AN16" i="82"/>
  <c r="AP21" i="83"/>
  <c r="AN13" i="82"/>
  <c r="AJ23" i="83"/>
  <c r="AJ18" i="82"/>
  <c r="AL28" i="83"/>
  <c r="AN22" i="82"/>
  <c r="AJ12" i="83"/>
  <c r="AL19" i="82"/>
  <c r="AJ21" i="83"/>
  <c r="AH21" i="83" s="1"/>
  <c r="AJ13" i="82"/>
  <c r="AH13" i="82" s="1"/>
  <c r="AJ14" i="83"/>
  <c r="AJ22" i="82"/>
  <c r="AL15" i="83"/>
  <c r="AN23" i="82"/>
  <c r="AJ17" i="83"/>
  <c r="AL8" i="82"/>
  <c r="AH8" i="82" s="1"/>
  <c r="AL18" i="83"/>
  <c r="AH18" i="83" s="1"/>
  <c r="AN10" i="82"/>
  <c r="AL30" i="83"/>
  <c r="AL25" i="82"/>
  <c r="AL23" i="83"/>
  <c r="AN18" i="82"/>
  <c r="AJ27" i="83"/>
  <c r="AJ25" i="82"/>
  <c r="AJ20" i="83"/>
  <c r="AJ10" i="82"/>
  <c r="AJ28" i="83"/>
  <c r="AH28" i="83" s="1"/>
  <c r="AL22" i="82"/>
  <c r="AH22" i="82" s="1"/>
  <c r="AJ26" i="83"/>
  <c r="AL16" i="82"/>
  <c r="AL26" i="83"/>
  <c r="AJ24" i="83"/>
  <c r="B131" i="44"/>
  <c r="AL19" i="83"/>
  <c r="AH19" i="83" s="1"/>
  <c r="B138" i="44"/>
  <c r="AJ30" i="83"/>
  <c r="AJ25" i="83"/>
  <c r="AJ22" i="83"/>
  <c r="AL20" i="83"/>
  <c r="AH20" i="83" s="1"/>
  <c r="AL27" i="83"/>
  <c r="A189" i="44"/>
  <c r="B189" i="44"/>
  <c r="B184" i="44"/>
  <c r="A184" i="44"/>
  <c r="B122" i="44"/>
  <c r="A196" i="44"/>
  <c r="B196" i="44"/>
  <c r="A176" i="44"/>
  <c r="B176" i="44"/>
  <c r="B170" i="44"/>
  <c r="A170" i="44"/>
  <c r="A124" i="44"/>
  <c r="B173" i="44"/>
  <c r="A173" i="44"/>
  <c r="B187" i="44"/>
  <c r="A187" i="44"/>
  <c r="B178" i="44"/>
  <c r="A178" i="44"/>
  <c r="B104" i="44"/>
  <c r="B118" i="44"/>
  <c r="B186" i="44"/>
  <c r="A186" i="44"/>
  <c r="A191" i="44"/>
  <c r="B191" i="44"/>
  <c r="A190" i="44"/>
  <c r="B190" i="44"/>
  <c r="A183" i="44"/>
  <c r="B183" i="44"/>
  <c r="B88" i="44"/>
  <c r="B201" i="44"/>
  <c r="A201" i="44"/>
  <c r="S16" i="31"/>
  <c r="Q16" i="31" s="1"/>
  <c r="A136" i="44"/>
  <c r="A199" i="44"/>
  <c r="B199" i="44"/>
  <c r="B123" i="44"/>
  <c r="A200" i="44"/>
  <c r="B200" i="44"/>
  <c r="B97" i="44"/>
  <c r="B192" i="44"/>
  <c r="A192" i="44"/>
  <c r="A171" i="44"/>
  <c r="B171" i="44"/>
  <c r="B100" i="44"/>
  <c r="B91" i="44"/>
  <c r="A177" i="44"/>
  <c r="B177" i="44"/>
  <c r="A167" i="44"/>
  <c r="B167" i="44"/>
  <c r="D163" i="44"/>
  <c r="A163" i="44"/>
  <c r="A161" i="44"/>
  <c r="B161" i="44"/>
  <c r="R11" i="81"/>
  <c r="A105" i="44"/>
  <c r="A172" i="44"/>
  <c r="B172" i="44"/>
  <c r="B162" i="44"/>
  <c r="A162" i="44"/>
  <c r="A139" i="44"/>
  <c r="AN12" i="77"/>
  <c r="AH31" i="83"/>
  <c r="AH16" i="83"/>
  <c r="S26" i="67"/>
  <c r="Q26" i="67" s="1"/>
  <c r="S25" i="67"/>
  <c r="Q25" i="67" s="1"/>
  <c r="AL7" i="82"/>
  <c r="AL7" i="83"/>
  <c r="AH29" i="83"/>
  <c r="AJ7" i="82"/>
  <c r="AJ7" i="83"/>
  <c r="AJ10" i="77"/>
  <c r="AN29" i="76"/>
  <c r="T7" i="81"/>
  <c r="S18" i="67"/>
  <c r="Q18" i="67" s="1"/>
  <c r="S24" i="67"/>
  <c r="Q24" i="67" s="1"/>
  <c r="S23" i="67"/>
  <c r="Q23" i="67" s="1"/>
  <c r="AJ18" i="78"/>
  <c r="AL22" i="79"/>
  <c r="AJ12" i="79"/>
  <c r="AH12" i="79" s="1"/>
  <c r="R16" i="81"/>
  <c r="R18" i="81"/>
  <c r="AL7" i="79"/>
  <c r="AJ20" i="79"/>
  <c r="AJ14" i="79"/>
  <c r="AL12" i="77"/>
  <c r="AJ13" i="79"/>
  <c r="AH13" i="79" s="1"/>
  <c r="V7" i="81"/>
  <c r="AL24" i="79"/>
  <c r="X7" i="81"/>
  <c r="S28" i="67"/>
  <c r="Q28" i="67" s="1"/>
  <c r="AL20" i="79"/>
  <c r="AJ17" i="79"/>
  <c r="AN14" i="77"/>
  <c r="S20" i="67"/>
  <c r="Q20" i="67" s="1"/>
  <c r="AL9" i="79"/>
  <c r="AL10" i="77"/>
  <c r="B52" i="44"/>
  <c r="AJ23" i="79"/>
  <c r="AN19" i="78"/>
  <c r="AJ15" i="79"/>
  <c r="S15" i="67"/>
  <c r="Q15" i="67" s="1"/>
  <c r="AL14" i="79"/>
  <c r="S10" i="67"/>
  <c r="Q10" i="67" s="1"/>
  <c r="AH11" i="75"/>
  <c r="AJ22" i="79"/>
  <c r="AJ19" i="79"/>
  <c r="AL17" i="79"/>
  <c r="AL16" i="79"/>
  <c r="AJ16" i="79"/>
  <c r="AJ9" i="79"/>
  <c r="AL14" i="78"/>
  <c r="AL15" i="79"/>
  <c r="AL10" i="78"/>
  <c r="AL10" i="79"/>
  <c r="S7" i="31"/>
  <c r="Q7" i="31" s="1"/>
  <c r="AJ7" i="79"/>
  <c r="AL19" i="78"/>
  <c r="AL19" i="79"/>
  <c r="AL12" i="78"/>
  <c r="AL23" i="79"/>
  <c r="AJ10" i="78"/>
  <c r="AH10" i="78" s="1"/>
  <c r="AJ10" i="79"/>
  <c r="AH10" i="79" s="1"/>
  <c r="S21" i="67"/>
  <c r="Q21" i="67" s="1"/>
  <c r="AL11" i="79"/>
  <c r="S11" i="31"/>
  <c r="Q11" i="31" s="1"/>
  <c r="AJ11" i="79"/>
  <c r="AH11" i="79" s="1"/>
  <c r="AJ8" i="78"/>
  <c r="AH8" i="78" s="1"/>
  <c r="AJ8" i="79"/>
  <c r="AH8" i="79" s="1"/>
  <c r="S13" i="67"/>
  <c r="Q13" i="67" s="1"/>
  <c r="AJ21" i="79"/>
  <c r="AH21" i="79" s="1"/>
  <c r="S15" i="31"/>
  <c r="Q15" i="31" s="1"/>
  <c r="AL18" i="79"/>
  <c r="AH18" i="79" s="1"/>
  <c r="S13" i="31"/>
  <c r="Q13" i="31" s="1"/>
  <c r="AJ24" i="79"/>
  <c r="AH24" i="79" s="1"/>
  <c r="AL9" i="77"/>
  <c r="S9" i="31"/>
  <c r="Q9" i="31" s="1"/>
  <c r="AL14" i="77"/>
  <c r="S14" i="67"/>
  <c r="Q14" i="67" s="1"/>
  <c r="AL8" i="77"/>
  <c r="S16" i="67"/>
  <c r="Q16" i="67" s="1"/>
  <c r="AJ11" i="77"/>
  <c r="S9" i="67"/>
  <c r="Q9" i="67" s="1"/>
  <c r="AJ14" i="77"/>
  <c r="S30" i="67"/>
  <c r="Q30" i="67" s="1"/>
  <c r="AN7" i="77"/>
  <c r="S7" i="67"/>
  <c r="Q7" i="67" s="1"/>
  <c r="AH11" i="77"/>
  <c r="AH12" i="75"/>
  <c r="AH16" i="69"/>
  <c r="AJ20" i="78"/>
  <c r="AH20" i="78" s="1"/>
  <c r="AJ19" i="78"/>
  <c r="A130" i="44"/>
  <c r="D130" i="44"/>
  <c r="AN17" i="77"/>
  <c r="B106" i="44"/>
  <c r="AH16" i="78"/>
  <c r="AH15" i="77"/>
  <c r="AL17" i="78"/>
  <c r="AL18" i="78"/>
  <c r="AJ17" i="78"/>
  <c r="AH17" i="78" s="1"/>
  <c r="AJ13" i="78"/>
  <c r="AL13" i="78"/>
  <c r="AH7" i="75"/>
  <c r="AL7" i="77"/>
  <c r="AL7" i="78"/>
  <c r="AJ7" i="77"/>
  <c r="AJ7" i="78"/>
  <c r="AH7" i="78" s="1"/>
  <c r="AJ13" i="77"/>
  <c r="AH13" i="77" s="1"/>
  <c r="AJ21" i="78"/>
  <c r="AJ16" i="77"/>
  <c r="AH16" i="77" s="1"/>
  <c r="AJ14" i="78"/>
  <c r="AN8" i="77"/>
  <c r="AL11" i="78"/>
  <c r="AL17" i="77"/>
  <c r="AL15" i="78"/>
  <c r="AH15" i="78" s="1"/>
  <c r="AJ9" i="77"/>
  <c r="AJ12" i="78"/>
  <c r="AJ12" i="77"/>
  <c r="AJ8" i="77"/>
  <c r="AJ11" i="78"/>
  <c r="AJ17" i="77"/>
  <c r="AJ9" i="78"/>
  <c r="AH9" i="78" s="1"/>
  <c r="AN202" i="44"/>
  <c r="AP202" i="44"/>
  <c r="AO202" i="44"/>
  <c r="A144" i="44"/>
  <c r="B141" i="44"/>
  <c r="AJ7" i="76"/>
  <c r="B18" i="44"/>
  <c r="AL7" i="69"/>
  <c r="B127" i="44"/>
  <c r="AL18" i="75"/>
  <c r="B112" i="44"/>
  <c r="A153" i="44"/>
  <c r="B77" i="44"/>
  <c r="AN16" i="75"/>
  <c r="AL30" i="76"/>
  <c r="AJ16" i="51"/>
  <c r="AH16" i="51" s="1"/>
  <c r="A59" i="44"/>
  <c r="AL13" i="75"/>
  <c r="AJ20" i="76"/>
  <c r="AH20" i="76" s="1"/>
  <c r="B60" i="44"/>
  <c r="AJ20" i="69"/>
  <c r="AH20" i="69" s="1"/>
  <c r="B57" i="44"/>
  <c r="AJ303" i="61"/>
  <c r="AJ8" i="76"/>
  <c r="AH8" i="76" s="1"/>
  <c r="AJ300" i="61"/>
  <c r="B25" i="44"/>
  <c r="AJ15" i="75"/>
  <c r="AJ9" i="76"/>
  <c r="AJ7" i="69"/>
  <c r="A11" i="44"/>
  <c r="B89" i="44"/>
  <c r="B103" i="44"/>
  <c r="B66" i="44"/>
  <c r="A81" i="44"/>
  <c r="B30" i="44"/>
  <c r="AL13" i="73"/>
  <c r="AL17" i="75"/>
  <c r="AJ23" i="76"/>
  <c r="AH23" i="76" s="1"/>
  <c r="AL14" i="73"/>
  <c r="B24" i="44"/>
  <c r="AJ21" i="69"/>
  <c r="AH21" i="69" s="1"/>
  <c r="AJ18" i="76"/>
  <c r="B110" i="44"/>
  <c r="AL22" i="76"/>
  <c r="B86" i="44"/>
  <c r="AL14" i="76"/>
  <c r="B74" i="44"/>
  <c r="AJ17" i="76"/>
  <c r="AH17" i="76" s="1"/>
  <c r="B58" i="44"/>
  <c r="B151" i="44"/>
  <c r="B140" i="44"/>
  <c r="AN18" i="73"/>
  <c r="A46" i="44"/>
  <c r="AN20" i="75"/>
  <c r="B64" i="44"/>
  <c r="A93" i="44"/>
  <c r="AJ14" i="69"/>
  <c r="AH14" i="69" s="1"/>
  <c r="AJ7" i="73"/>
  <c r="AH7" i="73" s="1"/>
  <c r="B36" i="44"/>
  <c r="AH9" i="75"/>
  <c r="B132" i="44"/>
  <c r="AL19" i="76"/>
  <c r="AH19" i="76" s="1"/>
  <c r="B44" i="44"/>
  <c r="B54" i="44"/>
  <c r="AJ18" i="73"/>
  <c r="AJ20" i="75"/>
  <c r="AJ30" i="76"/>
  <c r="B76" i="44"/>
  <c r="AJ319" i="61"/>
  <c r="AJ310" i="61"/>
  <c r="AJ14" i="75"/>
  <c r="AL24" i="76"/>
  <c r="B43" i="44"/>
  <c r="AJ302" i="61"/>
  <c r="AN13" i="75"/>
  <c r="B129" i="44"/>
  <c r="A149" i="44"/>
  <c r="B146" i="44"/>
  <c r="AJ21" i="76"/>
  <c r="AL17" i="73"/>
  <c r="B47" i="44"/>
  <c r="AL16" i="75"/>
  <c r="AL22" i="69"/>
  <c r="B78" i="44"/>
  <c r="A107" i="44"/>
  <c r="AL12" i="73"/>
  <c r="AH12" i="73" s="1"/>
  <c r="AJ24" i="76"/>
  <c r="B55" i="44"/>
  <c r="AJ312" i="61"/>
  <c r="AJ13" i="75"/>
  <c r="AL13" i="76"/>
  <c r="AN13" i="73"/>
  <c r="AL11" i="69"/>
  <c r="B14" i="44"/>
  <c r="AN17" i="75"/>
  <c r="AH10" i="75"/>
  <c r="AL18" i="76"/>
  <c r="B111" i="44"/>
  <c r="B157" i="44"/>
  <c r="AL25" i="76"/>
  <c r="AL15" i="73"/>
  <c r="B42" i="44"/>
  <c r="AL19" i="75"/>
  <c r="B115" i="44"/>
  <c r="AR14" i="75"/>
  <c r="AL16" i="76"/>
  <c r="AH16" i="76" s="1"/>
  <c r="B101" i="44"/>
  <c r="B125" i="44"/>
  <c r="B62" i="44"/>
  <c r="B34" i="44"/>
  <c r="AL18" i="73"/>
  <c r="AL20" i="75"/>
  <c r="B120" i="44"/>
  <c r="AN16" i="73"/>
  <c r="A83" i="44"/>
  <c r="AJ19" i="69"/>
  <c r="B134" i="44"/>
  <c r="B113" i="44"/>
  <c r="AP14" i="75"/>
  <c r="A102" i="44"/>
  <c r="A154" i="44"/>
  <c r="AN17" i="73"/>
  <c r="B96" i="44"/>
  <c r="AM140" i="44"/>
  <c r="B65" i="44"/>
  <c r="AN15" i="73"/>
  <c r="AN19" i="75"/>
  <c r="AL28" i="76"/>
  <c r="A45" i="44"/>
  <c r="AL15" i="69"/>
  <c r="AH15" i="69" s="1"/>
  <c r="AL10" i="69"/>
  <c r="A70" i="44"/>
  <c r="B26" i="44"/>
  <c r="AJ301" i="61"/>
  <c r="AJ14" i="76"/>
  <c r="B73" i="44"/>
  <c r="B147" i="44"/>
  <c r="A143" i="44"/>
  <c r="A121" i="44"/>
  <c r="AJ22" i="69"/>
  <c r="D121" i="44"/>
  <c r="AJ26" i="76"/>
  <c r="AJ16" i="73"/>
  <c r="B53" i="44"/>
  <c r="AH8" i="75"/>
  <c r="B126" i="44"/>
  <c r="AJ18" i="75"/>
  <c r="B145" i="44"/>
  <c r="AN10" i="76"/>
  <c r="A87" i="44"/>
  <c r="B150" i="44"/>
  <c r="B79" i="44"/>
  <c r="AL11" i="76"/>
  <c r="AH11" i="76" s="1"/>
  <c r="B56" i="44"/>
  <c r="AL19" i="69"/>
  <c r="AJ12" i="76"/>
  <c r="AJ304" i="61"/>
  <c r="B20" i="44"/>
  <c r="AJ12" i="69"/>
  <c r="AH12" i="69" s="1"/>
  <c r="B158" i="44"/>
  <c r="B92" i="44"/>
  <c r="A155" i="44"/>
  <c r="B114" i="44"/>
  <c r="AL23" i="69"/>
  <c r="AH23" i="69" s="1"/>
  <c r="A51" i="44"/>
  <c r="AL8" i="73"/>
  <c r="AH8" i="73" s="1"/>
  <c r="AJ12" i="51"/>
  <c r="AH12" i="51" s="1"/>
  <c r="AJ9" i="73"/>
  <c r="AH9" i="73" s="1"/>
  <c r="AJ13" i="69"/>
  <c r="AH13" i="69" s="1"/>
  <c r="A28" i="44"/>
  <c r="AL15" i="75"/>
  <c r="AL12" i="76"/>
  <c r="AJ305" i="61"/>
  <c r="AJ10" i="69"/>
  <c r="B23" i="44"/>
  <c r="A148" i="44"/>
  <c r="AM56" i="44"/>
  <c r="B90" i="44"/>
  <c r="B84" i="44"/>
  <c r="B35" i="44"/>
  <c r="B85" i="44"/>
  <c r="AJ14" i="73"/>
  <c r="AJ10" i="76"/>
  <c r="B61" i="44"/>
  <c r="B98" i="44"/>
  <c r="AJ15" i="76"/>
  <c r="AH15" i="76" s="1"/>
  <c r="B72" i="44"/>
  <c r="AL18" i="69"/>
  <c r="AH18" i="69" s="1"/>
  <c r="A82" i="44"/>
  <c r="AJ313" i="61"/>
  <c r="AN10" i="73"/>
  <c r="B33" i="44"/>
  <c r="AL24" i="69"/>
  <c r="AN15" i="75"/>
  <c r="AH27" i="76"/>
  <c r="AL21" i="76"/>
  <c r="B116" i="44"/>
  <c r="B128" i="44"/>
  <c r="AN18" i="75"/>
  <c r="A159" i="44"/>
  <c r="B156" i="44"/>
  <c r="B71" i="44"/>
  <c r="B142" i="44"/>
  <c r="AL9" i="76"/>
  <c r="A38" i="44"/>
  <c r="AL29" i="76"/>
  <c r="B67" i="44"/>
  <c r="AJ17" i="73"/>
  <c r="AJ16" i="75"/>
  <c r="AJ25" i="76"/>
  <c r="B49" i="44"/>
  <c r="AJ15" i="73"/>
  <c r="AJ19" i="75"/>
  <c r="B75" i="44"/>
  <c r="AJ306" i="61"/>
  <c r="AJ13" i="76"/>
  <c r="A13" i="44"/>
  <c r="AJ13" i="73"/>
  <c r="AJ11" i="69"/>
  <c r="AJ17" i="75"/>
  <c r="AL26" i="76"/>
  <c r="B135" i="44"/>
  <c r="B152" i="44"/>
  <c r="A68" i="44"/>
  <c r="B69" i="44"/>
  <c r="AL7" i="76"/>
  <c r="AL17" i="69"/>
  <c r="AH17" i="69" s="1"/>
  <c r="B39" i="44"/>
  <c r="AJ28" i="76"/>
  <c r="A32" i="44"/>
  <c r="AJ9" i="69"/>
  <c r="AH9" i="69" s="1"/>
  <c r="AJ22" i="76"/>
  <c r="AJ15" i="51"/>
  <c r="AH15" i="51" s="1"/>
  <c r="AJ24" i="69"/>
  <c r="A50" i="44"/>
  <c r="AL10" i="73"/>
  <c r="AL14" i="75"/>
  <c r="AJ10" i="73"/>
  <c r="AJ8" i="69"/>
  <c r="AH8" i="69" s="1"/>
  <c r="A63" i="44"/>
  <c r="AH11" i="73"/>
  <c r="E139" i="44" l="1"/>
  <c r="C121" i="44"/>
  <c r="AH21" i="78"/>
  <c r="G202" i="44"/>
  <c r="E91" i="44"/>
  <c r="F202" i="44"/>
  <c r="E90" i="44"/>
  <c r="E130" i="44"/>
  <c r="E121" i="44"/>
  <c r="E71" i="44"/>
  <c r="E67" i="44"/>
  <c r="E65" i="44"/>
  <c r="E24" i="44"/>
  <c r="C139" i="44"/>
  <c r="C124" i="44"/>
  <c r="C153" i="44"/>
  <c r="C105" i="44"/>
  <c r="C107" i="44"/>
  <c r="C155" i="44"/>
  <c r="C87" i="44"/>
  <c r="C102" i="44"/>
  <c r="C143" i="44"/>
  <c r="C130" i="44"/>
  <c r="C136" i="44"/>
  <c r="C93" i="44"/>
  <c r="C149" i="44"/>
  <c r="C148" i="44"/>
  <c r="C154" i="44"/>
  <c r="C144" i="44"/>
  <c r="C50" i="44"/>
  <c r="C46" i="44"/>
  <c r="C70" i="44"/>
  <c r="C63" i="44"/>
  <c r="C68" i="44"/>
  <c r="C83" i="44"/>
  <c r="C82" i="44"/>
  <c r="C81" i="44"/>
  <c r="C51" i="44"/>
  <c r="C59" i="44"/>
  <c r="C80" i="44"/>
  <c r="C38" i="44"/>
  <c r="C45" i="44"/>
  <c r="C32" i="44"/>
  <c r="C28" i="44"/>
  <c r="C13" i="44"/>
  <c r="C22" i="44"/>
  <c r="C41" i="44"/>
  <c r="C37" i="44"/>
  <c r="C11" i="44"/>
  <c r="C16" i="44"/>
  <c r="C19" i="44"/>
  <c r="C21" i="44"/>
  <c r="AH9" i="82"/>
  <c r="AH9" i="83"/>
  <c r="AH25" i="82"/>
  <c r="AH23" i="82"/>
  <c r="R9" i="81"/>
  <c r="AH14" i="82"/>
  <c r="AH17" i="82"/>
  <c r="AH10" i="83"/>
  <c r="R15" i="81"/>
  <c r="AH16" i="82"/>
  <c r="S134" i="44"/>
  <c r="AH17" i="83"/>
  <c r="AH33" i="83"/>
  <c r="S21" i="44"/>
  <c r="S139" i="44"/>
  <c r="S172" i="44"/>
  <c r="S197" i="44"/>
  <c r="S185" i="44"/>
  <c r="S177" i="44"/>
  <c r="S100" i="44"/>
  <c r="S165" i="44"/>
  <c r="S97" i="44"/>
  <c r="S164" i="44"/>
  <c r="S188" i="44"/>
  <c r="S181" i="44"/>
  <c r="S52" i="44"/>
  <c r="S34" i="44"/>
  <c r="S42" i="44"/>
  <c r="S71" i="44"/>
  <c r="S55" i="44"/>
  <c r="S76" i="44"/>
  <c r="S132" i="44"/>
  <c r="S64" i="44"/>
  <c r="S58" i="44"/>
  <c r="S81" i="44"/>
  <c r="S103" i="44"/>
  <c r="S77" i="44"/>
  <c r="S73" i="44"/>
  <c r="S18" i="44"/>
  <c r="S102" i="44"/>
  <c r="S15" i="44"/>
  <c r="S80" i="44"/>
  <c r="S108" i="44"/>
  <c r="S94" i="44"/>
  <c r="S16" i="44"/>
  <c r="S37" i="44"/>
  <c r="S10" i="44"/>
  <c r="S88" i="44"/>
  <c r="S191" i="44"/>
  <c r="S180" i="44"/>
  <c r="S182" i="44"/>
  <c r="S104" i="44"/>
  <c r="S195" i="44"/>
  <c r="S124" i="44"/>
  <c r="S117" i="44"/>
  <c r="S174" i="44"/>
  <c r="S194" i="44"/>
  <c r="S83" i="44"/>
  <c r="S75" i="44"/>
  <c r="S159" i="44"/>
  <c r="S72" i="44"/>
  <c r="S35" i="44"/>
  <c r="S90" i="44"/>
  <c r="S86" i="44"/>
  <c r="S79" i="44"/>
  <c r="S70" i="44"/>
  <c r="AH19" i="82"/>
  <c r="R21" i="81"/>
  <c r="S161" i="44"/>
  <c r="S95" i="44"/>
  <c r="S163" i="44"/>
  <c r="S167" i="44"/>
  <c r="S91" i="44"/>
  <c r="S192" i="44"/>
  <c r="S199" i="44"/>
  <c r="S136" i="44"/>
  <c r="S130" i="44"/>
  <c r="S50" i="44"/>
  <c r="S32" i="44"/>
  <c r="S62" i="44"/>
  <c r="S115" i="44"/>
  <c r="S67" i="44"/>
  <c r="S142" i="44"/>
  <c r="S156" i="44"/>
  <c r="S128" i="44"/>
  <c r="S47" i="44"/>
  <c r="S146" i="44"/>
  <c r="S149" i="44"/>
  <c r="S129" i="44"/>
  <c r="S54" i="44"/>
  <c r="S51" i="44"/>
  <c r="S93" i="44"/>
  <c r="S140" i="44"/>
  <c r="S151" i="44"/>
  <c r="S110" i="44"/>
  <c r="S24" i="44"/>
  <c r="S30" i="44"/>
  <c r="S126" i="44"/>
  <c r="S57" i="44"/>
  <c r="S59" i="44"/>
  <c r="S153" i="44"/>
  <c r="S154" i="44"/>
  <c r="S113" i="44"/>
  <c r="S144" i="44"/>
  <c r="S137" i="44"/>
  <c r="S183" i="44"/>
  <c r="S138" i="44"/>
  <c r="S186" i="44"/>
  <c r="S131" i="44"/>
  <c r="S178" i="44"/>
  <c r="S170" i="44"/>
  <c r="S176" i="44"/>
  <c r="S196" i="44"/>
  <c r="S189" i="44"/>
  <c r="S119" i="44"/>
  <c r="S106" i="44"/>
  <c r="S63" i="44"/>
  <c r="S120" i="44"/>
  <c r="S69" i="44"/>
  <c r="S68" i="44"/>
  <c r="S152" i="44"/>
  <c r="S135" i="44"/>
  <c r="S101" i="44"/>
  <c r="S157" i="44"/>
  <c r="S111" i="44"/>
  <c r="S116" i="44"/>
  <c r="S33" i="44"/>
  <c r="S107" i="44"/>
  <c r="S78" i="44"/>
  <c r="S61" i="44"/>
  <c r="S85" i="44"/>
  <c r="S148" i="44"/>
  <c r="S28" i="44"/>
  <c r="S36" i="44"/>
  <c r="S114" i="44"/>
  <c r="S155" i="44"/>
  <c r="S158" i="44"/>
  <c r="S56" i="44"/>
  <c r="S150" i="44"/>
  <c r="S87" i="44"/>
  <c r="S145" i="44"/>
  <c r="S9" i="44"/>
  <c r="S11" i="44"/>
  <c r="S25" i="44"/>
  <c r="S53" i="44"/>
  <c r="S121" i="44"/>
  <c r="S143" i="44"/>
  <c r="S147" i="44"/>
  <c r="S127" i="44"/>
  <c r="S45" i="44"/>
  <c r="S141" i="44"/>
  <c r="S40" i="44"/>
  <c r="S27" i="44"/>
  <c r="S166" i="44"/>
  <c r="S105" i="44"/>
  <c r="S168" i="44"/>
  <c r="S198" i="44"/>
  <c r="S193" i="44"/>
  <c r="S171" i="44"/>
  <c r="S169" i="44"/>
  <c r="S200" i="44"/>
  <c r="S123" i="44"/>
  <c r="S179" i="44"/>
  <c r="S201" i="44"/>
  <c r="S39" i="44"/>
  <c r="S125" i="44"/>
  <c r="S38" i="44"/>
  <c r="S14" i="44"/>
  <c r="S43" i="44"/>
  <c r="S44" i="44"/>
  <c r="S23" i="44"/>
  <c r="S46" i="44"/>
  <c r="S74" i="44"/>
  <c r="S66" i="44"/>
  <c r="S60" i="44"/>
  <c r="S112" i="44"/>
  <c r="S26" i="44"/>
  <c r="S96" i="44"/>
  <c r="S19" i="44"/>
  <c r="S48" i="44"/>
  <c r="S41" i="44"/>
  <c r="S29" i="44"/>
  <c r="S109" i="44"/>
  <c r="S17" i="44"/>
  <c r="S12" i="44"/>
  <c r="S31" i="44"/>
  <c r="S190" i="44"/>
  <c r="S175" i="44"/>
  <c r="S133" i="44"/>
  <c r="S118" i="44"/>
  <c r="S187" i="44"/>
  <c r="S173" i="44"/>
  <c r="S160" i="44"/>
  <c r="S122" i="44"/>
  <c r="S184" i="44"/>
  <c r="S99" i="44"/>
  <c r="S13" i="44"/>
  <c r="S49" i="44"/>
  <c r="S82" i="44"/>
  <c r="S98" i="44"/>
  <c r="S84" i="44"/>
  <c r="S92" i="44"/>
  <c r="S20" i="44"/>
  <c r="S89" i="44"/>
  <c r="S65" i="44"/>
  <c r="S22" i="44"/>
  <c r="AH9" i="77"/>
  <c r="R8" i="81"/>
  <c r="R14" i="81"/>
  <c r="R27" i="81"/>
  <c r="AH24" i="83"/>
  <c r="AH32" i="83"/>
  <c r="AH23" i="83"/>
  <c r="AH22" i="79"/>
  <c r="AH27" i="83"/>
  <c r="R20" i="81"/>
  <c r="AH313" i="61"/>
  <c r="AH22" i="61"/>
  <c r="AH312" i="61"/>
  <c r="AH21" i="61"/>
  <c r="AH310" i="61"/>
  <c r="AH19" i="61"/>
  <c r="AH319" i="61"/>
  <c r="AH28" i="61"/>
  <c r="AH306" i="61"/>
  <c r="AH15" i="61"/>
  <c r="AH301" i="61"/>
  <c r="AH10" i="61"/>
  <c r="AH303" i="61"/>
  <c r="AH12" i="61"/>
  <c r="AH305" i="61"/>
  <c r="AH14" i="61"/>
  <c r="AH304" i="61"/>
  <c r="AH13" i="61"/>
  <c r="AH302" i="61"/>
  <c r="AH11" i="61"/>
  <c r="AH300" i="61"/>
  <c r="AH9" i="61"/>
  <c r="AH11" i="82"/>
  <c r="AH18" i="78"/>
  <c r="AH10" i="77"/>
  <c r="R12" i="81"/>
  <c r="R10" i="81"/>
  <c r="AH22" i="83"/>
  <c r="AH29" i="76"/>
  <c r="AH10" i="82"/>
  <c r="AH13" i="83"/>
  <c r="AH25" i="83"/>
  <c r="AH7" i="83"/>
  <c r="AH15" i="82"/>
  <c r="R17" i="81"/>
  <c r="AH7" i="82"/>
  <c r="AH11" i="83"/>
  <c r="AH26" i="83"/>
  <c r="A138" i="44"/>
  <c r="A131" i="44"/>
  <c r="AH15" i="83"/>
  <c r="AH12" i="82"/>
  <c r="AH24" i="82"/>
  <c r="AH14" i="83"/>
  <c r="AH30" i="83"/>
  <c r="AH12" i="83"/>
  <c r="AH18" i="82"/>
  <c r="AH12" i="78"/>
  <c r="AH14" i="78"/>
  <c r="AH19" i="78"/>
  <c r="AH14" i="77"/>
  <c r="A88" i="44"/>
  <c r="A97" i="44"/>
  <c r="A100" i="44"/>
  <c r="A91" i="44"/>
  <c r="AH7" i="69"/>
  <c r="AH12" i="77"/>
  <c r="AH24" i="76"/>
  <c r="A104" i="44"/>
  <c r="A123" i="44"/>
  <c r="A122" i="44"/>
  <c r="A118" i="44"/>
  <c r="AH17" i="79"/>
  <c r="A95" i="44"/>
  <c r="A119" i="44"/>
  <c r="A133" i="44"/>
  <c r="A117" i="44"/>
  <c r="AH20" i="79"/>
  <c r="AH7" i="79"/>
  <c r="AH9" i="79"/>
  <c r="AH14" i="79"/>
  <c r="R13" i="81"/>
  <c r="R7" i="81"/>
  <c r="AH23" i="79"/>
  <c r="AH15" i="79"/>
  <c r="AH19" i="79"/>
  <c r="AH16" i="79"/>
  <c r="A137" i="44"/>
  <c r="AH7" i="77"/>
  <c r="AH10" i="69"/>
  <c r="AH17" i="77"/>
  <c r="AH13" i="73"/>
  <c r="AH13" i="76"/>
  <c r="AH14" i="76"/>
  <c r="AH22" i="69"/>
  <c r="A134" i="44"/>
  <c r="A52" i="44"/>
  <c r="A99" i="44"/>
  <c r="AH13" i="78"/>
  <c r="AH8" i="77"/>
  <c r="AH11" i="78"/>
  <c r="AH21" i="76"/>
  <c r="AH14" i="73"/>
  <c r="AH28" i="76"/>
  <c r="AH11" i="69"/>
  <c r="AH25" i="76"/>
  <c r="AH13" i="75"/>
  <c r="AH22" i="76"/>
  <c r="AH24" i="69"/>
  <c r="AH16" i="75"/>
  <c r="AH17" i="73"/>
  <c r="A106" i="44"/>
  <c r="A89" i="44"/>
  <c r="AH17" i="75"/>
  <c r="AH19" i="75"/>
  <c r="AH15" i="73"/>
  <c r="AH16" i="73"/>
  <c r="A39" i="44"/>
  <c r="AH10" i="73"/>
  <c r="A142" i="44"/>
  <c r="A67" i="44"/>
  <c r="A23" i="44"/>
  <c r="A48" i="44"/>
  <c r="A60" i="44"/>
  <c r="A49" i="44"/>
  <c r="A54" i="44"/>
  <c r="A30" i="44"/>
  <c r="A57" i="44"/>
  <c r="A71" i="44"/>
  <c r="A156" i="44"/>
  <c r="A128" i="44"/>
  <c r="A116" i="44"/>
  <c r="A33" i="44"/>
  <c r="A72" i="44"/>
  <c r="A98" i="44"/>
  <c r="A85" i="44"/>
  <c r="A35" i="44"/>
  <c r="A90" i="44"/>
  <c r="A114" i="44"/>
  <c r="A92" i="44"/>
  <c r="AH12" i="76"/>
  <c r="A79" i="44"/>
  <c r="A150" i="44"/>
  <c r="A126" i="44"/>
  <c r="A10" i="44"/>
  <c r="A147" i="44"/>
  <c r="A73" i="44"/>
  <c r="A26" i="44"/>
  <c r="A65" i="44"/>
  <c r="A113" i="44"/>
  <c r="AH19" i="69"/>
  <c r="A120" i="44"/>
  <c r="A125" i="44"/>
  <c r="A101" i="44"/>
  <c r="A111" i="44"/>
  <c r="A14" i="44"/>
  <c r="A78" i="44"/>
  <c r="A146" i="44"/>
  <c r="AH14" i="75"/>
  <c r="A44" i="44"/>
  <c r="A132" i="44"/>
  <c r="A36" i="44"/>
  <c r="A64" i="44"/>
  <c r="AH18" i="73"/>
  <c r="A140" i="44"/>
  <c r="A58" i="44"/>
  <c r="AH18" i="76"/>
  <c r="A66" i="44"/>
  <c r="AH9" i="76"/>
  <c r="AH15" i="75"/>
  <c r="AH30" i="76"/>
  <c r="A112" i="44"/>
  <c r="A127" i="44"/>
  <c r="A141" i="44"/>
  <c r="A29" i="44"/>
  <c r="A69" i="44"/>
  <c r="A152" i="44"/>
  <c r="A135" i="44"/>
  <c r="A75" i="44"/>
  <c r="A61" i="44"/>
  <c r="A84" i="44"/>
  <c r="A9" i="44"/>
  <c r="A158" i="44"/>
  <c r="A20" i="44"/>
  <c r="A17" i="44"/>
  <c r="A56" i="44"/>
  <c r="AH10" i="76"/>
  <c r="A145" i="44"/>
  <c r="AH18" i="75"/>
  <c r="A53" i="44"/>
  <c r="AH26" i="76"/>
  <c r="A96" i="44"/>
  <c r="A34" i="44"/>
  <c r="A62" i="44"/>
  <c r="A109" i="44"/>
  <c r="A115" i="44"/>
  <c r="A40" i="44"/>
  <c r="A42" i="44"/>
  <c r="A157" i="44"/>
  <c r="A55" i="44"/>
  <c r="A47" i="44"/>
  <c r="A129" i="44"/>
  <c r="A31" i="44"/>
  <c r="A43" i="44"/>
  <c r="A76" i="44"/>
  <c r="AH20" i="75"/>
  <c r="A94" i="44"/>
  <c r="A151" i="44"/>
  <c r="A74" i="44"/>
  <c r="A86" i="44"/>
  <c r="A110" i="44"/>
  <c r="A24" i="44"/>
  <c r="A103" i="44"/>
  <c r="A12" i="44"/>
  <c r="A25" i="44"/>
  <c r="A77" i="44"/>
  <c r="A18" i="44"/>
  <c r="AH7" i="76"/>
  <c r="A15" i="44"/>
  <c r="A108" i="44"/>
  <c r="A27" i="44"/>
  <c r="E202" i="44" l="1"/>
  <c r="A202" i="44"/>
  <c r="C202" i="44"/>
  <c r="U333" i="83" l="1"/>
  <c r="U330" i="83"/>
  <c r="S330" i="83"/>
  <c r="S333" i="83"/>
  <c r="U330" i="79"/>
  <c r="S330" i="79"/>
  <c r="U333" i="79"/>
  <c r="S333" i="79"/>
  <c r="U330" i="78"/>
  <c r="S330" i="78"/>
  <c r="U333" i="78"/>
  <c r="S333" i="78"/>
  <c r="U330" i="76"/>
  <c r="U333" i="76"/>
  <c r="U326" i="73"/>
  <c r="U323" i="73"/>
  <c r="U333" i="69"/>
  <c r="S333" i="69"/>
  <c r="U330" i="69"/>
  <c r="S330" i="69"/>
  <c r="S333" i="76"/>
  <c r="S330" i="76"/>
</calcChain>
</file>

<file path=xl/comments1.xml><?xml version="1.0" encoding="utf-8"?>
<comments xmlns="http://schemas.openxmlformats.org/spreadsheetml/2006/main">
  <authors>
    <author>Author</author>
  </authors>
  <commentList>
    <comment ref="K4" authorId="0">
      <text>
        <r>
          <rPr>
            <b/>
            <sz val="8"/>
            <color indexed="81"/>
            <rFont val="Tahoma"/>
            <family val="2"/>
            <charset val="186"/>
          </rPr>
          <t>Osalejate arv</t>
        </r>
      </text>
    </comment>
    <comment ref="H6" authorId="0">
      <text>
        <r>
          <rPr>
            <b/>
            <sz val="8"/>
            <color indexed="81"/>
            <rFont val="Tahoma"/>
            <family val="2"/>
            <charset val="186"/>
          </rPr>
          <t>Voka, Metsa 2
Voka staadion</t>
        </r>
      </text>
    </comment>
    <comment ref="H7" authorId="0">
      <text>
        <r>
          <rPr>
            <b/>
            <sz val="8"/>
            <color indexed="81"/>
            <rFont val="Tahoma"/>
            <family val="2"/>
            <charset val="186"/>
          </rPr>
          <t>Voka, Metsa 2
Voka staadion</t>
        </r>
      </text>
    </comment>
    <comment ref="H8" authorId="0">
      <text>
        <r>
          <rPr>
            <b/>
            <sz val="8"/>
            <color indexed="81"/>
            <rFont val="Tahoma"/>
            <family val="2"/>
            <charset val="186"/>
          </rPr>
          <t>Saku, Tallinna mnt 2a</t>
        </r>
      </text>
    </comment>
    <comment ref="H10" authorId="0">
      <text>
        <r>
          <rPr>
            <b/>
            <sz val="8"/>
            <color indexed="81"/>
            <rFont val="Tahoma"/>
            <family val="2"/>
            <charset val="186"/>
          </rPr>
          <t>Voka, Metsa 2
Voka staadion</t>
        </r>
      </text>
    </comment>
    <comment ref="H12" authorId="0">
      <text>
        <r>
          <rPr>
            <b/>
            <sz val="8"/>
            <color indexed="81"/>
            <rFont val="Tahoma"/>
            <family val="2"/>
            <charset val="186"/>
          </rPr>
          <t>Uuskalda, Kärbla küla, Lääne-Nigula vald, Läänemaa</t>
        </r>
      </text>
    </comment>
    <comment ref="H13" authorId="0">
      <text>
        <r>
          <rPr>
            <b/>
            <sz val="8"/>
            <color indexed="81"/>
            <rFont val="Tahoma"/>
            <family val="2"/>
            <charset val="186"/>
          </rPr>
          <t>Uuskalda, Kärbla küla, Lääne-Nigula vald, Läänemaa</t>
        </r>
      </text>
    </comment>
    <comment ref="J13" authorId="0">
      <text>
        <r>
          <rPr>
            <b/>
            <sz val="8"/>
            <color indexed="81"/>
            <rFont val="Tahoma"/>
            <family val="2"/>
            <charset val="186"/>
          </rPr>
          <t>Juunioridel 2 €
Osalustasu sisaldab lõunasöögiks rammusat ja kosutavat suppi
Eesti meistrivõistlustel osalemiseks peavad olema: 
 - petankeri litsents, 
 - võistluskuulid, 
 - meeskonnal ühtne võistlussärk.</t>
        </r>
      </text>
    </comment>
    <comment ref="H19" authorId="0">
      <text>
        <r>
          <rPr>
            <b/>
            <sz val="8"/>
            <color indexed="81"/>
            <rFont val="Tahoma"/>
            <family val="2"/>
            <charset val="186"/>
          </rPr>
          <t>Metsa ja Jõe tänava ristist keerata Pedeli jõe poole</t>
        </r>
      </text>
    </comment>
    <comment ref="J19" authorId="0">
      <text>
        <r>
          <rPr>
            <b/>
            <sz val="8"/>
            <color indexed="81"/>
            <rFont val="Tahoma"/>
            <family val="2"/>
            <charset val="186"/>
          </rPr>
          <t>Juunioridel 2 €
Eesti meistrivõistlustel osalemiseks peavad olema: 
 - petankeri litsents, 
 - võistluskuulid, 
 - meeskonnal ühtne võistlussärk.</t>
        </r>
      </text>
    </comment>
    <comment ref="H20"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J20" authorId="0">
      <text>
        <r>
          <rPr>
            <b/>
            <sz val="8"/>
            <color indexed="81"/>
            <rFont val="Tahoma"/>
            <family val="2"/>
            <charset val="186"/>
          </rPr>
          <t>Juunioridel 2 €
Eesti meistrivõistlustel osalemiseks peavad olema: 
 - petankeri litsents, 
 - võistluskuulid, 
 - meeskonnal ühtne võistlussärk.</t>
        </r>
      </text>
    </comment>
    <comment ref="H21"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H23" authorId="0">
      <text>
        <r>
          <rPr>
            <b/>
            <sz val="8"/>
            <color indexed="81"/>
            <rFont val="Tahoma"/>
            <family val="2"/>
            <charset val="186"/>
          </rPr>
          <t>Jõhvi, 
Narva mnt 139b</t>
        </r>
      </text>
    </comment>
    <comment ref="J23" authorId="0">
      <text>
        <r>
          <rPr>
            <b/>
            <sz val="8"/>
            <color indexed="81"/>
            <rFont val="Tahoma"/>
            <family val="2"/>
            <charset val="186"/>
          </rPr>
          <t>Juunioridel 2 €
Osalustasu sisaldab sooja suppi
Eesti meistrivõistlustel osalemiseks peavad olema: 
 - petankeri litsents, 
 - võistluskuulid.</t>
        </r>
      </text>
    </comment>
    <comment ref="H24" authorId="0">
      <text>
        <r>
          <rPr>
            <b/>
            <sz val="8"/>
            <color indexed="81"/>
            <rFont val="Tahoma"/>
            <family val="2"/>
            <charset val="186"/>
          </rPr>
          <t>Kohtla-Järve, Järveküla tee 44
Spordihoone taga</t>
        </r>
      </text>
    </comment>
    <comment ref="H28" authorId="0">
      <text>
        <r>
          <rPr>
            <b/>
            <sz val="8"/>
            <color indexed="81"/>
            <rFont val="Tahoma"/>
            <family val="2"/>
            <charset val="186"/>
          </rPr>
          <t>Saku, Teaduse 2
Teaduse 2 maja taga asuv hokiväljak, kruusakate
12 väljakut</t>
        </r>
      </text>
    </comment>
    <comment ref="J28" authorId="0">
      <text>
        <r>
          <rPr>
            <b/>
            <sz val="8"/>
            <color indexed="81"/>
            <rFont val="Tahoma"/>
            <family val="2"/>
            <charset val="186"/>
          </rPr>
          <t>Juunioridel 2 €
Eesti meistrivõistlustel osalemiseks peavad olema: 
 - petankeri litsents, 
 - võistluskuulid, 
 - meeskonnal ühtne võistlussärk.</t>
        </r>
      </text>
    </comment>
    <comment ref="H29" authorId="0">
      <text>
        <r>
          <rPr>
            <b/>
            <sz val="8"/>
            <color indexed="81"/>
            <rFont val="Tahoma"/>
            <family val="2"/>
            <charset val="186"/>
          </rPr>
          <t>Saku, Teaduse 2
Teaduse 2 maja taga asuv hokiväljak, kruusakate
12 väljakut</t>
        </r>
      </text>
    </comment>
  </commentList>
</comments>
</file>

<file path=xl/comments2.xml><?xml version="1.0" encoding="utf-8"?>
<comments xmlns="http://schemas.openxmlformats.org/spreadsheetml/2006/main">
  <authors>
    <author>Author</author>
  </authors>
  <commentList>
    <comment ref="U1" authorId="0">
      <text>
        <r>
          <rPr>
            <b/>
            <sz val="8"/>
            <color indexed="81"/>
            <rFont val="Tahoma"/>
            <charset val="1"/>
          </rPr>
          <t>juunioritel ei läinud üksikmängu tulemused arvesse</t>
        </r>
      </text>
    </comment>
    <comment ref="AE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AG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AJ1" authorId="0">
      <text>
        <r>
          <rPr>
            <b/>
            <sz val="8"/>
            <color indexed="81"/>
            <rFont val="Tahoma"/>
            <family val="2"/>
            <charset val="186"/>
          </rPr>
          <t>Koht - Punkte
  1. - 105 p
  2. -   93 p
  3. -   83 p
  4. -   74 p
  5. -   65 p
  6. -   57 p
  7. -   50 p
  8. -   42 p
  9. -   35 p
10. -   29 p
11. -   23 p
12. -   17 p
13. -   12 p
14. -     8 p
15. -     5 p
16. -     3 p
17... -   1 p
DSQ -   0 p</t>
        </r>
      </text>
    </comment>
    <comment ref="AL1" authorId="0">
      <text>
        <r>
          <rPr>
            <b/>
            <sz val="8"/>
            <color indexed="81"/>
            <rFont val="Tahoma"/>
            <family val="2"/>
            <charset val="186"/>
          </rPr>
          <t>Koht - Punkte
  1. - 53 p
  2. - 42 p
  3. - 33 p
  4. - 27 p
  5. - 23 p
  6. - 18 p
  7. -  14 p
  8. -   9 p
  9. -   5 p
10... - 2 p
DSQ - 0 p</t>
        </r>
      </text>
    </comment>
    <comment ref="U4" authorId="0">
      <text>
        <r>
          <rPr>
            <b/>
            <sz val="8"/>
            <color indexed="81"/>
            <rFont val="Tahoma"/>
            <family val="2"/>
            <charset val="186"/>
          </rPr>
          <t>Uuskalda, Kärbla küla, Lääne-Nigula vald, Läänemaa</t>
        </r>
      </text>
    </comment>
    <comment ref="V4" authorId="0">
      <text>
        <r>
          <rPr>
            <b/>
            <sz val="8"/>
            <color indexed="81"/>
            <rFont val="Tahoma"/>
            <family val="2"/>
            <charset val="186"/>
          </rPr>
          <t>Uuskalda, Kärbla küla, Lääne-Nigula vald, Läänemaa</t>
        </r>
      </text>
    </comment>
    <comment ref="AB4" authorId="0">
      <text>
        <r>
          <rPr>
            <b/>
            <sz val="8"/>
            <color indexed="81"/>
            <rFont val="Tahoma"/>
            <family val="2"/>
            <charset val="186"/>
          </rPr>
          <t>Metsa ja Jõe tänava ristist keerata Pedeli jõe poole</t>
        </r>
      </text>
    </comment>
    <comment ref="AC4"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AD4"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AE4" authorId="0">
      <text>
        <r>
          <rPr>
            <b/>
            <sz val="8"/>
            <color indexed="81"/>
            <rFont val="Tahoma"/>
            <family val="2"/>
            <charset val="186"/>
          </rPr>
          <t>Jõhvi, 
Narva mnt 139b</t>
        </r>
      </text>
    </comment>
    <comment ref="AI4" authorId="0">
      <text>
        <r>
          <rPr>
            <b/>
            <sz val="8"/>
            <color indexed="81"/>
            <rFont val="Tahoma"/>
            <family val="2"/>
            <charset val="186"/>
          </rPr>
          <t>Kohtla-Järve, Järveküla tee 44
Spordihoone taga</t>
        </r>
      </text>
    </comment>
    <comment ref="AK4" authorId="0">
      <text>
        <r>
          <rPr>
            <b/>
            <sz val="8"/>
            <color indexed="81"/>
            <rFont val="Tahoma"/>
            <family val="2"/>
            <charset val="186"/>
          </rPr>
          <t>Saku, Teaduse 2
Teaduse 2 maja taga asuv hokiväljak, kruusakate
12 väljakut</t>
        </r>
      </text>
    </comment>
    <comment ref="AL4" authorId="0">
      <text>
        <r>
          <rPr>
            <b/>
            <sz val="8"/>
            <color indexed="81"/>
            <rFont val="Tahoma"/>
            <family val="2"/>
            <charset val="186"/>
          </rPr>
          <t>Saku, Teaduse 2
Teaduse 2 maja taga asuv hokiväljak, kruusakate
12 väljakut</t>
        </r>
      </text>
    </comment>
    <comment ref="K7" authorId="0">
      <text>
        <r>
          <rPr>
            <b/>
            <sz val="8"/>
            <color indexed="81"/>
            <rFont val="Tahoma"/>
            <family val="2"/>
            <charset val="186"/>
          </rPr>
          <t>Kohalikud ehk Ida-Virumaa mängijad</t>
        </r>
      </text>
    </comment>
    <comment ref="M7" authorId="0">
      <text>
        <r>
          <rPr>
            <b/>
            <sz val="8"/>
            <color indexed="81"/>
            <rFont val="Tahoma"/>
            <family val="2"/>
            <charset val="186"/>
          </rPr>
          <t>Valem arvutab punktisumma ja võtab kehvemad tulemused maha.
Valem töötab Microsoft ja WPS Office-iga. 
Alati ei tööta Libre ja Open Office-iga.</t>
        </r>
      </text>
    </comment>
    <comment ref="Z7" authorId="0">
      <text>
        <r>
          <rPr>
            <b/>
            <sz val="8"/>
            <color indexed="81"/>
            <rFont val="Tahoma"/>
            <family val="2"/>
            <charset val="186"/>
          </rPr>
          <t>Siia veergu kirjuta punktid vaid siis kui juuniore on &gt;=6 ja nad võistlesid eraldi</t>
        </r>
      </text>
    </comment>
    <comment ref="AH7" authorId="0">
      <text>
        <r>
          <rPr>
            <b/>
            <sz val="8"/>
            <color indexed="81"/>
            <rFont val="Tahoma"/>
            <family val="2"/>
            <charset val="186"/>
          </rPr>
          <t>Siia veergu kirjuta punktid vaid siis kui juuniore on &gt;=6 ja nad võistlesid eraldi</t>
        </r>
      </text>
    </comment>
    <comment ref="AQ8"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R8"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G13" authorId="0">
      <text>
        <r>
          <rPr>
            <b/>
            <sz val="8"/>
            <color indexed="81"/>
            <rFont val="Tahoma"/>
            <family val="2"/>
            <charset val="186"/>
          </rPr>
          <t>Kuna nii Aigi kui Kalle said võrdsed punktid, jäid nad viiendat kohta jagama.</t>
        </r>
      </text>
    </comment>
    <comment ref="T13" authorId="0">
      <text>
        <r>
          <rPr>
            <b/>
            <sz val="8"/>
            <color indexed="81"/>
            <rFont val="Tahoma"/>
            <family val="2"/>
            <charset val="186"/>
          </rPr>
          <t xml:space="preserve">Eesti reitingus on viga, sest nii Aigi kui Kalle said sisereitingus võrdsed punktid. </t>
        </r>
      </text>
    </comment>
    <comment ref="G14" authorId="0">
      <text>
        <r>
          <rPr>
            <b/>
            <sz val="8"/>
            <color indexed="81"/>
            <rFont val="Tahoma"/>
            <family val="2"/>
            <charset val="186"/>
          </rPr>
          <t>Kuna nii Aigi kui Kalle said võrdsed punktid, jäid nad viiendat kohta jagama.</t>
        </r>
      </text>
    </comment>
    <comment ref="T14" authorId="0">
      <text>
        <r>
          <rPr>
            <b/>
            <sz val="8"/>
            <color indexed="81"/>
            <rFont val="Tahoma"/>
            <family val="2"/>
            <charset val="186"/>
          </rPr>
          <t xml:space="preserve">Eesti reitingus on viga, sest nii Aigi kui Kalle said sisereitingus võrdsed punktid. </t>
        </r>
      </text>
    </comment>
    <comment ref="H158" authorId="0">
      <text>
        <r>
          <rPr>
            <b/>
            <sz val="8"/>
            <color indexed="81"/>
            <rFont val="Tahoma"/>
            <family val="2"/>
            <charset val="186"/>
          </rPr>
          <t>27.03.1958 - 11.12.2017</t>
        </r>
      </text>
    </comment>
    <comment ref="AB203" authorId="0">
      <text>
        <r>
          <rPr>
            <b/>
            <sz val="8"/>
            <color indexed="81"/>
            <rFont val="Tahoma"/>
            <family val="2"/>
            <charset val="186"/>
          </rPr>
          <t>Kahes duos oli kolm mängijat</t>
        </r>
      </text>
    </comment>
  </commentList>
</comments>
</file>

<file path=xl/comments3.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69" authorId="0">
      <text>
        <r>
          <rPr>
            <b/>
            <sz val="8"/>
            <color indexed="81"/>
            <rFont val="Tahoma"/>
            <family val="2"/>
            <charset val="186"/>
          </rPr>
          <t>kahe veerandfinalisti võitja punktidele lisab 100.
paariliste esimesed saavad kohe 100, et mittte edasisaanute RANK algaks 5-st kohast, mitte 2-st</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4.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5.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4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49"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6.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25"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List>
</comments>
</file>

<file path=xl/comments7.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25"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List>
</comments>
</file>

<file path=xl/comments8.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72"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73" authorId="0">
      <text>
        <r>
          <rPr>
            <b/>
            <sz val="8"/>
            <color indexed="81"/>
            <rFont val="Tahoma"/>
            <family val="2"/>
            <charset val="186"/>
          </rPr>
          <t>kahe veerandfinalisti võitja punktidele lisab 100.
paariliste esimesed saavad kohe 100, et mittte edasisaanute RANK algaks 5-st kohast, mitte 2-st</t>
        </r>
      </text>
    </comment>
    <comment ref="Y80" authorId="0">
      <text>
        <r>
          <rPr>
            <b/>
            <sz val="8"/>
            <color indexed="81"/>
            <rFont val="Tahoma"/>
            <family val="2"/>
            <charset val="186"/>
          </rPr>
          <t>5-e punkti viskeid kahe vooru peale 2</t>
        </r>
      </text>
    </comment>
    <comment ref="Y83" authorId="0">
      <text>
        <r>
          <rPr>
            <b/>
            <sz val="8"/>
            <color indexed="81"/>
            <rFont val="Tahoma"/>
            <family val="2"/>
            <charset val="186"/>
          </rPr>
          <t>5-e punkti viskeid kahe vooru peale 4</t>
        </r>
      </text>
    </comment>
    <comment ref="Y84" authorId="0">
      <text>
        <r>
          <rPr>
            <b/>
            <sz val="8"/>
            <color indexed="81"/>
            <rFont val="Tahoma"/>
            <family val="2"/>
            <charset val="186"/>
          </rPr>
          <t>5-e punkti viskeid kahe vooru peale 3</t>
        </r>
      </text>
    </comment>
    <comment ref="Z111"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9.xml><?xml version="1.0" encoding="utf-8"?>
<comments xmlns="http://schemas.openxmlformats.org/spreadsheetml/2006/main">
  <authors>
    <author>Author</author>
  </authors>
  <commentList>
    <comment ref="K30" authorId="0">
      <text>
        <r>
          <rPr>
            <b/>
            <sz val="8"/>
            <color indexed="81"/>
            <rFont val="Tahoma"/>
            <family val="2"/>
            <charset val="186"/>
          </rPr>
          <t xml:space="preserve">3. Finaali ei toimu: 
</t>
        </r>
        <r>
          <rPr>
            <sz val="8"/>
            <color indexed="81"/>
            <rFont val="Tahoma"/>
            <family val="2"/>
            <charset val="186"/>
          </rPr>
          <t>a) juhul kui peale I ringi on esimese ja teise võistkonna vahe 4 (neli) võitu või rohkem,</t>
        </r>
        <r>
          <rPr>
            <b/>
            <sz val="8"/>
            <color indexed="81"/>
            <rFont val="Tahoma"/>
            <family val="2"/>
            <charset val="186"/>
          </rPr>
          <t xml:space="preserve">
b) juhul kui esimese ja teise võistkonna vahe on 3 (kolm) võitu ning omavaheliste mängude seis esimese kasuks on 4-0 </t>
        </r>
        <r>
          <rPr>
            <b/>
            <sz val="8"/>
            <color indexed="10"/>
            <rFont val="Tahoma"/>
            <family val="2"/>
            <charset val="186"/>
          </rPr>
          <t>(kehtib 4 võistkonna puhul).</t>
        </r>
      </text>
    </comment>
    <comment ref="L30" authorId="0">
      <text>
        <r>
          <rPr>
            <b/>
            <i/>
            <sz val="8"/>
            <color indexed="81"/>
            <rFont val="Tahoma"/>
            <family val="2"/>
            <charset val="186"/>
          </rPr>
          <t>Naistel oleks pidanud finaal toimuma</t>
        </r>
      </text>
    </comment>
    <comment ref="K47" authorId="0">
      <text>
        <r>
          <rPr>
            <b/>
            <sz val="8"/>
            <color indexed="81"/>
            <rFont val="Tahoma"/>
            <family val="2"/>
            <charset val="186"/>
          </rPr>
          <t>3. Finaali ei toimu: 
a) juhul kui peale I ringi on esimese ja teise võistkonna vahe 4 (neli) võitu või rohkem,</t>
        </r>
      </text>
    </comment>
  </commentList>
</comments>
</file>

<file path=xl/comments10.xml><?xml version="1.0" encoding="utf-8"?>
<comments xmlns="http://schemas.openxmlformats.org/spreadsheetml/2006/main">
  <authors>
    <author>Author</author>
  </authors>
  <commentList>
    <comment ref="I231" authorId="0">
      <text>
        <r>
          <rPr>
            <b/>
            <sz val="8"/>
            <color indexed="81"/>
            <rFont val="Tahoma"/>
            <family val="2"/>
            <charset val="186"/>
          </rPr>
          <t>Äärmiselt ebaõiglase võistlussüsteemi tõttu sai Oleg 8 € eest mängida vaid 2 mängu. 
Kõik teised aga 6-7 mängu</t>
        </r>
      </text>
    </comment>
  </commentList>
</comments>
</file>

<file path=xl/comments11.xml><?xml version="1.0" encoding="utf-8"?>
<comments xmlns="http://schemas.openxmlformats.org/spreadsheetml/2006/main">
  <authors>
    <author>Author</author>
  </authors>
  <commentList>
    <comment ref="K119" authorId="0">
      <text>
        <r>
          <rPr>
            <b/>
            <sz val="8"/>
            <color indexed="81"/>
            <rFont val="Tahoma"/>
            <family val="2"/>
            <charset val="186"/>
          </rPr>
          <t>Kahjuks pidid lahkuma enne mängu</t>
        </r>
      </text>
    </comment>
  </commentList>
</comments>
</file>

<file path=xl/comments12.xml><?xml version="1.0" encoding="utf-8"?>
<comments xmlns="http://schemas.openxmlformats.org/spreadsheetml/2006/main">
  <authors>
    <author>Author</author>
  </authors>
  <commentList>
    <comment ref="S178" authorId="0">
      <text>
        <r>
          <rPr>
            <b/>
            <sz val="8"/>
            <color indexed="81"/>
            <rFont val="Tahoma"/>
            <family val="2"/>
            <charset val="186"/>
          </rPr>
          <t>Võite omavahelistes mängudes</t>
        </r>
      </text>
    </comment>
    <comment ref="T178" authorId="0">
      <text>
        <r>
          <rPr>
            <b/>
            <sz val="8"/>
            <color indexed="81"/>
            <rFont val="Tahoma"/>
            <family val="2"/>
            <charset val="186"/>
          </rPr>
          <t>Punktide vahe omavahelistes mängudes</t>
        </r>
      </text>
    </comment>
    <comment ref="V178"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3.xml><?xml version="1.0" encoding="utf-8"?>
<comments xmlns="http://schemas.openxmlformats.org/spreadsheetml/2006/main">
  <authors>
    <author>Author</author>
  </authors>
  <commentList>
    <comment ref="S216" authorId="0">
      <text>
        <r>
          <rPr>
            <b/>
            <sz val="8"/>
            <color indexed="81"/>
            <rFont val="Tahoma"/>
            <family val="2"/>
            <charset val="186"/>
          </rPr>
          <t>Võite omavahelistes mängudes</t>
        </r>
      </text>
    </comment>
    <comment ref="T216" authorId="0">
      <text>
        <r>
          <rPr>
            <b/>
            <sz val="8"/>
            <color indexed="81"/>
            <rFont val="Tahoma"/>
            <family val="2"/>
            <charset val="186"/>
          </rPr>
          <t>Punktide vahe omavahelistes mängudes</t>
        </r>
      </text>
    </comment>
    <comment ref="V216" authorId="0">
      <text>
        <r>
          <rPr>
            <b/>
            <sz val="8"/>
            <color indexed="81"/>
            <rFont val="Tahoma"/>
            <family val="2"/>
            <charset val="186"/>
          </rPr>
          <t>TRUE kui: 
3-ses alagrupis 3 nime ja   6 tulemust või
4-ses alagrupis 4 nime ja 12 tulemust või
5-ses alagrupis 5 nime ja 20 tulemust</t>
        </r>
      </text>
    </comment>
  </commentList>
</comments>
</file>

<file path=xl/sharedStrings.xml><?xml version="1.0" encoding="utf-8"?>
<sst xmlns="http://schemas.openxmlformats.org/spreadsheetml/2006/main" count="3718" uniqueCount="1071">
  <si>
    <t>Punktid:</t>
  </si>
  <si>
    <t>EMV</t>
  </si>
  <si>
    <t>Reiting</t>
  </si>
  <si>
    <t>Kuld</t>
  </si>
  <si>
    <t>Hõbe</t>
  </si>
  <si>
    <t>Pronks</t>
  </si>
  <si>
    <t xml:space="preserve"> </t>
  </si>
  <si>
    <t>Tallinn</t>
  </si>
  <si>
    <t>Osalusi</t>
  </si>
  <si>
    <t>Sise</t>
  </si>
  <si>
    <t>Meda</t>
  </si>
  <si>
    <t>Eesti</t>
  </si>
  <si>
    <t>rei</t>
  </si>
  <si>
    <t>leid</t>
  </si>
  <si>
    <t>Või</t>
  </si>
  <si>
    <t>meis</t>
  </si>
  <si>
    <t>ting</t>
  </si>
  <si>
    <t>***</t>
  </si>
  <si>
    <t>**</t>
  </si>
  <si>
    <t>*</t>
  </si>
  <si>
    <t>S***</t>
  </si>
  <si>
    <t>S**</t>
  </si>
  <si>
    <t>TUL</t>
  </si>
  <si>
    <t>te</t>
  </si>
  <si>
    <t>ter</t>
  </si>
  <si>
    <t>Koht</t>
  </si>
  <si>
    <t>Võistleja nimi</t>
  </si>
  <si>
    <t>Kokku</t>
  </si>
  <si>
    <t>N</t>
  </si>
  <si>
    <t>J</t>
  </si>
  <si>
    <t>Silver Kingissepp</t>
  </si>
  <si>
    <t>Merike Aava</t>
  </si>
  <si>
    <t>n</t>
  </si>
  <si>
    <t>Marek Kolk</t>
  </si>
  <si>
    <t>Kalju Olmre</t>
  </si>
  <si>
    <t>Mare Kingissepp</t>
  </si>
  <si>
    <t>Margus Limberg</t>
  </si>
  <si>
    <t>Ivar Viljaste</t>
  </si>
  <si>
    <t>Kaarel Mikk</t>
  </si>
  <si>
    <t>Külli Kariste</t>
  </si>
  <si>
    <t>Aimar Poom</t>
  </si>
  <si>
    <t>Kadri Arunurm</t>
  </si>
  <si>
    <t>Jaanus Kasper</t>
  </si>
  <si>
    <t>Egert Kingissepp</t>
  </si>
  <si>
    <t>Oskar Sepp</t>
  </si>
  <si>
    <t>j</t>
  </si>
  <si>
    <t>Jaan Sepp</t>
  </si>
  <si>
    <t>Sirje Viljaste</t>
  </si>
  <si>
    <t>Mihkel Filipenko</t>
  </si>
  <si>
    <t>Merike Lusbo</t>
  </si>
  <si>
    <t>Marko Ode</t>
  </si>
  <si>
    <t>Marge Mägi</t>
  </si>
  <si>
    <t>Margus Strööm</t>
  </si>
  <si>
    <t>Arvi Palla</t>
  </si>
  <si>
    <t>Varje Reede</t>
  </si>
  <si>
    <t>Matti Vinni</t>
  </si>
  <si>
    <t>Aigar Lusbo</t>
  </si>
  <si>
    <t>Margo Peebo</t>
  </si>
  <si>
    <t>Kadri Veljend</t>
  </si>
  <si>
    <t>Aarne Välja</t>
  </si>
  <si>
    <t>Eve Oidsalu</t>
  </si>
  <si>
    <t>Mait Metsla</t>
  </si>
  <si>
    <t>Maive Sein</t>
  </si>
  <si>
    <t>Ülo Piik</t>
  </si>
  <si>
    <t>Janek Kiisk</t>
  </si>
  <si>
    <t>Marina Vallik</t>
  </si>
  <si>
    <t>Kaido Kopel</t>
  </si>
  <si>
    <t>Toomas Reede</t>
  </si>
  <si>
    <t>Peep Puiestik</t>
  </si>
  <si>
    <t>Irene Võrklaev</t>
  </si>
  <si>
    <t>Aivar Sein</t>
  </si>
  <si>
    <t>Priit Koppel</t>
  </si>
  <si>
    <t>Vello Sillasoo</t>
  </si>
  <si>
    <t>Hardo Sokk</t>
  </si>
  <si>
    <t>Anne Sillamaa</t>
  </si>
  <si>
    <t>Elmo Lageda</t>
  </si>
  <si>
    <t>Tõnu Kapper</t>
  </si>
  <si>
    <t>Tiit Palk</t>
  </si>
  <si>
    <t>Mati Tapo</t>
  </si>
  <si>
    <t>Janek Tarto</t>
  </si>
  <si>
    <t>Helle Siidla</t>
  </si>
  <si>
    <t>Mihkel Palk</t>
  </si>
  <si>
    <t>Arti Lindvest</t>
  </si>
  <si>
    <t>Jaanus Otsman</t>
  </si>
  <si>
    <t>Vello Vasser</t>
  </si>
  <si>
    <t>Aigi Orro</t>
  </si>
  <si>
    <t>Alar Sinimäe</t>
  </si>
  <si>
    <t>Rutt Voldek</t>
  </si>
  <si>
    <t>Vallo Sillamaa</t>
  </si>
  <si>
    <t>Osalejaid</t>
  </si>
  <si>
    <t>Võistkondi</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</si>
  <si>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</si>
  <si>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</si>
  <si>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</si>
  <si>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</si>
  <si>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</si>
  <si>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</si>
  <si>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</si>
  <si>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</si>
  <si>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</si>
  <si>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</si>
  <si>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</si>
  <si>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</si>
  <si>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</si>
  <si>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</si>
  <si>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</si>
  <si>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</si>
  <si>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</si>
  <si>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</si>
  <si>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</si>
  <si>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</si>
  <si>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</si>
  <si>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</si>
  <si>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</si>
  <si>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</si>
  <si>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</si>
  <si>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</si>
  <si>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</si>
  <si>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</si>
  <si>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</si>
  <si>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</si>
  <si>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1. ÜLDSÄTTED</t>
  </si>
  <si>
    <t>2. VÕISTLUSTE KALENDER</t>
  </si>
  <si>
    <t>3. VÕISTLUSTE FORMULEERINGUD</t>
  </si>
  <si>
    <t>4. LITSENTSIMÄÄRUSED</t>
  </si>
  <si>
    <t>5. KEELATUD AINED</t>
  </si>
  <si>
    <t>5.1. Võistlejatel on keelatud kõigi spordis lubamatute ainete kasutamine (nimekiri EOK</t>
  </si>
  <si>
    <t>6. VÕISTLUSTE KORRALDAMINE</t>
  </si>
  <si>
    <t>6.1. ÜLDINE</t>
  </si>
  <si>
    <t>6.1.2. Korraldajatel tuleb informeerida WC asukohast.</t>
  </si>
  <si>
    <t>6.3. OSAVÕTUMAKSUD</t>
  </si>
  <si>
    <t>6.4. TEATAMINE</t>
  </si>
  <si>
    <t>6.5. ŽÜRII</t>
  </si>
  <si>
    <t>6.6. VÄLJAKUD</t>
  </si>
  <si>
    <t>6.6.1. Väljakud peavad olema võimalikult ühesugused kõigile võistlejatele.</t>
  </si>
  <si>
    <t>6.9. VÕISTLEJATE RIIETUS</t>
  </si>
  <si>
    <t>6.10. MÄNGIJATE/VÕISTKONDADE ASETUSED JA VÕISTLUSTE LÄBIVIIMISE SÜSTEEMID</t>
  </si>
  <si>
    <t>Võistkondade arv 41-44: 11 puuli, 1/16 finaal (kus 10 võistkonnal vastane puudub), 1/8 finaal, veerandfinaal, poolfinaal, finaal.</t>
  </si>
  <si>
    <t>7. AUHINNAD</t>
  </si>
  <si>
    <t>8. LOOBUMISKAOTUS JA PROTESTIDE ESITAMISE KORD</t>
  </si>
  <si>
    <t>üksikmängus 13.- EUR</t>
  </si>
  <si>
    <t>paarismängus 26.- EUR</t>
  </si>
  <si>
    <t>trios 39.- EUR</t>
  </si>
  <si>
    <t>9. KARISTUSED EBAKORREKTSE KÄITUMISE KORRAL </t>
  </si>
  <si>
    <t>Vladimir Ogneštšikov</t>
  </si>
  <si>
    <t>Viktor Švarõgin</t>
  </si>
  <si>
    <t>Kalle Orro</t>
  </si>
  <si>
    <t>Nikolai Palkin</t>
  </si>
  <si>
    <t>Uku Kollom</t>
  </si>
  <si>
    <t>M</t>
  </si>
  <si>
    <t>Ott Karl Kopel</t>
  </si>
  <si>
    <t>Sille-Liisi Eving</t>
  </si>
  <si>
    <t>Kevin Sten Liik</t>
  </si>
  <si>
    <t>K</t>
  </si>
  <si>
    <t>Reitingu-võistlus</t>
  </si>
  <si>
    <t>Naised
S ja TUL</t>
  </si>
  <si>
    <t>Juuniorid
S ja TUL</t>
  </si>
  <si>
    <t>1.</t>
  </si>
  <si>
    <t>2.</t>
  </si>
  <si>
    <t>3.</t>
  </si>
  <si>
    <t>Tiit Kattai</t>
  </si>
  <si>
    <t>Kevin Kangur</t>
  </si>
  <si>
    <t>Anna Liisa Kattai</t>
  </si>
  <si>
    <t>Harry Lusbo</t>
  </si>
  <si>
    <t>Kristjan Raudsepp</t>
  </si>
  <si>
    <t>MEHED</t>
  </si>
  <si>
    <t>NAISED</t>
  </si>
  <si>
    <t>JUUNIORID</t>
  </si>
  <si>
    <t>Svetlana Veski</t>
  </si>
  <si>
    <t>Andres Veski</t>
  </si>
  <si>
    <t>Indrek Vaho</t>
  </si>
  <si>
    <t>Toomas Tauk</t>
  </si>
  <si>
    <t>Marek Lehis</t>
  </si>
  <si>
    <t>Jaan Joonas</t>
  </si>
  <si>
    <t>Toomas Hoole</t>
  </si>
  <si>
    <t>Piret Kopel</t>
  </si>
  <si>
    <t>Kaur Kangur</t>
  </si>
  <si>
    <t>Maris Rõõm</t>
  </si>
  <si>
    <t>Mati Rõõm</t>
  </si>
  <si>
    <t>Urmo Auväärt</t>
  </si>
  <si>
    <t>Kuupäev</t>
  </si>
  <si>
    <t>Aeg</t>
  </si>
  <si>
    <t>Võistlus</t>
  </si>
  <si>
    <t>Mänguviis</t>
  </si>
  <si>
    <t>R</t>
  </si>
  <si>
    <t>Toimumiskoht</t>
  </si>
  <si>
    <t>Korraldaja</t>
  </si>
  <si>
    <t>Osal</t>
  </si>
  <si>
    <t>Üksik</t>
  </si>
  <si>
    <t>Duo</t>
  </si>
  <si>
    <t>Trio</t>
  </si>
  <si>
    <t>EPKL</t>
  </si>
  <si>
    <t>Viimased muudatused on punasega</t>
  </si>
  <si>
    <t>Tulistamine</t>
  </si>
  <si>
    <t>SK Maestro Petanque</t>
  </si>
  <si>
    <t>PK Valga</t>
  </si>
  <si>
    <t>P</t>
  </si>
  <si>
    <t>Segatrio</t>
  </si>
  <si>
    <t>Segaduo</t>
  </si>
  <si>
    <t>WICIA</t>
  </si>
  <si>
    <t>aasta</t>
  </si>
  <si>
    <t>Kärdla</t>
  </si>
  <si>
    <t>SHK</t>
  </si>
  <si>
    <t>Maestro</t>
  </si>
  <si>
    <t>Marta Ruus</t>
  </si>
  <si>
    <t>Argo Sepp</t>
  </si>
  <si>
    <t>Valmar Pantšenko</t>
  </si>
  <si>
    <t>* N</t>
  </si>
  <si>
    <t>* J</t>
  </si>
  <si>
    <t>Üld</t>
  </si>
  <si>
    <t>Siiri Baranova</t>
  </si>
  <si>
    <t>VEERANDFINAALID</t>
  </si>
  <si>
    <t>min</t>
  </si>
  <si>
    <t>max</t>
  </si>
  <si>
    <t>POOLFINAALID</t>
  </si>
  <si>
    <t>PRONKSIMÄNG</t>
  </si>
  <si>
    <t>FINAAL</t>
  </si>
  <si>
    <t>VAHEVOOR</t>
  </si>
  <si>
    <t>EELVOOR</t>
  </si>
  <si>
    <r>
      <t>Koht</t>
    </r>
    <r>
      <rPr>
        <sz val="10"/>
        <color theme="1"/>
        <rFont val="Arial"/>
        <family val="2"/>
        <charset val="186"/>
      </rPr>
      <t>/edasi</t>
    </r>
  </si>
  <si>
    <t>Punkte</t>
  </si>
  <si>
    <t>Kristo Viljaste</t>
  </si>
  <si>
    <t>Margus Berkmann</t>
  </si>
  <si>
    <t xml:space="preserve">EMV </t>
  </si>
  <si>
    <t xml:space="preserve">Reiting </t>
  </si>
  <si>
    <t xml:space="preserve">Naised </t>
  </si>
  <si>
    <t xml:space="preserve">Juuniorid </t>
  </si>
  <si>
    <t>KOKKU</t>
  </si>
  <si>
    <t>EM ja MM KATSEVÕISTLUSTE JUHEND 2016</t>
  </si>
  <si>
    <t>EESMÄRK</t>
  </si>
  <si>
    <t>Selgitada välja võistkonnad, kes saavad õiguse esindada Eestit 2016. aastal meeste maailmameistrivõistlustel (MM-il), naiste Euroopa meistrivõistlustel (EM-il), juunioride Euroopa meistrivõistlustel (EM-il), naiste ja meeste üksikmängu Euroopa meistrivõistlustel (EM-il) ja veteranide 55+ Euroopa meistrivõistlustel (EM-il).</t>
  </si>
  <si>
    <t>NB! Meeste MM-il osalemise eelisõigus on võistkonnal koosseisus: Silver Kingissepp, Margus Limberg, Ivar Viljaste ja Priit Koppel, kellest võib välja vahetada kaks liiget. Kui nemad loobuvad soovist osaleda MM-il, siis toimuvad katsevõistlused meestele.   </t>
  </si>
  <si>
    <t>OSALEJAD</t>
  </si>
  <si>
    <t>Katsevõistlused on 3-4-liikmelistele võistkondadele, kusjuures mängija tohib katsevõistluste raames osaleda vaid ühe võistkonna eest. Üksikmängus naised ja mehed võistlevad eraldi arvestuses.</t>
  </si>
  <si>
    <t>EM-i katsevõistlustel tohivad osaleda ainult naised, juunioritel poisid-tüdrukud, veteranidel mehed-naised ja MM-i katsevõistlustel ainult mehed.</t>
  </si>
  <si>
    <t>Kui katsevõistlused võitnud võistkond on kolmeliikmeline, siis peavad sõitma tiitlivõistlusele kõik 3 osalenud mängijat ja hiljem võib lisada neljanda mängija. Kui võidab neljaliikmeline võistkond, siis võib tiitlivõistlusel osalevas võistkonnas ühe liikme välja vahetada.</t>
  </si>
  <si>
    <t>Katsevõistlustele registreerumisega annab mängija nõusoleku sõlmida EPKL-iga kokkulepe, mille kohaselt mängija kohustub hüvitama EPKL-ile kõik tema rahvusvahelisele tiitlivõistlusele lähetamiseks EPKL-i poolt tehtud kulutused ja muud juhtumiga seotult EPKL-i vastu esitatud nõuded, kui:</t>
  </si>
  <si>
    <t>- mängijale määratakse EPKL-i või rahvusvahelise alaliidu või tiitlivõistluse korraldaja poolt karistus alkoholi ja/või dopinguainete kasutamise eest;</t>
  </si>
  <si>
    <t>- mängija on Eesti esindusvõistkonna liikmena käitunud ebaväärikalt;</t>
  </si>
  <si>
    <t>- pärast esindusvõistkonna selgumist mängija mõjuva põhjuseta loobub esindusvõistkonnas osalemisest.</t>
  </si>
  <si>
    <t>REEGLID</t>
  </si>
  <si>
    <t>Võistlused viiakse läbi rahvusvaheliste petangireeglite ja kehtiva EPKL-i välishooaja 2016 üldjuhendi järgi.</t>
  </si>
  <si>
    <t>Katsevõistlustel tohivad osaleda ainult Eesti kodakondsust omavad petankerid ja neil peab olema kehtiv F.I.P.J.P liidu alla kuuluva riigi petanque liidu litsents.</t>
  </si>
  <si>
    <t>Võistkondadel peab olema ühtne võistlusvorm (särgid).</t>
  </si>
  <si>
    <t>Võistlustele määrab kohtuniku EPKL-i juhatus.</t>
  </si>
  <si>
    <t>VÕISTLUSTE AJAD</t>
  </si>
  <si>
    <t>Meeste MM toimumiskoha ja -aja kohta ootame kinnitatud infot FIPJP-lt</t>
  </si>
  <si>
    <t>EPKL-i katsevõistlused toimuvad:</t>
  </si>
  <si>
    <t>I ring - (I etapp) - 15.05.2016 veteranid 55+ </t>
  </si>
  <si>
    <t>Singel – 03.07.2016 </t>
  </si>
  <si>
    <t>NB! Veteranide II etappi aeg otsustatakse vajadusel võistlejate arvu selgumisel. Singli võistlussüsteem ja koht antakse teada 3 päeva jooksul pärast registreerinute selgumist.</t>
  </si>
  <si>
    <t>REGISTREERIMINE</t>
  </si>
  <si>
    <t>Katsevõistlustele saab registreerida e-posti aadressil juhatus@petanque.ee kuni 11. maini 2016 kell 21.00. Registreerimisel tuleb kirja panna osavõtjate nimed ja võistkonna esindaja kontaktandmed. Lisaregistreerimist ei saa hiljem teha.</t>
  </si>
  <si>
    <t>Oma osalemisest tiitlivõistlustel peab katsevõistlused võitnud võistkond andma EPKL-ile kinnituse 19.06.2016. Loobumise korral on teiseks tulnud võistkonnal kinnituse andmiseks aega 26.06.2016 ja selle loobumisel on kolmandaks tulnud võistkonnal aega kinnitus anda 03.07.2016. Kui kõik kolm esikolmikusse tulnud võistkonnad loobuvad, siis otsustab tiitlivõistlustel osalemise EPKL-i juhatus.</t>
  </si>
  <si>
    <t>OSAVÕTUTASU</t>
  </si>
  <si>
    <t>Katsevõistlustel osalemise tasu on 120 eurot võistkonna kohta. Lisaks tuleb tasuda tagatisraha 100 eurot võistkonna kohta, mille saab tagasi peale katsevõistluste lõppu kui on mängitud kõik mängud. Juhul kui võistkond loobub edasisest võistlemisest, annab kas või ühe loobumisvõidu, siis tagatisraha tagasi ei maksta. Singli osavõtutasu on 30€. Juunioride osavõtutasu on 5 eurot mängija kohta, mida ei tagastata.</t>
  </si>
  <si>
    <t>Osavõtutasu ja tagatisraha peab olema tasutud 14.05.2016 EPKL-i a/a EE05 2200 0011 2011 4684. </t>
  </si>
  <si>
    <t>VÕISTLUSTE LÄBIVIIMISE SÜSTEEM</t>
  </si>
  <si>
    <t>Katsevõistlused koosnevad 2 ringist:</t>
  </si>
  <si>
    <t>1. I ring – mängitakse 2 etappi (mängitakse kahel eraldi päeval) turniiri süsteemis (alagrupp). Kahe etapi tulemused liidetakse ja enim kahe etapiga võite saanud kaks võistkonda pääsevad II ringi ehk finaali.</t>
  </si>
  <si>
    <t>2. II ring – FINAAL. Finaali pääsevad I ringi kaks paremat võistkonda. Finaalis mängitakse 3 võiduni.</t>
  </si>
  <si>
    <t>3. Finaali ei toimu: </t>
  </si>
  <si>
    <t>a) juhul kui peale I ringi on esimese ja teise võistkonna vahe 4 (neli) võitu või rohkem,</t>
  </si>
  <si>
    <t>b) juhul kui esimese ja teise võistkonna vahe on 3 (kolm) võitu ning omavaheliste mängude seis esimese kasuks on 4-0 (kehtib 4 võistkonna puhul).</t>
  </si>
  <si>
    <t>4. Enim võite kahe etapiga kogunud võistkond või finaali võitja on katsevõistluste võitja.</t>
  </si>
  <si>
    <t>5. Võrdsete võitude arvu korral selgitatakse paremusjärjestus järgnevalt:</t>
  </si>
  <si>
    <t>a) omavahelistes mängudes saavutatud võidud,</t>
  </si>
  <si>
    <t>b) omavaheliste mängude punktide vahe,</t>
  </si>
  <si>
    <t>d) omavaheliste mängude punktide suhe,</t>
  </si>
  <si>
    <t>e) üldine punktide suhe.</t>
  </si>
  <si>
    <t>6. Mängude järjekord etappide järgi:</t>
  </si>
  <si>
    <t>b) II etapil asetatakse võistkonnad tabelisse nii, et I etapi järel liidriks olnud võistkond on tabelis kohal nr 1, teine kohal nr. 2 jne. Viimases voorus kohtuvad omavahel esimese ja teise asetuse saanud võistkonnad, kolmandana ja neljandana asetatud võistkonnad jne.</t>
  </si>
  <si>
    <t>7. Kui katsevõistlustele registreerub üks võistkond, siis on sellel võistkonnal automaatselt õigus esindada Eestit tiitlivõistlusel.</t>
  </si>
  <si>
    <t>8. Kui katsevõistlustele registreerub kaks võistkonda, siis jääb I ring ära ja mängitakse kohe II ring ehk finaal. Finaal mängitakse nelja võiduni.</t>
  </si>
  <si>
    <t>9. Kui katsevõistlustele registreerub kolm või neli võistkonda, siis mängitakse I ringis kaks etappi ja etappidel mängitakse kaks korda „kõik kõigiga“. Finaali saavad kaks paremat ja mängiatkse 3 võiduni (punktid 2 ja 3).</t>
  </si>
  <si>
    <t>10. Kui katsevõistlustele registreerub viis võistkonda, otsustatakse võistluste läbiviimise süsteem 2 päeva jooksul peale registreerimise lõppu. </t>
  </si>
  <si>
    <t>AUHINNAD</t>
  </si>
  <si>
    <t>Parim naiskond saab õiguse esindada Eestit 2016. aasta naiste Euroopa meistrivõistlustel. </t>
  </si>
  <si>
    <t>Parim juunioride võistkond saab õiguse esindada Eestit 2016. aasta juunioride Euroopa meistrivõistlustel (kui toimuvad katsevõistlused).</t>
  </si>
  <si>
    <t>Parim naine ja mees üksikmängus saavad õiguse esindada Eestit 2016. aasta Euroopa meistrivõistlustel üksikmängus.</t>
  </si>
  <si>
    <t>Parim veteranide võistkond saab õiguse esindada Eestit 2016. aasta veteranide Euroopa meistrivõistlustel.</t>
  </si>
  <si>
    <t>Osalemise ja võistkonna kinnitab EPKL või korraldatakse katsevõistlused.</t>
  </si>
  <si>
    <t>KATSEVÕISTLUSTE JUHEND 2016</t>
  </si>
  <si>
    <t>Katsevõistluste toimumisel saab parim meeskond õiguse esindada Eestit 2016. aasta Maailmameistrivõistlustel</t>
  </si>
  <si>
    <t>c) üldine punktide vahe,</t>
  </si>
  <si>
    <t>a) I etapil loositakse tabelisse,</t>
  </si>
  <si>
    <t>Naiste EM toimub 8.–11. septembrini 2016 Slovakkias Bratislavas</t>
  </si>
  <si>
    <t>Juunioride EM toimub 28.–30. oktoobrini Monacos.</t>
  </si>
  <si>
    <t>Veteranide EM toimub 18.–20. oktoobrini Monacos.</t>
  </si>
  <si>
    <t>Singli EM toimub 4.–6. novembrini Prantsusmaal Nimes.</t>
  </si>
  <si>
    <t>I ring – (I etapp) – 14.05.2016 Tallinnas N, J</t>
  </si>
  <si>
    <t>I ring – (II etapp) – 11.06.2016 Tallinnas </t>
  </si>
  <si>
    <t>II ring - finaal – 12.06.2016 Tallinnas</t>
  </si>
  <si>
    <t>Trio, duo, üksik</t>
  </si>
  <si>
    <t>Veiko Proos</t>
  </si>
  <si>
    <t xml:space="preserve">Katri Aavekukk </t>
  </si>
  <si>
    <t>Anti Alasi</t>
  </si>
  <si>
    <t>Eve Müüdla</t>
  </si>
  <si>
    <t>Vahur Raudsepp</t>
  </si>
  <si>
    <t>Heigo Kullang</t>
  </si>
  <si>
    <t xml:space="preserve">Ljudmila Varendi </t>
  </si>
  <si>
    <t>Gunnar Hiiu</t>
  </si>
  <si>
    <t xml:space="preserve">Heili Vasser </t>
  </si>
  <si>
    <t>Peeter Mäeots</t>
  </si>
  <si>
    <t>Margus Vasser</t>
  </si>
  <si>
    <t>Roman Olmre</t>
  </si>
  <si>
    <t>Airi Kruusma</t>
  </si>
  <si>
    <t>Hannes Lõps</t>
  </si>
  <si>
    <t>Katrin Tiido</t>
  </si>
  <si>
    <t>Klavdia Piik</t>
  </si>
  <si>
    <t>Triin Mäe</t>
  </si>
  <si>
    <t>Vahur Soover</t>
  </si>
  <si>
    <t>Andrus Tommula</t>
  </si>
  <si>
    <t>Evgeny Osokin (Venemaa)</t>
  </si>
  <si>
    <t>Markus Erik Tommula</t>
  </si>
  <si>
    <t>Olga Malyarenko (Ukraina)</t>
  </si>
  <si>
    <t>Veiko Mäekivi</t>
  </si>
  <si>
    <t>Rahvusvahelised ja katsevõistlused on sinisega ja kaldkirjas</t>
  </si>
  <si>
    <t>Kadri Veljend</t>
  </si>
  <si>
    <t>Katri Aavekukk</t>
  </si>
  <si>
    <t>Marge Mägi</t>
  </si>
  <si>
    <t>Marju Velga</t>
  </si>
  <si>
    <t>Külli Kariste</t>
  </si>
  <si>
    <t>Marina Vallik</t>
  </si>
  <si>
    <t>Mihkel Filipenko</t>
  </si>
  <si>
    <t>Maive Sein</t>
  </si>
  <si>
    <t>Margus Berkmann</t>
  </si>
  <si>
    <t>Egert Kingissepp</t>
  </si>
  <si>
    <t>Meelis Münt</t>
  </si>
  <si>
    <t>Silver Kingissepp</t>
  </si>
  <si>
    <t>Aivar Sein</t>
  </si>
  <si>
    <t>Marko Ode</t>
  </si>
  <si>
    <t>Oskar Sepp (jun.)</t>
  </si>
  <si>
    <t>Ivar Viljaste</t>
  </si>
  <si>
    <t>Saku PK</t>
  </si>
  <si>
    <t>Sirje Viljaste</t>
  </si>
  <si>
    <t>Kaido Kopel</t>
  </si>
  <si>
    <t>Jaan Sepp</t>
  </si>
  <si>
    <t>Piret Kopel </t>
  </si>
  <si>
    <t>Andres Veski</t>
  </si>
  <si>
    <t>Angelika Tauk</t>
  </si>
  <si>
    <t>Toomas Tauk</t>
  </si>
  <si>
    <t>Mait Metsla</t>
  </si>
  <si>
    <t>Hardo Sokk</t>
  </si>
  <si>
    <t>Aarne Välja</t>
  </si>
  <si>
    <t>Thibaut Mathon</t>
  </si>
  <si>
    <t>Ülo Piik</t>
  </si>
  <si>
    <t>Kristjan Raudsepp</t>
  </si>
  <si>
    <t>Janek Tarto</t>
  </si>
  <si>
    <t>Heigo Kullang</t>
  </si>
  <si>
    <t>Svetlana Veski</t>
  </si>
  <si>
    <t>Vahur Raudsepp</t>
  </si>
  <si>
    <t>Kalle Orro</t>
  </si>
  <si>
    <t>Aigi Orro</t>
  </si>
  <si>
    <t>Urmo Auväärt</t>
  </si>
  <si>
    <t>Triin Gretel Tauk</t>
  </si>
  <si>
    <t>Eve Oidsalu</t>
  </si>
  <si>
    <t>Kalju Olmre</t>
  </si>
  <si>
    <t>Võru Küti PK</t>
  </si>
  <si>
    <t>Kadri Arunurm</t>
  </si>
  <si>
    <t>Toomas Hoole</t>
  </si>
  <si>
    <t>Jaan Joonas</t>
  </si>
  <si>
    <t>Valga PK</t>
  </si>
  <si>
    <t>Marek Kolk</t>
  </si>
  <si>
    <t>Maris Rõõm</t>
  </si>
  <si>
    <t>Varje Reede</t>
  </si>
  <si>
    <t>LITSENTSIGA MÄNGIJAD 2017</t>
  </si>
  <si>
    <t>Võitjad</t>
  </si>
  <si>
    <t>Kaotajad</t>
  </si>
  <si>
    <t>VK-KV</t>
  </si>
  <si>
    <t>1 - 8 koht</t>
  </si>
  <si>
    <t>4. koht</t>
  </si>
  <si>
    <t>5. koht</t>
  </si>
  <si>
    <t>6. koht</t>
  </si>
  <si>
    <t>7. koht</t>
  </si>
  <si>
    <t>8. koht</t>
  </si>
  <si>
    <t>9. koht</t>
  </si>
  <si>
    <t>10. koht</t>
  </si>
  <si>
    <t>11. koht</t>
  </si>
  <si>
    <t>Angelika Tauk</t>
  </si>
  <si>
    <t>Andero Kelu</t>
  </si>
  <si>
    <t>Triin Gretel Tauk</t>
  </si>
  <si>
    <t>EPKL-i VÕISTLUSTE LÄBIVIIMISE ÜLDJUHEND</t>
  </si>
  <si>
    <t>4.1. EPKL-il on FIPJP-i ja CEP-i liikmena ainuõigus Eestis anda välja rahvusvahelisi mängijalitsentse.</t>
  </si>
  <si>
    <t>4.2. Mängijalitsentsi saab taotleda oma klubiliikmele EPKL-i liikmeks olev klubi, kes on tasunud EPKL-i liikmemaksu, mille suurus on kehtestatud EPKL-i üldkoosoleku otsusega. Liikmemaksu tasumiseks esitab EPKL liikmeks olevale klubile vastavasisulise arve.</t>
  </si>
  <si>
    <t>koduleheküljel alajaotuses spordimeditsiin ja antidoping). Võistluspaigas on keelatud viibimine ilmses joobeseisundis, samuti on keelatud suitsetamine mängu ajal (kehtib ka e-sigarettide kohta).</t>
  </si>
  <si>
    <t>5.2. Võistluste peakohtunik kõrvaldab võistluste žürii otsusel võistlustelt võistleja, kes on alkoholijoobes või tarvitab muid spordis keelatud aineid.</t>
  </si>
  <si>
    <t>6.1.1. Võistluspaigas peab olema sekretariaadi töökoht, kust saab teavet ja ka esmaabi (näiteks vähemalt autoapteek). Soovitav on ka riiete vahetamise ja (käte)pesemise koht võistluspaiga läheduses.</t>
  </si>
  <si>
    <t>6.1.3. Tiitlivõistlustel peab võistluspaigas olema Eesti Vabariigi lipp ja soovitavalt mängitakse avamisel ka Eesti Vabariigi hümni.</t>
  </si>
  <si>
    <t>6.1.4. Tiitlivõistluste peakohtunik peab olema eelnevalt läbinud reeglite tutvustus-koolituse. Nimekiri koolituse läbinutest avaldatakse EPKL-i kodulehel.</t>
  </si>
  <si>
    <t>6.2. VÕISTLUSELE REGISTREERIMINE</t>
  </si>
  <si>
    <t>6.2.1. Võistlusele registreerimine toimub vastavalt võistluskutses märgitule. Reitinguarvestusse kuuluvatele võistlustele registreerimine lõpeb võistlusnädala neljapäeval kell 21.00. Registreerimine toimub aadressile juhatus@petanque.ee. Vähese osavõtjate arvu tõttu võistluse ärajäämisest teatatakse EPKL-i kodulehel www.petanque.ee hiljemalt võistlusnädala reedel kell 12.00. Loosi tulemused pannakse kodulehele üles hiljemalt võistlusnädala reedel kell 14.00.</t>
  </si>
  <si>
    <t>6.3.1. Juhatus kehtestab oma otsusega punktis 1.1 nimetatud võistluste osavõtumaksude piirmäärad ja avaldab need EPKL-i kodulehel enne iga sise- ja välishooaja algust. Trios registreeritud 4. ja paarismängus registreeritud 3. mängija peab samuti tasuma osavõtumaksu.</t>
  </si>
  <si>
    <t>6.3.3. Eesti tiitlivõistluste osavõtutasudest läheb 50% EPKL-ile ja 50% korraldajaklubile. Muude reitinguvõistluste osavõtutasudest läheb välishooaja võistluste puhul 70% auhinnafondi ja 30% korraldajaklubile ning sisehooaja võistluste puhul 60% auhinnafondi ja 40% korraldajaklubile.</t>
  </si>
  <si>
    <t>6.4.1. Võistluste korraldajad peavad esitama võistluskutse EPKLile vähemalt 10 kalendripäeva enne võistluste algust e-posti aadressile juhatus@petanque.ee. Võistluskutse peab sisaldama vähemalt:</t>
  </si>
  <si>
    <t>võistluste nimi</t>
  </si>
  <si>
    <t>korraldaja</t>
  </si>
  <si>
    <t>kuupäev</t>
  </si>
  <si>
    <t>toimumise koht</t>
  </si>
  <si>
    <t>peakohtuniku nimi</t>
  </si>
  <si>
    <t>võistlussüsteemi lühikirjeldus</t>
  </si>
  <si>
    <t>auhinnad</t>
  </si>
  <si>
    <t>6.4.2. Korraldaja klubi peab 2 päeva jooksul pärast võistluste lõppu saatma EPKL´ile võistluste protokolli e-posti aadressilejuhatus@petanque.ee. Võistluste protokoll peab sisaldama vähemalt:</t>
  </si>
  <si>
    <t>võistluste nimi, korraldaja, kuupäev, toimumise koht</t>
  </si>
  <si>
    <t>võistluste peakohtuniku nimi</t>
  </si>
  <si>
    <t>žürii liikmete nimed</t>
  </si>
  <si>
    <t>määratud karistused</t>
  </si>
  <si>
    <t>esitatud protestid</t>
  </si>
  <si>
    <t>lõplik paremusjärjestus</t>
  </si>
  <si>
    <t>soovituslikult fotod esikolmikust.</t>
  </si>
  <si>
    <t>6.5.1. Võistluste žürii on 3-5 liikmeline ja selle moodustab võistluste korraldaja. Žüriisse kuuluvad peakohtunik, mängijate esindaja ja võistluste korraldajate esindaja. Kui kohtunik on korraldajate klubist, siis on ta ka automaatselt korraldajate esindaja ning sellisel juhul peab olema žüriis 2 mängijate esindajat. Tuleb jälgida, et korraldajaklubi esindatus žüriis oleks vähemuses.</t>
  </si>
  <si>
    <t>6.5.2. Žürii otsused on lõplikud. Häälte võrdsuse korral otsustab peakohtuniku hääl.</t>
  </si>
  <si>
    <t>6.6.2. Kui väljakud on maha märgitud (korraldaja märgib), siis peavad nende mõõtmed olema tiitlivõistluste, katsevõistluste ja maavõistluste korraldamisel 4 x 15 m ja teistel võistlustel soovituslikult 4 x 15 m, kuid minimaalselt 3 x 12 m. Nimetatud nõuded ei kehti sisehallides. Väljakute piirideks on soovitatav kasutada nööri. Pimedal ajal peab väljakutel olema küllaldane valgustus.</t>
  </si>
  <si>
    <t>6.7. EPKL-i SPONSORITE REKLAAMID</t>
  </si>
  <si>
    <t>6.7.1. Kõikidel EPKL-i võistluste kalendris olevatel Eestis toimuvatel tiitli- ja reitinguvõistlustel peab mänguväljaku juurde olema paigaldatud EPKL-i sponsorite reklaamtahvlid. Reklaamtahvlite olemasolu eest vastutab EPKL-i juhatus. </t>
  </si>
  <si>
    <t>6.8. VÄLISMAISED MÄNGIJAD</t>
  </si>
  <si>
    <t>6.9.1. Riietus peab vastama rahvusvaheliste võistlusreeglite nõuetele.</t>
  </si>
  <si>
    <t>6.9.2. Mängijad peavad olema korrektselt riietunud, eriti on keelatud mängida palja ülakehaga ja ohutuse tagamiseks peavad mängijad kandma täielikult suletud jalatseid, mis kaitsevad varbaid ja kandu.</t>
  </si>
  <si>
    <t>6.9.3. Tiitlivõistlustel, katsevõistlustel ja maavõistlustel peab ühe võistkonna mängijatel olema ühtne võistlussärk.</t>
  </si>
  <si>
    <t>6.9.4. Mängijad, kes ei järgi eeltoodud reegleid, eemaldatakse pärast kohtuniku poolt tehtud hoiatust võistlustelt.</t>
  </si>
  <si>
    <t>6.9.5. Eestit rahvusvahelistel tiitlivõistlustel esindavale võistkonnale antakse EPKL-i poolt võistlusvorm (särk).</t>
  </si>
  <si>
    <t>6.10.1. Tabelisse asetamisel arvestatakse jooksva aasta reitingupunkte, kehtib reitingutabel võistlusele eelneva kolmapäeva seisuga. Välishooaja esimesel võistlusel arvestatakse eelnenud sisehooaja reitingutabelit, sisehooaja esimesel võistlusel arvestatakse eelnenud välishooaja reitingutabelit. Võistkonna reitingupunktide arvestus (summeerimine) toimub alljärgnevalt: </t>
  </si>
  <si>
    <t>trio: 3 liikmeline võistkond – liidetakse mängijate punktid;</t>
  </si>
  <si>
    <t>trio: 4 liikmeline võistkond – liidetakse 4 mängija punktid, jagatakse 4-ga ja korrutatakse 3-ga,</t>
  </si>
  <si>
    <t>paarismäng: 2 liikmeline võistkond – liidetakse mängijate punktid;</t>
  </si>
  <si>
    <t>paarismäng: 3 liikmeline võistkond – mängijate punktid liidetakse, jagatakse 3-ga ja korrutatakse 2-ga;</t>
  </si>
  <si>
    <t>üksikmäng – mängija punktid.</t>
  </si>
  <si>
    <t>6.10.2. Puulidesse loositakse tugevusgruppide alusel vastavalt puulide arvule. Loosimise viib läbi kolmeliikmeline komisjon koosseisus peakohtunik, EPKL-i juhatuse liige ja mängijate esindaja.</t>
  </si>
  <si>
    <t>6.10.4. Puulidele järgneva karikasüsteemi puhul tehakse karikatabelisse loosimine pärast puulide lõppemist kohapeal. Loosimise teeb võistluse žürii.</t>
  </si>
  <si>
    <t>6.10.5. Šveitsi süsteemi kasutamisel asetatakse esimeses voorus pooled kõrgemate reitingupunktidega võistkonnad ja vastased loositakse (näiteks: kui on registreerunud 16 võistkonda, siis reitingu 1.-8. kohal olevad võistkonnad asetatakse ja neile loositakse vastasteks reitingu 9.-16. kohal olevad võistkonnad). Paaritu arvu võistkondade puhul jääb esimeses voorus vabaks üks loosiga määratavatest võistkondadest. Kui pärast Šveitsi süsteemis toimunud eelringi jätkatakse võistlust karikasüsteemis, siis paigutatakse võistkonnad karikatabelisse eelringi paremusjärjestust arvestades (loosimist ei toimu).</t>
  </si>
  <si>
    <t>6.10.6. Võistlusel kasutatav võistlussüsteem peab tagama võitjate võimalikult õiglasema väljaselgitamise.</t>
  </si>
  <si>
    <t>6.10.9. Mängudega puulides tuleb need moodustada nii, et edasi pääseks otse karikasüsteemi võistkondade arvuga 4-8-16-32 jne. On oluline, et igast puulist pääseks edasi sama arv võistkondi.</t>
  </si>
  <si>
    <t>6.10.10. Võistluste jätkamisel puuli-süsteemis loositakse vastavalt puulide arvule paremusjärjestuses esimesed võistkonnad eri puulidesse, siis paremusjärjestuses järgnevad jne. Jätkates karikasüsteemis, võib puulide võitjad ja teised kohad loosida kohe segamini, kuid siiski nii, et sama puuli esimene ja teine koht (või vastavalt kolmas ja neljas koht) ei satuks esimeses ringis vastamisi. Kui võistlustel on 4 või 8 puuli, siis karikasüsteemi paigutamisel ei tohi sama puuli võistkonnad omavahel kohtuda enne finaali.</t>
  </si>
  <si>
    <t>6.10.11. Karikasüsteemis võib paarid loosida iga ringi järel või ühekordselt ja edasised karikaringid toimuvad tabeli järgi. Korraldaja peab teatama enne võistluste algust, kuidas toimub loosimine võistluste käigus.</t>
  </si>
  <si>
    <t>6.10.12. Kui võistlus toimub segasüsteemis (üks puuli ring ja karikasüsteem), siis on võistlussüsteem alljärgnev:</t>
  </si>
  <si>
    <t>Võistkondade arv 6-8: 2 puuli, poolfinaal, finaal;</t>
  </si>
  <si>
    <t>Võistkondade arv 9-11: 3 puuli, veerandfinaal (kus kahel võistkonnal vastane puudub), poolfinaal, finaal;</t>
  </si>
  <si>
    <t>Võistkondade arv 12-16: 4 puuli, veerandfinaal, poolfinaal, finaal;</t>
  </si>
  <si>
    <t>Võistkondade arv 17: 5 puuli, 1/8 finaal (kus kuuel võistkonnal vastane puudub), veerandfinaal, poolfinaal, finaal;</t>
  </si>
  <si>
    <t>Võistkondade arv 18-20: 6 puuli, 1/8 finaal (kus neljal võistkonnal vastane puudub), veerandfinaal, poolfinaal, finaal;</t>
  </si>
  <si>
    <t>Võistkondade arv 21-23: 7 puuli, 1/8 finaal (kus kahel võistkonnal vastane puudub), veerandfinaal, poolfinaal, finaal;</t>
  </si>
  <si>
    <t>Võistkondade arv 24-32: 8 puuli, 1/8 finaal, veerandfinaal, poolfinaal, finaal;</t>
  </si>
  <si>
    <t>Võistkondade arv 33-36: 9 puuli, 1/16 finaal (kus 14 võistkonnal vastane puudub), 1/8 finaal, veerandfinaal, poolfinaal, finaal;</t>
  </si>
  <si>
    <t>Võistkondade arv 37-40: 10 puuli, 1/16 finaal (kus 12 võistkonnal vastane puudub), 1/8 finaal, veerandfinaal, poolfinaal, finaal;</t>
  </si>
  <si>
    <t>7.1. Eesti meistrivõistlustel autasustatakse esikolmikusse tulnud mängijad medaliga.</t>
  </si>
  <si>
    <t>7.2. Reitinguvõistlustel peab korraldaja võistluskutses välja tooma auhinnad ja nende väärtuse, kusjuures esikolmikule peab olema tagatud auhinnafond vähemalt 70% ulatuses osavõtumaksudest välishooaja võistluste puhul ja vähemalt 60% sisehooaja võistluste puhul.</t>
  </si>
  <si>
    <t>7.3. Välishooaja Eesti meistrivõistluste osavõtumaksudest läheb 50% korraldajale ja 50% EPKL-i poolt kogutavasse välishooaja reitingu kokkuvõtte auhinnafondi (meeste ja naiste reiting).</t>
  </si>
  <si>
    <t>8.1. Loobumiskaotuse andnud võistkond/võistleja (tulemus 0:13) kõrvaldatakse võistlustelt. Loobumisel jääb võistkond/võistleja ilma oma kohast ja teised võistkonnad/võistlejad liiguvad koha võrra edasi. Võistlustest loobumise korral tuleb teavitada võistluste peakohtunikku. Kui võistkond või võistleja lahkub võistlustelt (ka teavitamise korral), rakendatakse loobunud võistkonna/võistleja suhtes alljärgnevaid trahve: </t>
  </si>
  <si>
    <t>Trahvi määrab võistluse korraldaja. Määratud trahvisumma ja selle tasumise/mittetasumise kohta tehakse märge võistluse protokolli. Trahve ei rakendata vaid Eesti saarte praamile minejatele või muul võistluste žürii hinnangu kohasel mõjuval põhjusel (nt terviserike, viimase kohamängu eeldatavalt väga pikk ooteaeg ja seejärel pikk teekond koju vms). Mängija, kes ei ole eeltoodud trahvi võistluse korraldajale või EPKL-ile tasunud, ei saa enne trahvi tasumist järgmistel võistlustel osaleda (vastutab järgmiste võistluste korraldaja). Trahvisumma jagatakse võrdselt EPKLi ja trahvi määranud võistluse korraldaja vahel.</t>
  </si>
  <si>
    <t>8.2. Kui võistkond või mängija leiab, et tema huvid on kohtuniku otsuse tõttu tõsiselt kahjustatud, on tal õigus esitada protesti. Võistkonna esindaja poolt allkirjastatud protest tuleb esitada võistluste peakohtunikule või korraldajale koheselt pärast mängu (hiljemalt 15 minuti jooksul mängu lõppemisest arvates), kui protest puudutab konkreetset mängusituatsiooni või koheselt pärast võistluste lõppu (15 minuti jooksul pärast viimase mängu lõppemist), kui protest puudutab võistluste korraldust.</t>
  </si>
  <si>
    <t>8.3. Protest (näidisvorm on saadaval veebilehel www.petanque.ee) tuleb esitada koos 30 (kolmkümmend) euro suuruse tagatismaksuga.</t>
  </si>
  <si>
    <t>8.4. Esitatud protest peab sisaldama vähemalt:</t>
  </si>
  <si>
    <t>võistluse nimi;</t>
  </si>
  <si>
    <t>kuupäev;</t>
  </si>
  <si>
    <t>protesti esitamise kellaaeg;</t>
  </si>
  <si>
    <t>protesti sisu;</t>
  </si>
  <si>
    <t>protesti esitaja nimi ja allkiri;</t>
  </si>
  <si>
    <t>protesti vastuvõtja nimi ja allkiri.</t>
  </si>
  <si>
    <t>8.5. Protesti lahendab võistluste žürii mõistliku aja jooksul, kuid mitte hiljem kui 3 (kolme) päeva jooksul ning teatab otsusest kirjalikult protesti esitajale. Kui protest saab positiivse lahenduse esitaja jaoks, siis tagatismaks tagastatakse.</t>
  </si>
  <si>
    <t>9.1. Mängija, kes eksib sportliku käitumise reeglite vastu, või veelgi hullem, näidates üles mitteaustust (nt. alkoholijoobes olek, jne) või vägivaldsust korraldajate, kohtunike, teiste mängijate või pealtvaatajate suhtes, saab karistatud sõltuvalt rikkumise suurusest ühe või mitme karistusega, mis on toodud alljärgnevalt:</t>
  </si>
  <si>
    <t>9.1.1. Võistlustelt eemaldamine – karistuse määrab võistluse žürii, kelle otsus on lõplik;</t>
  </si>
  <si>
    <t>9.1.2. Mängijalitsentsi tühistamine – ettepaneku teeb võistluse žürii, otsustab EPKL-i juhatus;</t>
  </si>
  <si>
    <t>9.1.3. Auhindade mitte väljaandmine – karistuse määrab võistluse žürii, teatades sellest 48 tunni jooksul kirjalikult EPKL-i juhatusele (võistluse protokollis), millisel juhul kuuluvad auhinnad tagastamisele korraldajale.</t>
  </si>
  <si>
    <t>9.2. Karistus, mis on rakendatud võistkonna ühe mängija suhtes,  võib laieneda ka tema võistkonna liikmetele.</t>
  </si>
  <si>
    <t>9.3. Kõik määratud karistused tuleb peakohtuniku poolt fikseerida võistluse protokollis ja protokoll edastada EPKL-i juhatusele juhendis määratud tähtaja jooksul.</t>
  </si>
  <si>
    <t>9.4. Võistluselt eemaldatud mängija jääb ilma reitingupunktidest ja klubil, kelle liige mängija on, tuleb maksta trahvi 13.- eurot mängija kohta. Karistatud mängija ei saa enne osaleda järgmisel võistlusel, kui määratud trahv on tasutud.</t>
  </si>
  <si>
    <t>9.5. Trahvisumma jagatakse pooleks EPKL-i ja võistluse korraldaja vahel.</t>
  </si>
  <si>
    <t>EPKL-i VÄLISHOOAJA VÕISTLUSTE REITINGU JUHEND (kehtib perioodil 01. mai – 30. oktoober)</t>
  </si>
  <si>
    <t>1. Välishooajal lähevad reitinguarvestusse vastavalt EPKL-i poolt antud hooajaks kinnitatud kalendrile:</t>
  </si>
  <si>
    <t>c. Eelnenud sisehooaja reitingutabeli paremusjärjestus, mida arvestatakse välishooaja reitingutabelis igal juhul ühe reitinguvõistlusena.</t>
  </si>
  <si>
    <t>2. Reitingupunkte arvestatakse ainult siis, kui võistlustel osaleb vähemalt 6 (kuus) võistlejat/võistkonda. Trios neljandana ja paarismängus kolmandana registreeritud võistlejale arvestatakse reitingupunkte ainult juhul, kui ta on võistluse käigus osalenud vähemalt ühes mängus.</t>
  </si>
  <si>
    <t>3. Reitinguarvestust peetakse neljas kategoorias:</t>
  </si>
  <si>
    <t>a. üldreiting (paremusjärjestus võistluste eelringides puulidesse või Šveitsi süsteemi tabelisse paigutamiseks);</t>
  </si>
  <si>
    <t>b. üldreitingu parim mees (koostatakse eraldi tabel paremaks jälgimiseks);</t>
  </si>
  <si>
    <t>d. üldreitingu parim juunior (koostatakse eraldi tabel paremaks jälgimiseks).</t>
  </si>
  <si>
    <t>4. Üldreitingusse lähevad nii meeste, naiste kui ka juunioride tulemused. Arvestus toimub vastavalt üldreitingu tabelile. </t>
  </si>
  <si>
    <t>5. Naiste ja juunioride puhul toimub EMV-l eraldi punktiarvestus üksikmängus (S) ja tulistamises (TUL) (vt punktitabel). Kui naisi osaleb võistlusel vähem kui 6, siis võistlevad nad koos meestega ja reitingupunkte saavad vastavalt EMV punktitabelile. Kui juuniore osaleb võistlusel vähem kui 6, siis võistlevad naisjuuniorid koos naistega ja meesjuuniorid koos meestega. Naisjuuniorid saavad sel juhul reitingupunkte vastavalt naiste (S ja TUL) punktitabelile ja meesjuuniorid saavad reitingupunkte vastavalt EMV punktitabelile. Kui naisi (koos naisjuunioridega) osaleb võistlusel vähem kui 6, siis võistlevad nad koos meestega ja reitingupunkte saavad vastavalt EMV punktitabelile.</t>
  </si>
  <si>
    <t>6. Võrdsete punktide korral saab reitingutabelis kõrgema koha võistleja, kellel on rohkem kõrgema koha punkte.</t>
  </si>
  <si>
    <t>7. Eraldi nii naiste kui meeste arvestuses autasustatakse reitingu kuut parimat mängijat järgnevalt:</t>
  </si>
  <si>
    <t>a. I koht: rahaline auhind (25% EPKL-ile laekunud Eesti meistrivõistluste osalustasudest) + meene + järgmise võistlushooaja litsents;</t>
  </si>
  <si>
    <t>b. II koht: rahaline auhind (15% EPKL-ile laekunud Eesti meistrivõistluste osalustasudest) + meene + järgmise võistlushooaja litsents;</t>
  </si>
  <si>
    <t>c. III koht: rahaline auhind (10% EPKL-ile laekunud Eesti meistrivõistluste osalustasudest) + meene + järgmise võistlushooaja litsents;</t>
  </si>
  <si>
    <t>d. IV – VI koht: järgmise võistlushooaja litsents.</t>
  </si>
  <si>
    <t>8. Kolme parimat juuniori autasustatakse meenetega. </t>
  </si>
  <si>
    <t>Käesolev juhend on kehtiv alates 01. maist 2017.a</t>
  </si>
  <si>
    <t>EPKL-I REITINGU JUHEND (2017)</t>
  </si>
  <si>
    <t>b. Reitinguvõistlused, millest kokkuvõttes arvestatakse maha 1 halvim tulemus, kui reitinguvõistlusi on kuni 6; 2 halvimat tulemust, kui reitinguvõistlusi on 7-9; 3 halvimat tulemust, kui reitinguvõistlusi on 10 või rohkem;</t>
  </si>
  <si>
    <t>a. Eesti meistrivõistlused (EMV) üksikmängus, paarismängus, trios, segatrios, segapaarismängus ja tulistamisharjutuses, millest kokkuvõttes arvestatakse maha 1 halvim tulemus;</t>
  </si>
  <si>
    <t>c. üldreitingu parim naine (koostatakse eraldi tabel paremaks jälgimiseks);</t>
  </si>
  <si>
    <t>Arvesse läheb 10 võistlust 12st  (5 reitinguvõistlust 6st + 5 Eesti MV-d 6st) + sisereiting</t>
  </si>
  <si>
    <t>Saku PK</t>
  </si>
  <si>
    <t>PK Wicia</t>
  </si>
  <si>
    <t>10:00</t>
  </si>
  <si>
    <t>11:00</t>
  </si>
  <si>
    <t>I</t>
  </si>
  <si>
    <t>II</t>
  </si>
  <si>
    <t>III</t>
  </si>
  <si>
    <t>B1</t>
  </si>
  <si>
    <t>V-K</t>
  </si>
  <si>
    <t>2-0</t>
  </si>
  <si>
    <t>0-2</t>
  </si>
  <si>
    <t>1-1</t>
  </si>
  <si>
    <t>D2</t>
  </si>
  <si>
    <t>A1</t>
  </si>
  <si>
    <t>C2</t>
  </si>
  <si>
    <t>C1</t>
  </si>
  <si>
    <t>B2</t>
  </si>
  <si>
    <t>D1</t>
  </si>
  <si>
    <t>A2</t>
  </si>
  <si>
    <t>Tasu</t>
  </si>
  <si>
    <t>2-2</t>
  </si>
  <si>
    <t>0-4</t>
  </si>
  <si>
    <t>V</t>
  </si>
  <si>
    <t>4-0</t>
  </si>
  <si>
    <t>1. voor</t>
  </si>
  <si>
    <t>2 - 5</t>
  </si>
  <si>
    <t>3 - 4</t>
  </si>
  <si>
    <t>2. voor</t>
  </si>
  <si>
    <t>1 - 3</t>
  </si>
  <si>
    <t>4 - 5</t>
  </si>
  <si>
    <t>3. voor</t>
  </si>
  <si>
    <t>1 - 5</t>
  </si>
  <si>
    <t>2 - 4</t>
  </si>
  <si>
    <t>4. voor</t>
  </si>
  <si>
    <t>3 - 5</t>
  </si>
  <si>
    <t>5. voor</t>
  </si>
  <si>
    <t>2 - 3</t>
  </si>
  <si>
    <t>1 - 4</t>
  </si>
  <si>
    <t>Angelika Tauk, Eve Oidsalu, Kadri Arunurm</t>
  </si>
  <si>
    <t>Katri Aavekukk, Külli Kariste, Merike Aava</t>
  </si>
  <si>
    <t>1-3</t>
  </si>
  <si>
    <t>3-1</t>
  </si>
  <si>
    <t>1 - 2</t>
  </si>
  <si>
    <t>VETERANID</t>
  </si>
  <si>
    <t>Alari Keedus</t>
  </si>
  <si>
    <t>Kertu Palm</t>
  </si>
  <si>
    <t>Anny Lusbo</t>
  </si>
  <si>
    <t>Maret Arike</t>
  </si>
  <si>
    <t>1 - 4 koht</t>
  </si>
  <si>
    <t>12. koht</t>
  </si>
  <si>
    <t>13. koht</t>
  </si>
  <si>
    <t>14. koht</t>
  </si>
  <si>
    <t>15. koht</t>
  </si>
  <si>
    <t>16. koht</t>
  </si>
  <si>
    <t>17. koht</t>
  </si>
  <si>
    <t>18. koht</t>
  </si>
  <si>
    <t>19. koht</t>
  </si>
  <si>
    <t>20. koht</t>
  </si>
  <si>
    <t>Aigi Orro, Kalle Orro</t>
  </si>
  <si>
    <t>Kevin Kangur, Maris Rõõm</t>
  </si>
  <si>
    <t>Toomas Reede, Varje Reede</t>
  </si>
  <si>
    <t>Marek Lehis, Margo Peebo, Margus Strööm</t>
  </si>
  <si>
    <t>9 - 16 koht</t>
  </si>
  <si>
    <t>Irene Võrklaev</t>
  </si>
  <si>
    <t>Mare Kingissepp</t>
  </si>
  <si>
    <t>Toomas Reede</t>
  </si>
  <si>
    <t>Tiit Kattai</t>
  </si>
  <si>
    <t>Anna Liisa Kattai (jun.)</t>
  </si>
  <si>
    <t>Kevin Kangur</t>
  </si>
  <si>
    <t>Aimar Poom</t>
  </si>
  <si>
    <t>Alari Keedus</t>
  </si>
  <si>
    <t>10:30</t>
  </si>
  <si>
    <t>Skoor</t>
  </si>
  <si>
    <t>A</t>
  </si>
  <si>
    <t>S</t>
  </si>
  <si>
    <t>Buch</t>
  </si>
  <si>
    <t>1. + 2. voor</t>
  </si>
  <si>
    <t>jrk</t>
  </si>
  <si>
    <t>ÜMBERVISKED</t>
  </si>
  <si>
    <t xml:space="preserve">Kokku: </t>
  </si>
  <si>
    <t>Eve Tõnisson</t>
  </si>
  <si>
    <t>Romek Tarto</t>
  </si>
  <si>
    <t>1-4,2-3</t>
  </si>
  <si>
    <t>-</t>
  </si>
  <si>
    <t>F2</t>
  </si>
  <si>
    <t>E1</t>
  </si>
  <si>
    <t>F1</t>
  </si>
  <si>
    <t>E2</t>
  </si>
  <si>
    <t>5 - 8 koht</t>
  </si>
  <si>
    <t>C3</t>
  </si>
  <si>
    <t>B3</t>
  </si>
  <si>
    <t>D3</t>
  </si>
  <si>
    <t>F3</t>
  </si>
  <si>
    <t>E3</t>
  </si>
  <si>
    <t>A3</t>
  </si>
  <si>
    <t>21. koht</t>
  </si>
  <si>
    <t>22. koht</t>
  </si>
  <si>
    <t>23. koht</t>
  </si>
  <si>
    <t>Ljudmila Varendi</t>
  </si>
  <si>
    <t>1. koht</t>
  </si>
  <si>
    <t>2. koht</t>
  </si>
  <si>
    <t>3. koht</t>
  </si>
  <si>
    <t>* M</t>
  </si>
  <si>
    <t>9 - 12 koht</t>
  </si>
  <si>
    <t>3-0</t>
  </si>
  <si>
    <t>0-3</t>
  </si>
  <si>
    <t>G1</t>
  </si>
  <si>
    <t>G2</t>
  </si>
  <si>
    <t>G3</t>
  </si>
  <si>
    <t>vahevooru 1</t>
  </si>
  <si>
    <t>vahevooru 2</t>
  </si>
  <si>
    <t>vahevooru 3</t>
  </si>
  <si>
    <t>vahevooru 4</t>
  </si>
  <si>
    <t>edasi 2</t>
  </si>
  <si>
    <t>edasi 1</t>
  </si>
  <si>
    <t>edasi 3</t>
  </si>
  <si>
    <t>edasi 4</t>
  </si>
  <si>
    <t>20-21</t>
  </si>
  <si>
    <t>23-24</t>
  </si>
  <si>
    <t>Anti alasi</t>
  </si>
  <si>
    <r>
      <rPr>
        <b/>
        <sz val="10"/>
        <rFont val="Calibri"/>
        <family val="2"/>
        <charset val="186"/>
        <scheme val="minor"/>
      </rPr>
      <t>S**</t>
    </r>
    <r>
      <rPr>
        <sz val="10"/>
        <rFont val="Arial"/>
        <family val="2"/>
        <charset val="186"/>
      </rPr>
      <t xml:space="preserve"> - segaduo</t>
    </r>
  </si>
  <si>
    <r>
      <rPr>
        <b/>
        <sz val="10"/>
        <rFont val="Calibri"/>
        <family val="2"/>
        <charset val="186"/>
        <scheme val="minor"/>
      </rPr>
      <t>***</t>
    </r>
    <r>
      <rPr>
        <sz val="10"/>
        <rFont val="Arial"/>
        <family val="2"/>
        <charset val="186"/>
      </rPr>
      <t xml:space="preserve"> - trio</t>
    </r>
  </si>
  <si>
    <r>
      <rPr>
        <b/>
        <sz val="10"/>
        <rFont val="Calibri"/>
        <family val="2"/>
        <charset val="186"/>
        <scheme val="minor"/>
      </rPr>
      <t>*</t>
    </r>
    <r>
      <rPr>
        <sz val="10"/>
        <rFont val="Arial"/>
        <family val="2"/>
        <charset val="186"/>
      </rPr>
      <t xml:space="preserve"> - üksik</t>
    </r>
  </si>
  <si>
    <t>17 - 24 koht</t>
  </si>
  <si>
    <t>24. koht</t>
  </si>
  <si>
    <t>:</t>
  </si>
  <si>
    <t>Jaan Joonas, Toomas Hoole</t>
  </si>
  <si>
    <t>Tõnu Sõrmus, Viljar Kerb</t>
  </si>
  <si>
    <t>Marek Lehis, Peeter Mäeots</t>
  </si>
  <si>
    <t>Danel Pilv</t>
  </si>
  <si>
    <t>Jaan Lüitsepp</t>
  </si>
  <si>
    <t>Mauno Mill</t>
  </si>
  <si>
    <t>Mihkel Lillemets</t>
  </si>
  <si>
    <t>Egils Lejnieks (Läti)</t>
  </si>
  <si>
    <t>Agita Lejniece (Läti)</t>
  </si>
  <si>
    <t>Janek Kangur</t>
  </si>
  <si>
    <t>Uudo Blaasen</t>
  </si>
  <si>
    <t>Marika Poom</t>
  </si>
  <si>
    <t>Robert Schmidt</t>
  </si>
  <si>
    <t>Anneli Kattai</t>
  </si>
  <si>
    <t>Viljar Kerb</t>
  </si>
  <si>
    <t>Tõnu Sõrmus</t>
  </si>
  <si>
    <t>Kohtla-Järve SHK, Ivar Viljaste</t>
  </si>
  <si>
    <t>Ruudi Väärtnõu</t>
  </si>
  <si>
    <t>Andres Pebre</t>
  </si>
  <si>
    <t>Andrus Treiman</t>
  </si>
  <si>
    <t>Tõnu Piik</t>
  </si>
  <si>
    <t>Marita Salomäki (Soome)</t>
  </si>
  <si>
    <t>Tapio Salomäki (Soome)</t>
  </si>
  <si>
    <t>Boriss Klubov</t>
  </si>
  <si>
    <t>Sari Muko (Soome)</t>
  </si>
  <si>
    <t>Katrin Lember</t>
  </si>
  <si>
    <t>Alex Lember</t>
  </si>
  <si>
    <t>Ville Liimatainen (Soome)</t>
  </si>
  <si>
    <t>Pentti Leppänen (Soome)</t>
  </si>
  <si>
    <t>Tuula Hallikainen (Soome)</t>
  </si>
  <si>
    <t>Eeva Liisa Perttula (Soome)</t>
  </si>
  <si>
    <t>Meelis Münt</t>
  </si>
  <si>
    <t>Joonas Tohert</t>
  </si>
  <si>
    <t>Gunnar Usin</t>
  </si>
  <si>
    <t>T M</t>
  </si>
  <si>
    <t>T N</t>
  </si>
  <si>
    <t>T J</t>
  </si>
  <si>
    <t>Aivar Sein, Maive Sein, Varje Reede</t>
  </si>
  <si>
    <t>Aimar Poom, Kertu Palm, Valmar Pantšenko</t>
  </si>
  <si>
    <t>Egert Kingissepp, Mare Kingissepp, Marge Mägi, Silver Kingissepp</t>
  </si>
  <si>
    <t>Maive Sein, Varje Reede</t>
  </si>
  <si>
    <t>Kevin Sten Liik, Mare Kingissepp, Marge Mägi</t>
  </si>
  <si>
    <t>M1</t>
  </si>
  <si>
    <t>M2</t>
  </si>
  <si>
    <t>M3</t>
  </si>
  <si>
    <t>EST</t>
  </si>
  <si>
    <t>FIN</t>
  </si>
  <si>
    <t>V 55+</t>
  </si>
  <si>
    <t>6. voor</t>
  </si>
  <si>
    <t>Kaido Kopel, Margus Berkmann, Meelis Münt, Veiko Proos</t>
  </si>
  <si>
    <t>Andero Kelu, Hardo Sokk, Kalju Olmre, Thibaut Sergeï Mathon</t>
  </si>
  <si>
    <t>Gunnar Usin, Jaan Joonas, Marek Kolk, Toomas Hoole</t>
  </si>
  <si>
    <t>Marko Ode, Mihkel Filipenko, Silver Kingissepp, Urmo Auväärt</t>
  </si>
  <si>
    <t>Maive Sein, Maris Rõõm, Varje Reede</t>
  </si>
  <si>
    <t>1. etapp</t>
  </si>
  <si>
    <t>2. etapp</t>
  </si>
  <si>
    <t>6-2</t>
  </si>
  <si>
    <t>2-6</t>
  </si>
  <si>
    <t>4-4</t>
  </si>
  <si>
    <t>3-5</t>
  </si>
  <si>
    <t>Ivar Viljaste, Kalju Olmre, Matti Vinni, Sirje Viljaste</t>
  </si>
  <si>
    <t>Aivar Sein, Marina Vallik, Riina Ilves</t>
  </si>
  <si>
    <t>Aarne Välja, Andres Veski, Kalle Orro, Mait Metsla</t>
  </si>
  <si>
    <t>7-1</t>
  </si>
  <si>
    <t>8-0</t>
  </si>
  <si>
    <t>5-3</t>
  </si>
  <si>
    <t xml:space="preserve">Alar Sinimäe, Kristjan Raudsepp, Vahur Raudsepp
</t>
  </si>
  <si>
    <t>Finaali</t>
  </si>
  <si>
    <t>0-8</t>
  </si>
  <si>
    <t>Finaalis mängitakse 3 võiduni.</t>
  </si>
  <si>
    <t xml:space="preserve">   Rasvases trükis on Ida-Virumaa petankerid</t>
  </si>
  <si>
    <t>Trio (M,N,55+,J)</t>
  </si>
  <si>
    <t>MM-ile</t>
  </si>
  <si>
    <t>EM-ile</t>
  </si>
  <si>
    <t xml:space="preserve">b) juhul kui esimese ja teise võistkonna vahe on 3 (kolm) võitu </t>
  </si>
  <si>
    <r>
      <t xml:space="preserve">ning omavaheliste mängude seis esimese kasuks on 4-0 </t>
    </r>
    <r>
      <rPr>
        <sz val="10"/>
        <color rgb="FFFF0000"/>
        <rFont val="Arial"/>
        <family val="2"/>
        <charset val="186"/>
      </rPr>
      <t>(kehtib 4 võistkonna puhul)</t>
    </r>
    <r>
      <rPr>
        <sz val="10"/>
        <color theme="1"/>
        <rFont val="Arial"/>
        <family val="2"/>
        <charset val="186"/>
      </rPr>
      <t>.</t>
    </r>
  </si>
  <si>
    <t>MM-ile sõitja selgus juba esimeses ringis</t>
  </si>
  <si>
    <t>EM-ile sõitja selgus juba esimeses ringis</t>
  </si>
  <si>
    <t>Juhendist:</t>
  </si>
  <si>
    <t>Naistel oleks pidanud finaal toimuma</t>
  </si>
  <si>
    <t>L, 09.06.2018</t>
  </si>
  <si>
    <t>P, 10.06.2018</t>
  </si>
  <si>
    <t>L, 30.06.2018</t>
  </si>
  <si>
    <t>Tartu</t>
  </si>
  <si>
    <t>P, 01.07.2018</t>
  </si>
  <si>
    <t>L, 21.07.2018</t>
  </si>
  <si>
    <t>P, 22.07.2018</t>
  </si>
  <si>
    <t>L, 04.08.2018</t>
  </si>
  <si>
    <t>P, 05.08.2018</t>
  </si>
  <si>
    <t>P, 15.07.2018</t>
  </si>
  <si>
    <t>P, 19.08.2018</t>
  </si>
  <si>
    <t>Võru</t>
  </si>
  <si>
    <t>EESTI PETANGIKALENDER 2018</t>
  </si>
  <si>
    <t>Seisuga 09.03.2018</t>
  </si>
  <si>
    <t>L, 05.05.2018</t>
  </si>
  <si>
    <t>P, 06.05.2018</t>
  </si>
  <si>
    <t>L, 12.05.2018</t>
  </si>
  <si>
    <t>P, 13.05.2018</t>
  </si>
  <si>
    <t>L, 02.06.2018</t>
  </si>
  <si>
    <t>L, 16.06.2018</t>
  </si>
  <si>
    <t>P, 17.06.2018</t>
  </si>
  <si>
    <t>EESTI PETANGI VÄLISHOOAJA REITING 2018</t>
  </si>
  <si>
    <t>k</t>
  </si>
  <si>
    <t>Thibaut Sergeï Mathon</t>
  </si>
  <si>
    <t>v</t>
  </si>
  <si>
    <t>Katri Aavekukk</t>
  </si>
  <si>
    <t>Tanel Vähk</t>
  </si>
  <si>
    <t>Ingar Mäesalu</t>
  </si>
  <si>
    <t>Jelena Brakina</t>
  </si>
  <si>
    <t>Piibe Kerge</t>
  </si>
  <si>
    <t>Marju Velga</t>
  </si>
  <si>
    <t>Vello Pluum</t>
  </si>
  <si>
    <t>Endla Antsve</t>
  </si>
  <si>
    <t>Kaido Antsve</t>
  </si>
  <si>
    <t>Anu Uusio</t>
  </si>
  <si>
    <t>Ilmar Vainsalu</t>
  </si>
  <si>
    <t>Kati Nieminen</t>
  </si>
  <si>
    <t>Reiting, 5. Viru karikas</t>
  </si>
  <si>
    <t>Reiting, Maestro karikas</t>
  </si>
  <si>
    <t>L, 08.09.2018</t>
  </si>
  <si>
    <t>P, 09.09.2018</t>
  </si>
  <si>
    <t>Nimi</t>
  </si>
  <si>
    <t>Suhe</t>
  </si>
  <si>
    <r>
      <t xml:space="preserve">Andero Kelu, </t>
    </r>
    <r>
      <rPr>
        <sz val="10"/>
        <color rgb="FFCC0000"/>
        <rFont val="Arial"/>
        <family val="2"/>
        <charset val="186"/>
      </rPr>
      <t>Maris Rõõm</t>
    </r>
  </si>
  <si>
    <r>
      <rPr>
        <sz val="10"/>
        <color rgb="FFCC0000"/>
        <rFont val="Arial"/>
        <family val="2"/>
        <charset val="186"/>
      </rPr>
      <t>Irene Võrklaev</t>
    </r>
    <r>
      <rPr>
        <sz val="10"/>
        <color theme="1"/>
        <rFont val="Arial"/>
        <family val="2"/>
        <charset val="186"/>
      </rPr>
      <t>, Ruudi Väärtnõu</t>
    </r>
  </si>
  <si>
    <r>
      <t xml:space="preserve">Aivar Sein, </t>
    </r>
    <r>
      <rPr>
        <sz val="10"/>
        <color rgb="FFCC0000"/>
        <rFont val="Arial"/>
        <family val="2"/>
        <charset val="186"/>
      </rPr>
      <t>Maive Sein</t>
    </r>
  </si>
  <si>
    <r>
      <rPr>
        <sz val="10"/>
        <color rgb="FFCC0000"/>
        <rFont val="Arial"/>
        <family val="2"/>
        <charset val="186"/>
      </rPr>
      <t>Kertu Palm</t>
    </r>
    <r>
      <rPr>
        <sz val="10"/>
        <color theme="1"/>
        <rFont val="Arial"/>
        <family val="2"/>
        <charset val="186"/>
      </rPr>
      <t>, Marek Kolk</t>
    </r>
  </si>
  <si>
    <r>
      <rPr>
        <sz val="10"/>
        <color rgb="FFCC0000"/>
        <rFont val="Arial"/>
        <family val="2"/>
        <charset val="186"/>
      </rPr>
      <t>Katri Aavekukk</t>
    </r>
    <r>
      <rPr>
        <sz val="10"/>
        <color theme="1"/>
        <rFont val="Arial"/>
        <family val="2"/>
        <charset val="186"/>
      </rPr>
      <t>, Margus Berkmann</t>
    </r>
  </si>
  <si>
    <r>
      <rPr>
        <sz val="10"/>
        <color rgb="FFCC0000"/>
        <rFont val="Arial"/>
        <family val="2"/>
        <charset val="186"/>
      </rPr>
      <t>Külli Kariste</t>
    </r>
    <r>
      <rPr>
        <sz val="10"/>
        <color theme="1"/>
        <rFont val="Arial"/>
        <family val="2"/>
        <charset val="186"/>
      </rPr>
      <t>, Urmo Auväärt</t>
    </r>
  </si>
  <si>
    <r>
      <rPr>
        <sz val="10"/>
        <color rgb="FFCC0000"/>
        <rFont val="Arial"/>
        <family val="2"/>
        <charset val="186"/>
      </rPr>
      <t>Aigi Orro</t>
    </r>
    <r>
      <rPr>
        <sz val="10"/>
        <color theme="1"/>
        <rFont val="Arial"/>
        <family val="2"/>
        <charset val="186"/>
      </rPr>
      <t>, Kalle Orro</t>
    </r>
  </si>
  <si>
    <r>
      <t xml:space="preserve">Kaido Kopel, </t>
    </r>
    <r>
      <rPr>
        <sz val="10"/>
        <color rgb="FFCC0000"/>
        <rFont val="Arial"/>
        <family val="2"/>
        <charset val="186"/>
      </rPr>
      <t>Piret Kopel</t>
    </r>
  </si>
  <si>
    <r>
      <rPr>
        <sz val="10"/>
        <color rgb="FFCC0000"/>
        <rFont val="Arial"/>
        <family val="2"/>
        <charset val="186"/>
      </rPr>
      <t>Kadri Arunurm</t>
    </r>
    <r>
      <rPr>
        <sz val="10"/>
        <color theme="1"/>
        <rFont val="Arial"/>
        <family val="2"/>
        <charset val="186"/>
      </rPr>
      <t>, Meelis Münt</t>
    </r>
  </si>
  <si>
    <r>
      <t xml:space="preserve">Kevin Kangur, </t>
    </r>
    <r>
      <rPr>
        <sz val="10"/>
        <color rgb="FFCC0000"/>
        <rFont val="Arial"/>
        <family val="2"/>
        <charset val="186"/>
      </rPr>
      <t>Varje Reede</t>
    </r>
  </si>
  <si>
    <r>
      <rPr>
        <sz val="10"/>
        <color rgb="FFCC0000"/>
        <rFont val="Arial"/>
        <family val="2"/>
        <charset val="186"/>
      </rPr>
      <t>Angelika Tauk</t>
    </r>
    <r>
      <rPr>
        <sz val="10"/>
        <color theme="1"/>
        <rFont val="Arial"/>
        <family val="2"/>
        <charset val="186"/>
      </rPr>
      <t>, Toomas Tauk</t>
    </r>
  </si>
  <si>
    <r>
      <t xml:space="preserve">Egert Kingissepp, </t>
    </r>
    <r>
      <rPr>
        <sz val="10"/>
        <color rgb="FFCC0000"/>
        <rFont val="Arial"/>
        <family val="2"/>
        <charset val="186"/>
      </rPr>
      <t>Marge Mägi</t>
    </r>
  </si>
  <si>
    <r>
      <rPr>
        <sz val="10"/>
        <color rgb="FFCC0000"/>
        <rFont val="Arial"/>
        <family val="2"/>
        <charset val="186"/>
      </rPr>
      <t>Martha Aavisto</t>
    </r>
    <r>
      <rPr>
        <sz val="10"/>
        <color theme="1"/>
        <rFont val="Arial"/>
        <family val="2"/>
        <charset val="186"/>
      </rPr>
      <t>, Vahur Raudsepp</t>
    </r>
  </si>
  <si>
    <r>
      <rPr>
        <sz val="10"/>
        <color rgb="FFCC0000"/>
        <rFont val="Arial"/>
        <family val="2"/>
        <charset val="186"/>
      </rPr>
      <t>Marta Ruus</t>
    </r>
    <r>
      <rPr>
        <sz val="10"/>
        <color theme="1"/>
        <rFont val="Arial"/>
        <family val="2"/>
        <charset val="186"/>
      </rPr>
      <t>, Valmar Pantšenko</t>
    </r>
  </si>
  <si>
    <r>
      <rPr>
        <sz val="10"/>
        <color theme="1"/>
        <rFont val="Arial"/>
        <family val="2"/>
        <charset val="186"/>
      </rPr>
      <t xml:space="preserve">Kalju Olmre, </t>
    </r>
    <r>
      <rPr>
        <sz val="10"/>
        <color rgb="FFCC0000"/>
        <rFont val="Arial"/>
        <family val="2"/>
        <charset val="186"/>
      </rPr>
      <t>Marju Velga</t>
    </r>
  </si>
  <si>
    <r>
      <rPr>
        <sz val="10"/>
        <color theme="1"/>
        <rFont val="Arial"/>
        <family val="2"/>
        <charset val="186"/>
      </rPr>
      <t xml:space="preserve">Silver Kingissepp, </t>
    </r>
    <r>
      <rPr>
        <sz val="10"/>
        <color rgb="FFCC0000"/>
        <rFont val="Arial"/>
        <family val="2"/>
        <charset val="186"/>
      </rPr>
      <t>Triin Gretel Tauk</t>
    </r>
  </si>
  <si>
    <r>
      <t xml:space="preserve">Kevin Sten Liik, </t>
    </r>
    <r>
      <rPr>
        <sz val="10"/>
        <color rgb="FFCC0000"/>
        <rFont val="Arial"/>
        <family val="2"/>
        <charset val="186"/>
      </rPr>
      <t>Mare Kingissepp</t>
    </r>
  </si>
  <si>
    <r>
      <t xml:space="preserve">Janek Kiisk, </t>
    </r>
    <r>
      <rPr>
        <sz val="10"/>
        <color rgb="FFCC0000"/>
        <rFont val="Arial"/>
        <family val="2"/>
        <charset val="186"/>
      </rPr>
      <t>Kadri Veljend</t>
    </r>
  </si>
  <si>
    <t>17 - 18 koht</t>
  </si>
  <si>
    <t>Kollase taustaga on põhitabelile lisatud punktid</t>
  </si>
  <si>
    <t>DSQ</t>
  </si>
  <si>
    <t xml:space="preserve">  </t>
  </si>
  <si>
    <t>kaks tühikut - ei osalenud</t>
  </si>
  <si>
    <t>Eesti MV punktid</t>
  </si>
  <si>
    <t>Eesti välishooaja punktid (reitingu, EMV, üld, naiste ja juunioride) kõik koos</t>
  </si>
  <si>
    <t>punktid</t>
  </si>
  <si>
    <t>enne 1 koma</t>
  </si>
  <si>
    <t>pärast 1 koma</t>
  </si>
  <si>
    <t>1 ja 2 koma vahel</t>
  </si>
  <si>
    <t>pärast 2 koma</t>
  </si>
  <si>
    <t>kokku</t>
  </si>
  <si>
    <t>Martha Aavisto</t>
  </si>
  <si>
    <t>Kui mängija nimi on vigane või puudub reitingutabelist, teeb punaseks</t>
  </si>
  <si>
    <t>2 ja 3 koma vahel</t>
  </si>
  <si>
    <t>pärast 3 koma</t>
  </si>
  <si>
    <t>Peida halli taustaga veerud</t>
  </si>
  <si>
    <t>Kadri Arunurm, Kalju Olmre, Marge Mägi</t>
  </si>
  <si>
    <t>Janek Kiisk, Kadri Veljend, Ruudi Väärtnõu</t>
  </si>
  <si>
    <t>Aigi Orro, Elmo Lageda, Kalle Orro</t>
  </si>
  <si>
    <t>Kertu Palm, Marek Kolk, Urmo Auväärt</t>
  </si>
  <si>
    <t>Alar Sinimäe, Kevin Sten Liik, Silver Kingissepp</t>
  </si>
  <si>
    <t>Irene Võrklaev, Marta Ruus, Valmar Pantšenko</t>
  </si>
  <si>
    <t>Andres Veski, Kenneth Muusikus, Svetlana Veski</t>
  </si>
  <si>
    <t>Henri Mitt, Johannes Neiland, Lemmit Toomra</t>
  </si>
  <si>
    <t>Jaan Sepp, Mait Metsla, Oskar Sepp</t>
  </si>
  <si>
    <t>Egert Kingissepp, Katrin Tiido, Mare Kingissepp</t>
  </si>
  <si>
    <t>Henri Mitt</t>
  </si>
  <si>
    <t>Johannes Neiland</t>
  </si>
  <si>
    <t>Kenneth Muusikus</t>
  </si>
  <si>
    <t>Lemmit Toomra</t>
  </si>
  <si>
    <t>Allar Elerand</t>
  </si>
  <si>
    <t>Punktid</t>
  </si>
  <si>
    <t>Hardo Sokk, Jaan Joonas, Marek Kolk</t>
  </si>
  <si>
    <t>Kadri Arunurm, Kalju Olmre, Urmo Auväärt</t>
  </si>
  <si>
    <t>Marika Poom, Märten Aardevälja, Siim Oks</t>
  </si>
  <si>
    <t>Alari Keedus, Jelena Brakina, Ülo Piik</t>
  </si>
  <si>
    <t>Janek Kiisk, Margo Peebo, Ruudi Väärtnõu</t>
  </si>
  <si>
    <t>Enn Kivisaar, Enn Tõppan, Peeter Zirk</t>
  </si>
  <si>
    <t>Henri Mitt, Johannes Neiland, Matti Vinni</t>
  </si>
  <si>
    <t>Anti Alasi, Marta Ruus, Vello Pluum, Ülo Luuka</t>
  </si>
  <si>
    <t>13 - 14 koht</t>
  </si>
  <si>
    <t>Enn Kivisaar</t>
  </si>
  <si>
    <t>Enn Tõppan</t>
  </si>
  <si>
    <t>Märten Aardevälja</t>
  </si>
  <si>
    <t>Peeter Zirk</t>
  </si>
  <si>
    <t>Siim Oks</t>
  </si>
  <si>
    <t>Ülo Luuka</t>
  </si>
  <si>
    <t>Margus Berkmann, Meelis Münt</t>
  </si>
  <si>
    <t>Aimar Poom, Urmo Auväärt</t>
  </si>
  <si>
    <t>Katri Aavekukk, Merike Aava</t>
  </si>
  <si>
    <t>Andero Kelu, Kaido Kopel</t>
  </si>
  <si>
    <t>Danel Pilv, Endla Antsve, Silver Kingissepp</t>
  </si>
  <si>
    <t>Hardo Sokk, Toomas Tauk</t>
  </si>
  <si>
    <t>Mati Rõõm, Mihkel Lillemets</t>
  </si>
  <si>
    <t>Arvi Palla, Ruudi Väärtnõu</t>
  </si>
  <si>
    <t>Marek Kolk, Tiit Kattai</t>
  </si>
  <si>
    <t>Marta Ruus, Robert Schmidt</t>
  </si>
  <si>
    <t>Johannes Neiland, Karla Purgats</t>
  </si>
  <si>
    <t>Anti Alasi, Jelena Brakina</t>
  </si>
  <si>
    <t>Janek Kiisk, Margo Peebo</t>
  </si>
  <si>
    <t>Külli Kariste, Marju Velga</t>
  </si>
  <si>
    <t>Alari Keedus, Ülo Piik</t>
  </si>
  <si>
    <t>Jaan Sepp, Mait Metsla</t>
  </si>
  <si>
    <t>Karla Purgats</t>
  </si>
  <si>
    <t>Kevin Sten Liik, Mare Kingissepp, Silver Kingissepp</t>
  </si>
  <si>
    <t>Urmas Berkmann</t>
  </si>
  <si>
    <t>vaba voor</t>
  </si>
  <si>
    <r>
      <rPr>
        <sz val="10"/>
        <color rgb="FFCC0000"/>
        <rFont val="Arial"/>
        <family val="2"/>
        <charset val="186"/>
      </rPr>
      <t>Jelena Brakina</t>
    </r>
    <r>
      <rPr>
        <sz val="10"/>
        <color theme="1"/>
        <rFont val="Arial"/>
        <family val="2"/>
        <charset val="186"/>
      </rPr>
      <t>, Mait Metsla, Marek Kolk</t>
    </r>
  </si>
  <si>
    <r>
      <rPr>
        <sz val="10"/>
        <color rgb="FFCC0000"/>
        <rFont val="Arial"/>
        <family val="2"/>
        <charset val="186"/>
      </rPr>
      <t>Katri Aavekukk</t>
    </r>
    <r>
      <rPr>
        <sz val="10"/>
        <color theme="1"/>
        <rFont val="Arial"/>
        <family val="2"/>
        <charset val="186"/>
      </rPr>
      <t>, Margus Berkmann, Veiko Proos</t>
    </r>
  </si>
  <si>
    <r>
      <t xml:space="preserve">Andero Kelu, </t>
    </r>
    <r>
      <rPr>
        <sz val="10"/>
        <color rgb="FFCC0000"/>
        <rFont val="Arial"/>
        <family val="2"/>
        <charset val="186"/>
      </rPr>
      <t>Merike Aava</t>
    </r>
    <r>
      <rPr>
        <sz val="10"/>
        <color theme="1"/>
        <rFont val="Arial"/>
        <family val="2"/>
        <charset val="186"/>
      </rPr>
      <t>, Urmo Auväärt</t>
    </r>
  </si>
  <si>
    <r>
      <rPr>
        <sz val="10"/>
        <color rgb="FFCC0000"/>
        <rFont val="Arial"/>
        <family val="2"/>
        <charset val="186"/>
      </rPr>
      <t>Aigi Orro</t>
    </r>
    <r>
      <rPr>
        <sz val="10"/>
        <color theme="1"/>
        <rFont val="Arial"/>
        <family val="2"/>
        <charset val="186"/>
      </rPr>
      <t>, Elmo Lageda, Kalle Orro</t>
    </r>
  </si>
  <si>
    <r>
      <rPr>
        <sz val="10"/>
        <color rgb="FFCC0000"/>
        <rFont val="Arial"/>
        <family val="2"/>
        <charset val="186"/>
      </rPr>
      <t>Kadri Veljend, Marina Vallik</t>
    </r>
    <r>
      <rPr>
        <sz val="10"/>
        <color theme="1"/>
        <rFont val="Arial"/>
        <family val="2"/>
        <charset val="186"/>
      </rPr>
      <t>, Uku Kollom</t>
    </r>
  </si>
  <si>
    <r>
      <t xml:space="preserve">Ivar Viljaste, </t>
    </r>
    <r>
      <rPr>
        <sz val="10"/>
        <color rgb="FFCC0000"/>
        <rFont val="Arial"/>
        <family val="2"/>
        <charset val="186"/>
      </rPr>
      <t>Maive Sein, Varje Reede</t>
    </r>
  </si>
  <si>
    <r>
      <t xml:space="preserve">Andres Veski, Kenneth Muusikus, </t>
    </r>
    <r>
      <rPr>
        <sz val="10"/>
        <color rgb="FFCC0000"/>
        <rFont val="Arial"/>
        <family val="2"/>
        <charset val="186"/>
      </rPr>
      <t>Svetlana Veski</t>
    </r>
  </si>
  <si>
    <r>
      <t xml:space="preserve">Kevin Sten Liik, </t>
    </r>
    <r>
      <rPr>
        <sz val="10"/>
        <color rgb="FFCC0000"/>
        <rFont val="Arial"/>
        <family val="2"/>
        <charset val="186"/>
      </rPr>
      <t>Mare Kingissepp</t>
    </r>
    <r>
      <rPr>
        <sz val="10"/>
        <color theme="1"/>
        <rFont val="Arial"/>
        <family val="2"/>
        <charset val="186"/>
      </rPr>
      <t>, Silver Kingissepp</t>
    </r>
  </si>
  <si>
    <r>
      <t xml:space="preserve">Janek Kiisk, </t>
    </r>
    <r>
      <rPr>
        <sz val="10"/>
        <color rgb="FFCC0000"/>
        <rFont val="Arial"/>
        <family val="2"/>
        <charset val="186"/>
      </rPr>
      <t>Marge Mägi</t>
    </r>
    <r>
      <rPr>
        <sz val="10"/>
        <color theme="1"/>
        <rFont val="Arial"/>
        <family val="2"/>
        <charset val="186"/>
      </rPr>
      <t>, Margo Peebo</t>
    </r>
  </si>
  <si>
    <r>
      <t xml:space="preserve">Aivar Sein, </t>
    </r>
    <r>
      <rPr>
        <sz val="10"/>
        <color rgb="FFCC0000"/>
        <rFont val="Arial"/>
        <family val="2"/>
        <charset val="186"/>
      </rPr>
      <t>Maris Rõõm</t>
    </r>
    <r>
      <rPr>
        <sz val="10"/>
        <color theme="1"/>
        <rFont val="Arial"/>
        <family val="2"/>
        <charset val="186"/>
      </rPr>
      <t>, Ruudi Väärtnõu</t>
    </r>
  </si>
  <si>
    <r>
      <rPr>
        <sz val="10"/>
        <color rgb="FFCC0000"/>
        <rFont val="Arial"/>
        <family val="2"/>
        <charset val="186"/>
      </rPr>
      <t>Külli Kariste, Marju Velga</t>
    </r>
    <r>
      <rPr>
        <sz val="10"/>
        <color theme="1"/>
        <rFont val="Arial"/>
        <family val="2"/>
        <charset val="186"/>
      </rPr>
      <t>, Urmas Berkmann</t>
    </r>
  </si>
  <si>
    <t>Tanel Vähk, Tõnis Neiland</t>
  </si>
  <si>
    <t>Marek Kolk, Urmo Auväärt</t>
  </si>
  <si>
    <t>Janek Kiisk, Ruudi Väärtnõu</t>
  </si>
  <si>
    <t>Katri Aavekukk, Sebastien Schang</t>
  </si>
  <si>
    <t>Kevin Sten Liik, Mait Metsla</t>
  </si>
  <si>
    <t>Mare Kingissepp, Silver Kingissepp</t>
  </si>
  <si>
    <t>Brigitta Neiland, Johannes Neiland, Lemmit Toomra</t>
  </si>
  <si>
    <t>Alar Sinimäe, Kadri Veljend</t>
  </si>
  <si>
    <t>Kalju Olmre, Marge Mägi</t>
  </si>
  <si>
    <t>Mihkel Palk, Tiit Palk</t>
  </si>
  <si>
    <t>Indrek Vaho, Mihkel Filipenko</t>
  </si>
  <si>
    <t>Arti Lindvest, Veiko Mäekivi</t>
  </si>
  <si>
    <t>Brigitta Neiland</t>
  </si>
  <si>
    <t>Sebastien Schang</t>
  </si>
  <si>
    <t>Tõnis Neiland</t>
  </si>
  <si>
    <r>
      <rPr>
        <b/>
        <sz val="10"/>
        <rFont val="Calibri"/>
        <family val="2"/>
        <charset val="186"/>
        <scheme val="minor"/>
      </rPr>
      <t>TUL</t>
    </r>
    <r>
      <rPr>
        <sz val="10"/>
        <rFont val="Arial"/>
        <family val="2"/>
        <charset val="186"/>
      </rPr>
      <t xml:space="preserve"> -tulistamine</t>
    </r>
  </si>
  <si>
    <t>B</t>
  </si>
  <si>
    <t>C</t>
  </si>
  <si>
    <t>D</t>
  </si>
  <si>
    <t>E</t>
  </si>
  <si>
    <t>F</t>
  </si>
  <si>
    <t>G</t>
  </si>
  <si>
    <t>H</t>
  </si>
  <si>
    <t>25. koht</t>
  </si>
  <si>
    <t>Oleg Rõndenkov</t>
  </si>
  <si>
    <t>H2</t>
  </si>
  <si>
    <t>H1</t>
  </si>
  <si>
    <t>H3</t>
  </si>
  <si>
    <t>Üksiku</t>
  </si>
  <si>
    <t>Oksana Sažina</t>
  </si>
  <si>
    <t>Svetlana Veski DNS</t>
  </si>
  <si>
    <t>Merike Lusbo DNS</t>
  </si>
  <si>
    <t>Kenneth Muusikus, Tõnis Neiland</t>
  </si>
  <si>
    <t>Aarne Välja, Janek Tarto</t>
  </si>
  <si>
    <t>Mait Metsla, Matti Vinni</t>
  </si>
  <si>
    <t>Elmo Lageda, Tõnu Piik</t>
  </si>
  <si>
    <t>Johannes Neiland, Ülo Piik</t>
  </si>
  <si>
    <t>Marge Mägi, Silver Kingissepp</t>
  </si>
  <si>
    <t>Andres Veski, Svetlana Veski</t>
  </si>
  <si>
    <t>Jaan Sepp, Oskar Sepp</t>
  </si>
  <si>
    <t>Boriss Klubov, Ivar Viljaste</t>
  </si>
  <si>
    <t>Kevin Sten Liik, Mare Kingissepp</t>
  </si>
  <si>
    <t>Ljudmila Varendi, Viktor Švarõgin</t>
  </si>
  <si>
    <t>Kalju Olmre, Katri Aavekukk, Külli Kariste</t>
  </si>
  <si>
    <t>Danel Pilv, Kevin Sten Liik, Silver Kingissepp</t>
  </si>
  <si>
    <t>Igor Kostin, Jelena Tjurina, Marika Poom</t>
  </si>
  <si>
    <t>Argo Sepp, Ljudmila Varendi, Viktor Švarõgin</t>
  </si>
  <si>
    <t>Kadri Arunurm, Mare Kingissepp, Marge Mägi</t>
  </si>
  <si>
    <t>Aivar Sein, Maive Sein, Marina Vallik</t>
  </si>
  <si>
    <t>Jaan Joonas, Marek Kolk, Toomas Hoole</t>
  </si>
  <si>
    <t>Enn Laanemäe, Margus Külaviir, Ruti Loid</t>
  </si>
  <si>
    <t>Jaan Lüitsepp, Svetlana Veski, Urmo Auväärt</t>
  </si>
  <si>
    <t>Matti Vinni, Tõnu Haga, Vello Vasser</t>
  </si>
  <si>
    <t>A4</t>
  </si>
  <si>
    <t>Enn Laanemäe</t>
  </si>
  <si>
    <t>Igor Kostin</t>
  </si>
  <si>
    <t>Jelena Tjurina</t>
  </si>
  <si>
    <t>Margus Külaviir</t>
  </si>
  <si>
    <t>Ruti Loid</t>
  </si>
  <si>
    <t>Tõnu Haga</t>
  </si>
  <si>
    <t>Margus Berkmann, Meelis Münt, Veiko Proos</t>
  </si>
  <si>
    <t>Allar Elerand, Andero Kelu, Kaido Kopel</t>
  </si>
  <si>
    <t>Ivar Viljaste, Sirje Viljaste, Urmo Auväärt</t>
  </si>
  <si>
    <t>Aigar Lusbo, Jaan Joonas, Toomas Hoole</t>
  </si>
  <si>
    <t>Aivar Sein, Marek Kolk, Toomas Reede</t>
  </si>
  <si>
    <t>Harry Lusbo, Kaur Kangur, Kevin Kangur</t>
  </si>
  <si>
    <t>Kristjan Raudsepp, Mihkel Palk, Ott Karl Kopel</t>
  </si>
  <si>
    <t>Janek Kiisk, Kalju Olmre, Ruudi Väärtnõu</t>
  </si>
  <si>
    <t>Andrus Tommula, Markus Erik Tommula, Vahur Raudsepp</t>
  </si>
  <si>
    <t>Mati Rõõm, Mihkel Lillemets, Robert Schmidt</t>
  </si>
  <si>
    <t>Kevin Sten Liik, Marek Lehis, Margo Peebo</t>
  </si>
  <si>
    <t>Egert Kingissepp, Marge Mägi, Piret Kopel</t>
  </si>
  <si>
    <t>Danel Pilv, Mare Kingissepp, Silver Kingissepp</t>
  </si>
  <si>
    <t>Katri Aavekukk, Külli Kariste, Marju Velga</t>
  </si>
  <si>
    <t>Angelika Tauk, Hardo Sokk, Toomas Tauk</t>
  </si>
  <si>
    <t>+/-</t>
  </si>
  <si>
    <t>X</t>
  </si>
  <si>
    <t>X1</t>
  </si>
  <si>
    <t>X2</t>
  </si>
  <si>
    <t>X3</t>
  </si>
  <si>
    <t>Henri Mitt, Johannes Neiland, Kenneth Muusikus</t>
  </si>
  <si>
    <t>26. koht</t>
  </si>
  <si>
    <t>27. koht</t>
  </si>
  <si>
    <t>Kevin Sten Liik, Ruudi Väärtnõu</t>
  </si>
  <si>
    <t>Arti Lindvest, Jaanus Otsman</t>
  </si>
  <si>
    <t>Kaarel Mikk, Mihkel Filipenko</t>
  </si>
  <si>
    <t>Marek Lehis, Margo Peebo</t>
  </si>
  <si>
    <t>Arvi Palla, Kaido Kopel</t>
  </si>
  <si>
    <t>Kadri Arunurm, Maris Rõõm</t>
  </si>
  <si>
    <t>Andero Kelu, Indrek Vaho</t>
  </si>
  <si>
    <t>Janek Kiisk, Marko Neemelaik</t>
  </si>
  <si>
    <t>Aigar Lusbo, Harry Lusbo</t>
  </si>
  <si>
    <t>Aimar Poom, Marek Kolk, Valmar Pantšenko</t>
  </si>
  <si>
    <t>Kertu Palm, Urmo Auväärt</t>
  </si>
  <si>
    <t>Angelika Tauk, Triin Gretel Tauk</t>
  </si>
  <si>
    <t>Markus Erik Tommula, Ott Karl Kopel</t>
  </si>
  <si>
    <t>Henri Mitt, Kenneth Muusikus</t>
  </si>
  <si>
    <t>Einar Juhkam, Johannes Neiland</t>
  </si>
  <si>
    <t>Egert Kingissepp, Marge Mägi</t>
  </si>
  <si>
    <t>Marina Vallik, Uku Kollom</t>
  </si>
  <si>
    <t>Grettel Kiho, Vahur Raudsepp</t>
  </si>
  <si>
    <t>Marko Neemelaik</t>
  </si>
  <si>
    <t>Einar Juhkam</t>
  </si>
  <si>
    <t>Grettel Kiho</t>
  </si>
  <si>
    <t>Jaan Sepp, Mait Metsla, Vladimir Ogneštšikov</t>
  </si>
  <si>
    <t>9 - 11 koht</t>
  </si>
  <si>
    <t>KOHT</t>
  </si>
  <si>
    <t>L, 01.09.2018</t>
  </si>
  <si>
    <r>
      <t>Soome</t>
    </r>
    <r>
      <rPr>
        <i/>
        <sz val="10"/>
        <color theme="8" tint="0.39997558519241921"/>
        <rFont val="Arial"/>
        <family val="2"/>
        <charset val="186"/>
      </rPr>
      <t>, Pasila petangihall</t>
    </r>
  </si>
  <si>
    <t>Mai 2018</t>
  </si>
  <si>
    <t>Juuni 2018</t>
  </si>
  <si>
    <t>Juuli 2018</t>
  </si>
  <si>
    <t>August 2018</t>
  </si>
  <si>
    <t>September 2018</t>
  </si>
  <si>
    <t>kolm numbrit vasakul ja komakoht on punktisumma tekstina</t>
  </si>
  <si>
    <t>kolm numbrit paremal näitavad, mitmes on nimi tähestiku järgi tagant poolt</t>
  </si>
  <si>
    <t>val 1&amp;2&amp;3</t>
  </si>
  <si>
    <t>sordi selle veeru järgi suuremast väiksemaks</t>
  </si>
  <si>
    <t>jä 1&amp;2&amp;3</t>
  </si>
  <si>
    <t>nimed tähestiku järgi tagurpidi</t>
  </si>
  <si>
    <t>val 3</t>
  </si>
  <si>
    <t>val 1</t>
  </si>
  <si>
    <t>val1</t>
  </si>
  <si>
    <t>parandatud 23.10.2018</t>
  </si>
  <si>
    <t>REITINGU PUNKTIARVESTUS 2018</t>
  </si>
  <si>
    <t>Seisuga 09.2017</t>
  </si>
  <si>
    <t>Margo Peebo</t>
  </si>
  <si>
    <t>Janek Kiisk</t>
  </si>
  <si>
    <t>Priit Koppel</t>
  </si>
  <si>
    <t>Ruudi Väärtnõu</t>
  </si>
  <si>
    <t>Uku Kollom</t>
  </si>
  <si>
    <t>Endla Antsve</t>
  </si>
  <si>
    <t>Andrus Tommula</t>
  </si>
  <si>
    <t>Kaido Antsve</t>
  </si>
  <si>
    <t>Marek Lehis</t>
  </si>
  <si>
    <t>Andero Kelu</t>
  </si>
  <si>
    <t>Allar Elerand</t>
  </si>
  <si>
    <t>Martha Aavisto (jun.)</t>
  </si>
  <si>
    <t>Kevin Sten Liik (jun.)</t>
  </si>
  <si>
    <t>Peeter Mäeots</t>
  </si>
  <si>
    <t>Viru SK</t>
  </si>
  <si>
    <t>Oksana Sažina</t>
  </si>
  <si>
    <t>Brigitta Neiland (jun.)</t>
  </si>
  <si>
    <t>Karla Purgats</t>
  </si>
  <si>
    <t>Henri Mitt (jun.)</t>
  </si>
  <si>
    <t>Johannes Neiland</t>
  </si>
  <si>
    <t>Kenneth Muusikus</t>
  </si>
  <si>
    <t>Kristo Viljaste</t>
  </si>
  <si>
    <t>Oleg Rõndenkov</t>
  </si>
  <si>
    <t>Tanel Vähk</t>
  </si>
  <si>
    <t>Urmas Jõeäär</t>
  </si>
  <si>
    <t>Romek Tarto (jun.)</t>
  </si>
  <si>
    <t>Elmo Lageda</t>
  </si>
  <si>
    <t>Veiko Proos</t>
  </si>
  <si>
    <t>Martin Mänd</t>
  </si>
  <si>
    <t>Birika Kerb (jun.)</t>
  </si>
  <si>
    <t>Urmas Berkmann</t>
  </si>
  <si>
    <t>Kaur Kangur</t>
  </si>
  <si>
    <t>Kaarel Mikk</t>
  </si>
  <si>
    <t>Kert Kangur</t>
  </si>
  <si>
    <t>Mati Rõõm</t>
  </si>
  <si>
    <t>Tõnu Sõrmus</t>
  </si>
  <si>
    <t>Mihkel Lillemets</t>
  </si>
  <si>
    <t>Robert Schmidt</t>
  </si>
  <si>
    <t>Viljar Kerb</t>
  </si>
  <si>
    <t>Tartu Kalev PK</t>
  </si>
  <si>
    <t>Kertu Palm</t>
  </si>
  <si>
    <t>Marta Ruus</t>
  </si>
  <si>
    <t>Jelena Brakina</t>
  </si>
  <si>
    <t>Ljudmilla Lüitsepp</t>
  </si>
  <si>
    <t>Jaan Lüitsepp</t>
  </si>
  <si>
    <t>Aigar Lusbo</t>
  </si>
  <si>
    <t>Valmar Pantšenko</t>
  </si>
  <si>
    <t>Merike Lusbo</t>
  </si>
  <si>
    <t>Harry Lusbo (jun.)</t>
  </si>
  <si>
    <t>Vello Pluum</t>
  </si>
  <si>
    <t>Danel Pilv</t>
  </si>
  <si>
    <t>Anti Alasi</t>
  </si>
  <si>
    <t>Arvi Palla</t>
  </si>
  <si>
    <t>Ott Karl Kopel (jun.)</t>
  </si>
  <si>
    <t>Markus Erik Tommula (jun.)</t>
  </si>
  <si>
    <t>1.1.Käesolev EPKL-i võistluste läbiviimise üldjuhend kohaldub järgnevatele EPKL-i ja/või EPKL-i liikmesklubide poolt korraldatavatele võistlustele:</t>
  </si>
  <si>
    <t>1.1.1.MM ja EM katsevõistlused, Eestis korraldatavad ametlikud maavõistlused.</t>
  </si>
  <si>
    <t>1.1.2.Reitinguvõistlused;</t>
  </si>
  <si>
    <t>1.1.3.Tiitlivõistlused (Eesti meistrivõistlused üksikmängus, paarismängus, trios, segatrios, segapaarismängus, tulistamisharjutuses, klubide meistrivõistlused ja klubide karikavõistlused);</t>
  </si>
  <si>
    <t>1.2.Võistlused toimuvad rahvusvaheliste reeglite järgi, millest võidakse teha kohalikele oludele sõltuvalt muudatusi (nt väljakute suurused jms). Tehtud muudatustest teatab võistluste peakohtunik hiljemalt enne võistluste algust.</t>
  </si>
  <si>
    <t>2.1.EPKL-i võistluste kalendrisse kantakse rahvusvahelised tiitlivõistlused ja punktis 1.1. nimetatud võistlused. Veebilehelwww.petanque.ee peetakse informatiivsena kalendrit ka kõikide muude Eestis korraldatavate võistluste ja huvipakkuvate välisvõistluste kohta vastavalt informatsiooni kättesaadavusele.</t>
  </si>
  <si>
    <t>2.2.Võistluste kalendri koostab EPKL-i juhatus, küsides eelnevalt arvamuse liikmesklubidelt. Juhatus kinnitab välishooaja võistluste kalendri hiljemalt 01. aprilliks ning sisehooaja kalendri hiljemalt 01. oktoobriks ning teeb selle viivitamatult nähtavaks EPKL-i veebilehel.</t>
  </si>
  <si>
    <t>3.1.Tiitlivõistlused – osalemise eeltingimuseks on kehtiv mängijalitsents, lubatud on mängida ainult võistluskuulidega, tulemused lähevad reitinguarvestusse;</t>
  </si>
  <si>
    <t>3.2.MM ja EM katsevõistlused, ametlikud maavõistlused – osalemise eeltingimuseks on kehtiv mängijalitsents, lubatud on mängida ainult võistluskuulidega, tulemused ei lähe reitinguarvestusse;</t>
  </si>
  <si>
    <t>3.3.Reitinguvõistlused – tulemused lähevad reitinguarvestusse, võistleja ei pea omama  kehtivat mängijalitsentsi, on lubatud kasutada harjutuskuule</t>
  </si>
  <si>
    <t>3.4.„Muud“ võistlused – tulemused ei lähe reitinguarvestusse, ei ole kohustuslik omada mängijalitsentsi, on lubatud kasutada harjutuskuule.</t>
  </si>
  <si>
    <t>3.5.Võimalusel tuleb vältida punktides 3.1.-3.3 nimetatud võistluste kavandamist rahvusvaheliste tiitlivõistluste ja Euroopa klubide karikavõistlusega samale päevale.</t>
  </si>
  <si>
    <t>4.3. Mängija tohib hooaja jooksul omada ainult ühte mängijalitsentsi, mis on välja antud EPKL-i või mõne muu FIPJP-i liikmeks oleva riigi alaliidu poolt vastavalt kehtestatud reeglitele. Mängijalitsentsi omav mängija tohib jooksval hooajal esindada ainult ühte klubi. Uueks hooajaks klubi vahetamisel peab olema eelmise klubi luba, mille andmisest ei tohi põhjendamatult keelduda.</t>
  </si>
  <si>
    <t>4.4. EPKL-ilt mängijalitsentsi taotlemisega kinnitab mängija, et ta: </t>
  </si>
  <si>
    <t>4.4.1. tervislik seisund võimaldab tal osaleda petangivõistlustel;</t>
  </si>
  <si>
    <t>4.4.2. nõustub tema isikuandmete töötlemisega seoses petangivõistluste korraldamisega;</t>
  </si>
  <si>
    <t>4.4.3. annab EPKL-ile õiguse tasuta mitteärilisel eesmärgil petangi arendamiseks ja EPKL poolt kindlaks määratud muudel mõistlikel eesmärkidel kasutada ja volitada kolmandaid isikuid kasutama tema fotosid või tema kohta koostatud audiovisuaalseid ja visuaalseid materjale (kaasa arvatud nime, asjassepuutuvat statistikat, andmeid ja kujutisi) koos klubi nime, embleemi ja mängijasärgiga (sealhulgas särgisponsorite ja varustuse tootjate reklaamiga);</t>
  </si>
  <si>
    <t>4.4.4. täidab FIPJP-i, CEP-i, EPKL-i ja tema klubi põhikirja, juhendeid, direktiive ning nende alusel ja nendega kooskõlas vastu võetud otsuseid;</t>
  </si>
  <si>
    <t>4.4.5. on tutvunud EPKL-i mängijate staatust ja üleminekuid reguleeriva korraga;</t>
  </si>
  <si>
    <t>4.4.6. hoidub igasugusest tegevusest, mis kahjustab või võib kahjustada EPKL-i või EPKL-i klubide poolt korraldatud võistluste aususe ja ausa mängu põhimõtet.</t>
  </si>
  <si>
    <t>4.5. EPKL-i poolt väljastatud mängijalitsents kehtib kalendriaasta s.o. vastava aasta 01. jaanuarist - 31. detsembrini.</t>
  </si>
  <si>
    <t>6.2.2. Trios võib registreerida 4 mängijat ja paarismängus 3 mängijat. </t>
  </si>
  <si>
    <t>6.2.3. EPKL-i poolt välja antud mängijalitsentsi olemasolu kontrollib võistluste kohtunik nimekirja alusel, mis on avaldatud EPKL-i koduleheküljel ja mille kättesaadavus peab olema tagatud ka võistluspaigal. FIPJP-i poolt tunnustatud välisriigi alaliidu poolt välja antud rahvusvahelise mängijalitsentsi olemasolu ja kehtivuse tõendamise kohustus on sellise mängijalitsentsi esitanud mängijal.</t>
  </si>
  <si>
    <t>6.3.2. Eesti meistrivõistlustel ei nõuta osavõtumaksu eelmise aasta sama mänguviisi võitjatelt.</t>
  </si>
  <si>
    <t>6.8.1. Välismaistel s.t. Eesti kodakondsust mitteomavatel mängijatel on õigus osaleda Eesti tiitlivõistlustel ja reitinguvõistlustel samadel tingimustel Eesti kodakondsust omavate mängijatega.</t>
  </si>
  <si>
    <t>6.8.2. Ametlikul maavõistlusel on Eesti esindusvõistkonnas õigus osaleda välismaisel mängijal, kellele EPKL-i poolt väljastatud rahvusvaheline mängijalitsents on võistluse toimumise hetkeks kehtinud vähemalt kolm aastat.</t>
  </si>
  <si>
    <t>6.8.3. Maailmameistrivõistlustel trio mänguviisis on Eesti esindusvõistkonnas õigus osaleda ühel välismaisel mängijal, kellele EPKL-i poolt väljastatud rahvusvaheline mängijalitsents on võistluse toimumise hetkeks kehtinud vähemalt kolm aastat. Maailmameistrivõistlustel paarismängus ja üksikmängus ning Euroopa meistrivõistlustel tohivad Eesti esindusvõistkonnas osaleda ainult Eesti kodakondsust omavad mängijad, kellele väljastatud rahvusvaheline mängijalitsents on võistluste toimumise hetkeks kehtinud vähemalt kuus kuud.</t>
  </si>
  <si>
    <t>6.10.3. Kui vastavasisuline märge on toodud võistluskutses, võib võistkonnad puulidesse paigutada ka nn „kalasaba“ süsteemi alusel.</t>
  </si>
  <si>
    <t>6.10.7. Mängupäevale ei ole soovitatav planeerida voore rohkem kui kaheksa (8) trio puhul ja üheksa (9) paaris- ja üksikmängu puhul. Suurema arvu mängude puhul soovitatakse puule alustada seisult 2:2 või jagada võistlused mitmele päevale. Erandkorras võib mängule või voorule kehtestada lõppemise aja, mille otsustab enne võistluste algust võistluste žürii ja teatab oma otsusest kohaselt kõigile mängijatele.</t>
  </si>
  <si>
    <t>6.10.8. Šveitsi süsteemis mängude läbiviimisel peab korraldav klubi tagama kohtunikutöö tõrgeteta ja mängude kulgu mittehäiriva korraldamise. Reitingu arvestusse kuuluvatel võistlustel tuleb kasutada Šveitsi süsteemis arvestuse pidamiseks ühtset programmi, mille kasutusõigused on EPKL vastavaks hooajaks omandanud. Korraldav klubi peab tagama programmi kasutamiseks vajalike tehniliste võimaluste olemasolu ja tõrgeteta toimimise.  </t>
  </si>
  <si>
    <t>6.10.13. Šveitsi süsteemis mängitakse vähemalt 3 vooru, voorude arvu otsustab võistluste korraldaja sõltuvalt osalejate arvust ja teavitab sellest mängijaid enne võistluste algust. Paaritu arvu võistkondade puhul saab vabaks jäänud võistkond automaatse võidu. Alates teisest voorust on vaba voor paremusjärjestuse lõpus asuval võistkonnal. NB! Ühel võistkonnal ei saa vaba voor olla kaks korda, sellisel juhul on vaba voor paremusjärjestuses eelneval võistkonnal.</t>
  </si>
  <si>
    <t>6.10.14. Šveitsi süsteemi mängud toimuvad ajalimiidiga: üksikmäng 40 minutit + 1 snadivoor, paarismäng ja trio 60 minutit + 1 snadivoor. Võrdse tulemuse korral pärast snadivooru peetakse veel üks voor, mille käigus snadi ei tohi muutuda „surnuks“ (mängust väljas olevaks). Kui snadi läheb selle otsustava vooru jooksul määratletud mänguväljakult välja, pannakse see tagasi märgistatud asukohta või kui see ei olnud märgistatud, siis asetatakse see lähimasse kehtivasse asukohta, kust snadi väljakult välja läks.</t>
  </si>
  <si>
    <t>6.10.15. Kohtunik peab kõigile mängijatele kuuldavalt, kuid siiski mitte mängu käiku häirivalt, andma märku mänguajast 10 minutit enne mänguaja lõppu ja koheselt mänguaja lõppemisel. Soovituslikult võiks sekretariaadis olla ka kõigile nähtav kell.</t>
  </si>
  <si>
    <t>6.10.16. Ajamängudes mängitakse kõik mängud kindlate piiridega mänguväljakutel. Iga mänguväljakut piiritlevat joont loetakse „surnud piiriks“. Uus voor loetakse alustatuks kohe, kui eelneva vooru viimane kuul on mängitud (mitte siis, kui snadi on välja visatud). Snadi ja kuuli viskamiseks ettenähtud aeg on maksimaalselt 1 minut.</t>
  </si>
  <si>
    <t>6.10.17. Šveitsi süsteemis paremusjärjestuse selgitamisel võetakse aluseks:</t>
  </si>
  <si>
    <t>Võitude arv;</t>
  </si>
  <si>
    <t>Buchholzi punktid - kõigi vastaseks olnud võistkondade võitude koguarv;</t>
  </si>
  <si>
    <t>Võidetud punktide ja kaotatud punktide vahe (nt võitis 13, kaotas 9 = +4)</t>
  </si>
  <si>
    <t>6.10.18. Pärast Šveitsi süsteemi jätkub võistlus karikasüsteemis, kus paremusjärjestuse kohad 1-8 jätkavad mänge esikohale, kohad 9-16 jätkavad mänge üheksandale kohale, kohad 17-24 jätkavad mänge seitsmeteistkümnendale kohale jne.</t>
  </si>
  <si>
    <t>6.10.19. Tulistamisharjutuses viiakse võistlus läbi vastavalt tulistamisvõistluse reeglitele.</t>
  </si>
  <si>
    <t>Käesolev juhend on kinnitatud EPKL-i juhatuse poolt 27. aprillil 2018.a ja kehtib alates 01. maist 2018.a.</t>
  </si>
  <si>
    <t>EPKL-I VÕISTLUSTE ÜLDJUHEND</t>
  </si>
  <si>
    <t>teise kehvima</t>
  </si>
  <si>
    <t>reegel võtab</t>
  </si>
  <si>
    <t>kehvima</t>
  </si>
  <si>
    <t>ülejäänutest</t>
  </si>
  <si>
    <t>kehvim Reiting</t>
  </si>
  <si>
    <t>kehvim ESMV</t>
  </si>
  <si>
    <t>parandatud 12.11.2018</t>
  </si>
  <si>
    <t>Peep Peenema</t>
  </si>
  <si>
    <t>Peep Peenema</t>
  </si>
  <si>
    <t>Kenneth Muusikus, Peep Peenema</t>
  </si>
  <si>
    <r>
      <t xml:space="preserve">Peep Peenema, </t>
    </r>
    <r>
      <rPr>
        <sz val="10"/>
        <color theme="1"/>
        <rFont val="Arial"/>
        <family val="2"/>
        <charset val="186"/>
      </rPr>
      <t>Henri Mitt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</si>
</sst>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 [$€-1]"/>
    <numFmt numFmtId="166" formatCode=";;;@"/>
    <numFmt numFmtId="167" formatCode="\+0;\-0;0"/>
  </numFmts>
  <fonts count="64" x14ac:knownFonts="1">
    <font>
      <sz val="10"/>
      <color theme="1"/>
      <name val="Arial"/>
      <family val="2"/>
      <charset val="186"/>
    </font>
    <font>
      <b/>
      <sz val="10"/>
      <name val="Arial"/>
      <family val="2"/>
      <charset val="186"/>
    </font>
    <font>
      <sz val="10"/>
      <name val="Arial"/>
      <family val="2"/>
      <charset val="186"/>
    </font>
    <font>
      <i/>
      <sz val="10"/>
      <name val="Arial"/>
      <family val="2"/>
      <charset val="186"/>
    </font>
    <font>
      <b/>
      <sz val="8"/>
      <color indexed="81"/>
      <name val="Tahoma"/>
      <family val="2"/>
      <charset val="186"/>
    </font>
    <font>
      <sz val="10"/>
      <name val="Arial"/>
      <family val="2"/>
      <charset val="204"/>
    </font>
    <font>
      <sz val="11"/>
      <color indexed="8"/>
      <name val="Calibri"/>
      <family val="2"/>
      <charset val="186"/>
    </font>
    <font>
      <sz val="8"/>
      <color indexed="8"/>
      <name val="Arial Narrow"/>
      <family val="2"/>
    </font>
    <font>
      <sz val="10"/>
      <color indexed="8"/>
      <name val="Times New Roman"/>
      <family val="1"/>
      <charset val="186"/>
    </font>
    <font>
      <sz val="10"/>
      <color theme="1"/>
      <name val="Arial"/>
      <family val="2"/>
      <charset val="186"/>
    </font>
    <font>
      <u/>
      <sz val="10"/>
      <color theme="10"/>
      <name val="Arial"/>
      <family val="2"/>
      <charset val="186"/>
    </font>
    <font>
      <u/>
      <sz val="11"/>
      <color theme="10"/>
      <name val="Calibri"/>
      <family val="2"/>
      <charset val="186"/>
      <scheme val="minor"/>
    </font>
    <font>
      <u/>
      <sz val="10"/>
      <color theme="10"/>
      <name val="Times New Roman"/>
      <family val="1"/>
      <charset val="186"/>
    </font>
    <font>
      <sz val="11"/>
      <color theme="1"/>
      <name val="Calibri"/>
      <family val="2"/>
      <charset val="186"/>
      <scheme val="minor"/>
    </font>
    <font>
      <sz val="10"/>
      <color rgb="FF000000"/>
      <name val="Arial"/>
      <family val="2"/>
      <charset val="186"/>
    </font>
    <font>
      <sz val="10"/>
      <color rgb="FF000000"/>
      <name val="Times New Roman"/>
      <family val="1"/>
      <charset val="186"/>
    </font>
    <font>
      <sz val="11"/>
      <color theme="1"/>
      <name val="Calibri"/>
      <family val="2"/>
      <scheme val="minor"/>
    </font>
    <font>
      <sz val="11"/>
      <color rgb="FF000000"/>
      <name val="Calibri"/>
      <family val="2"/>
      <scheme val="minor"/>
    </font>
    <font>
      <b/>
      <sz val="10"/>
      <color theme="1"/>
      <name val="Arial"/>
      <family val="2"/>
      <charset val="186"/>
    </font>
    <font>
      <sz val="10"/>
      <color rgb="FFFF0000"/>
      <name val="Arial"/>
      <family val="2"/>
      <charset val="186"/>
    </font>
    <font>
      <sz val="10"/>
      <color theme="0" tint="-0.34998626667073579"/>
      <name val="Arial"/>
      <family val="2"/>
      <charset val="186"/>
    </font>
    <font>
      <b/>
      <sz val="10"/>
      <name val="Calibri"/>
      <family val="2"/>
      <charset val="186"/>
      <scheme val="minor"/>
    </font>
    <font>
      <sz val="10"/>
      <color rgb="FFCC0000"/>
      <name val="Arial"/>
      <family val="2"/>
      <charset val="186"/>
    </font>
    <font>
      <sz val="10"/>
      <color rgb="FF0070C0"/>
      <name val="Arial"/>
      <family val="2"/>
      <charset val="186"/>
    </font>
    <font>
      <b/>
      <sz val="10"/>
      <color rgb="FFCC0000"/>
      <name val="Arial"/>
      <family val="2"/>
      <charset val="186"/>
    </font>
    <font>
      <u/>
      <sz val="10"/>
      <color theme="1"/>
      <name val="Arial"/>
      <family val="2"/>
      <charset val="186"/>
    </font>
    <font>
      <i/>
      <sz val="10"/>
      <color theme="1"/>
      <name val="Arial"/>
      <family val="2"/>
      <charset val="186"/>
    </font>
    <font>
      <b/>
      <sz val="10"/>
      <color rgb="FF00B0F0"/>
      <name val="Arial"/>
      <family val="2"/>
      <charset val="186"/>
    </font>
    <font>
      <sz val="10"/>
      <color rgb="FF00B0F0"/>
      <name val="Arial"/>
      <family val="2"/>
      <charset val="186"/>
    </font>
    <font>
      <b/>
      <u/>
      <sz val="10"/>
      <color theme="1"/>
      <name val="Arial"/>
      <family val="2"/>
      <charset val="186"/>
    </font>
    <font>
      <sz val="9"/>
      <color theme="0" tint="-0.34998626667073579"/>
      <name val="Arial"/>
      <family val="2"/>
      <charset val="186"/>
    </font>
    <font>
      <sz val="9"/>
      <color rgb="FF0070C0"/>
      <name val="Arial"/>
      <family val="2"/>
      <charset val="186"/>
    </font>
    <font>
      <sz val="10"/>
      <color rgb="FF0000FF"/>
      <name val="Arial"/>
      <family val="2"/>
      <charset val="186"/>
    </font>
    <font>
      <u/>
      <sz val="10"/>
      <color rgb="FF0000FF"/>
      <name val="Arial"/>
      <family val="2"/>
      <charset val="186"/>
    </font>
    <font>
      <b/>
      <sz val="10"/>
      <color rgb="FFCC0000"/>
      <name val="Calibri"/>
      <family val="2"/>
      <charset val="186"/>
      <scheme val="minor"/>
    </font>
    <font>
      <sz val="10"/>
      <color rgb="FF00B050"/>
      <name val="Arial"/>
      <family val="2"/>
      <charset val="186"/>
    </font>
    <font>
      <sz val="9"/>
      <color rgb="FFCC0000"/>
      <name val="Arial"/>
      <family val="2"/>
      <charset val="186"/>
    </font>
    <font>
      <b/>
      <sz val="9"/>
      <color rgb="FFCC0000"/>
      <name val="Arial"/>
      <family val="2"/>
      <charset val="186"/>
    </font>
    <font>
      <sz val="10"/>
      <color rgb="FF33CC33"/>
      <name val="Arial"/>
      <family val="2"/>
      <charset val="186"/>
    </font>
    <font>
      <sz val="9"/>
      <color rgb="FF33CC33"/>
      <name val="Arial"/>
      <family val="2"/>
      <charset val="186"/>
    </font>
    <font>
      <b/>
      <sz val="10"/>
      <color rgb="FF0070C0"/>
      <name val="Arial"/>
      <family val="2"/>
      <charset val="186"/>
    </font>
    <font>
      <i/>
      <sz val="10"/>
      <color theme="8" tint="0.39997558519241921"/>
      <name val="Arial"/>
      <family val="2"/>
      <charset val="186"/>
    </font>
    <font>
      <i/>
      <u/>
      <sz val="10"/>
      <color theme="8" tint="0.39997558519241921"/>
      <name val="Arial"/>
      <family val="2"/>
      <charset val="186"/>
    </font>
    <font>
      <i/>
      <u/>
      <sz val="10"/>
      <color theme="10"/>
      <name val="Arial"/>
      <family val="2"/>
      <charset val="186"/>
    </font>
    <font>
      <i/>
      <sz val="10"/>
      <color rgb="FFCC0000"/>
      <name val="Arial"/>
      <family val="2"/>
      <charset val="186"/>
    </font>
    <font>
      <sz val="8"/>
      <color theme="1"/>
      <name val="Arial"/>
      <family val="2"/>
      <charset val="186"/>
    </font>
    <font>
      <u/>
      <sz val="8"/>
      <color theme="10"/>
      <name val="Arial"/>
      <family val="2"/>
      <charset val="186"/>
    </font>
    <font>
      <b/>
      <sz val="10"/>
      <color rgb="FF00B0F0"/>
      <name val="Calibri"/>
      <family val="2"/>
      <charset val="186"/>
      <scheme val="minor"/>
    </font>
    <font>
      <b/>
      <sz val="10"/>
      <color rgb="FF00B050"/>
      <name val="Arial"/>
      <family val="2"/>
      <charset val="186"/>
    </font>
    <font>
      <sz val="8"/>
      <color indexed="81"/>
      <name val="Tahoma"/>
      <family val="2"/>
      <charset val="186"/>
    </font>
    <font>
      <b/>
      <sz val="10"/>
      <color theme="1"/>
      <name val="Calibri"/>
      <family val="2"/>
      <charset val="186"/>
      <scheme val="minor"/>
    </font>
    <font>
      <u/>
      <sz val="8"/>
      <color theme="1"/>
      <name val="Arial"/>
      <family val="2"/>
      <charset val="186"/>
    </font>
    <font>
      <b/>
      <sz val="10"/>
      <color rgb="FFFF0000"/>
      <name val="Arial"/>
      <family val="2"/>
      <charset val="186"/>
    </font>
    <font>
      <b/>
      <sz val="8"/>
      <color indexed="10"/>
      <name val="Tahoma"/>
      <family val="2"/>
      <charset val="186"/>
    </font>
    <font>
      <b/>
      <u/>
      <sz val="10"/>
      <color rgb="FF0000FF"/>
      <name val="Arial"/>
      <family val="2"/>
      <charset val="186"/>
    </font>
    <font>
      <b/>
      <sz val="10"/>
      <color rgb="FF0000FF"/>
      <name val="Arial"/>
      <family val="2"/>
      <charset val="186"/>
    </font>
    <font>
      <b/>
      <u/>
      <sz val="10"/>
      <color theme="10"/>
      <name val="Arial"/>
      <family val="2"/>
      <charset val="186"/>
    </font>
    <font>
      <sz val="8"/>
      <name val="Arial"/>
      <family val="2"/>
      <charset val="186"/>
    </font>
    <font>
      <b/>
      <i/>
      <sz val="8"/>
      <color indexed="81"/>
      <name val="Tahoma"/>
      <family val="2"/>
      <charset val="186"/>
    </font>
    <font>
      <sz val="10"/>
      <color theme="0"/>
      <name val="Arial"/>
      <family val="2"/>
      <charset val="186"/>
    </font>
    <font>
      <b/>
      <sz val="10"/>
      <color rgb="FF00B050"/>
      <name val="Calibri"/>
      <family val="2"/>
      <charset val="186"/>
      <scheme val="minor"/>
    </font>
    <font>
      <sz val="9"/>
      <color rgb="FF00B050"/>
      <name val="Arial"/>
      <family val="2"/>
      <charset val="186"/>
    </font>
    <font>
      <b/>
      <sz val="9"/>
      <color rgb="FF00B050"/>
      <name val="Arial"/>
      <family val="2"/>
      <charset val="186"/>
    </font>
    <font>
      <b/>
      <sz val="8"/>
      <color indexed="81"/>
      <name val="Tahoma"/>
      <charset val="1"/>
    </font>
  </fonts>
  <fills count="30">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CCFFCC"/>
        <bgColor indexed="64"/>
      </patternFill>
    </fill>
    <fill>
      <patternFill patternType="solid">
        <fgColor rgb="FFCCECFF"/>
        <bgColor indexed="64"/>
      </patternFill>
    </fill>
    <fill>
      <patternFill patternType="solid">
        <fgColor rgb="FFFFFFFF"/>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FF99"/>
        <bgColor indexed="64"/>
      </patternFill>
    </fill>
    <fill>
      <patternFill patternType="solid">
        <fgColor theme="0" tint="-0.249977111117893"/>
        <bgColor indexed="64"/>
      </patternFill>
    </fill>
    <fill>
      <patternFill patternType="solid">
        <fgColor rgb="FFFFCCCC"/>
        <bgColor indexed="64"/>
      </patternFill>
    </fill>
    <fill>
      <patternFill patternType="solid">
        <fgColor rgb="FFFF9999"/>
        <bgColor indexed="64"/>
      </patternFill>
    </fill>
    <fill>
      <patternFill patternType="solid">
        <fgColor rgb="FFEAEAEA"/>
        <bgColor indexed="64"/>
      </patternFill>
    </fill>
    <fill>
      <patternFill patternType="solid">
        <fgColor rgb="FF66FF66"/>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8"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1499679555650502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8"/>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top style="thin">
        <color indexed="64"/>
      </top>
      <bottom style="medium">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medium">
        <color indexed="64"/>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diagonal/>
    </border>
  </borders>
  <cellStyleXfs count="34">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xf numFmtId="0" fontId="14" fillId="0" borderId="0"/>
    <xf numFmtId="0" fontId="5" fillId="0" borderId="0"/>
    <xf numFmtId="0" fontId="5" fillId="0" borderId="0"/>
    <xf numFmtId="0" fontId="15" fillId="0" borderId="0"/>
    <xf numFmtId="0" fontId="5" fillId="0" borderId="0"/>
    <xf numFmtId="0" fontId="8" fillId="0" borderId="0"/>
    <xf numFmtId="0" fontId="16" fillId="0" borderId="0"/>
    <xf numFmtId="0" fontId="2" fillId="0" borderId="0"/>
    <xf numFmtId="0" fontId="15" fillId="0" borderId="0"/>
    <xf numFmtId="0" fontId="13" fillId="0" borderId="0"/>
    <xf numFmtId="0" fontId="17" fillId="0" borderId="0"/>
    <xf numFmtId="0" fontId="6" fillId="0" borderId="0"/>
    <xf numFmtId="0" fontId="2" fillId="0" borderId="0"/>
    <xf numFmtId="0" fontId="13" fillId="0" borderId="0"/>
    <xf numFmtId="0" fontId="9" fillId="0" borderId="0"/>
    <xf numFmtId="49" fontId="7" fillId="3" borderId="0" applyBorder="0" applyProtection="0">
      <alignment horizontal="left" vertical="top" wrapText="1"/>
    </xf>
    <xf numFmtId="0" fontId="13" fillId="0" borderId="0"/>
    <xf numFmtId="0" fontId="14" fillId="0" borderId="0"/>
    <xf numFmtId="0" fontId="5" fillId="0" borderId="0"/>
    <xf numFmtId="0" fontId="8" fillId="0" borderId="0"/>
    <xf numFmtId="0" fontId="16" fillId="0" borderId="0"/>
    <xf numFmtId="0" fontId="6" fillId="0" borderId="0"/>
    <xf numFmtId="0" fontId="15" fillId="0" borderId="0"/>
    <xf numFmtId="0" fontId="6" fillId="0" borderId="0"/>
    <xf numFmtId="0" fontId="6" fillId="0" borderId="0"/>
    <xf numFmtId="0" fontId="17" fillId="0" borderId="0"/>
    <xf numFmtId="0" fontId="6" fillId="0" borderId="0"/>
  </cellStyleXfs>
  <cellXfs count="970">
    <xf numFmtId="0" fontId="0" fillId="0" borderId="0" xfId="0"/>
    <xf numFmtId="0" fontId="1" fillId="0" borderId="0" xfId="13" applyFont="1" applyFill="1" applyBorder="1" applyAlignment="1"/>
    <xf numFmtId="0" fontId="2" fillId="0" borderId="0" xfId="13" applyFont="1" applyFill="1" applyBorder="1" applyAlignment="1"/>
    <xf numFmtId="0" fontId="2" fillId="0" borderId="0" xfId="13" applyFont="1" applyBorder="1" applyAlignment="1">
      <alignment horizontal="center"/>
    </xf>
    <xf numFmtId="0" fontId="2" fillId="0" borderId="0" xfId="13" applyFont="1" applyBorder="1" applyAlignment="1"/>
    <xf numFmtId="0" fontId="2" fillId="0" borderId="0" xfId="7" applyFont="1" applyFill="1" applyBorder="1" applyAlignment="1"/>
    <xf numFmtId="0" fontId="1" fillId="4" borderId="0" xfId="7" applyFont="1" applyFill="1" applyBorder="1" applyAlignment="1"/>
    <xf numFmtId="0" fontId="3" fillId="0" borderId="0" xfId="13" applyFont="1" applyFill="1" applyBorder="1" applyAlignment="1"/>
    <xf numFmtId="0" fontId="1" fillId="0" borderId="0" xfId="13" applyFont="1" applyFill="1" applyBorder="1" applyAlignment="1">
      <alignment horizontal="center"/>
    </xf>
    <xf numFmtId="0" fontId="2" fillId="0" borderId="0" xfId="13" applyFont="1" applyFill="1" applyBorder="1" applyAlignment="1">
      <alignment horizontal="center"/>
    </xf>
    <xf numFmtId="0" fontId="2" fillId="5" borderId="0" xfId="7" applyFont="1" applyFill="1" applyBorder="1" applyAlignment="1"/>
    <xf numFmtId="0" fontId="2" fillId="6" borderId="0" xfId="7" applyFont="1" applyFill="1" applyBorder="1" applyAlignment="1"/>
    <xf numFmtId="0" fontId="2" fillId="0" borderId="1" xfId="13" applyFont="1" applyFill="1" applyBorder="1" applyAlignment="1">
      <alignment horizontal="center"/>
    </xf>
    <xf numFmtId="0" fontId="2" fillId="0" borderId="2" xfId="7" applyFont="1" applyFill="1" applyBorder="1" applyAlignment="1"/>
    <xf numFmtId="0" fontId="2" fillId="0" borderId="3" xfId="7" applyFont="1" applyFill="1" applyBorder="1" applyAlignment="1"/>
    <xf numFmtId="0" fontId="2" fillId="0" borderId="4" xfId="7" applyFont="1" applyFill="1" applyBorder="1" applyAlignment="1"/>
    <xf numFmtId="0" fontId="2" fillId="0" borderId="6" xfId="7" applyFont="1" applyFill="1" applyBorder="1" applyAlignment="1"/>
    <xf numFmtId="0" fontId="20" fillId="0" borderId="1" xfId="13" applyFont="1" applyFill="1" applyBorder="1" applyAlignment="1"/>
    <xf numFmtId="0" fontId="2" fillId="0" borderId="6" xfId="13" applyFont="1" applyFill="1" applyBorder="1" applyAlignment="1"/>
    <xf numFmtId="0" fontId="2" fillId="0" borderId="5" xfId="7" applyFont="1" applyFill="1" applyBorder="1" applyAlignment="1"/>
    <xf numFmtId="0" fontId="21" fillId="0" borderId="1" xfId="13" applyFont="1" applyFill="1" applyBorder="1" applyAlignment="1">
      <alignment horizontal="center"/>
    </xf>
    <xf numFmtId="0" fontId="21" fillId="7" borderId="1" xfId="13" applyFont="1" applyFill="1" applyBorder="1" applyAlignment="1">
      <alignment horizontal="center"/>
    </xf>
    <xf numFmtId="0" fontId="0" fillId="0" borderId="1" xfId="0" applyBorder="1"/>
    <xf numFmtId="0" fontId="2" fillId="0" borderId="7" xfId="7" applyFont="1" applyFill="1" applyBorder="1" applyAlignment="1"/>
    <xf numFmtId="0" fontId="2" fillId="0" borderId="7" xfId="13" applyFont="1" applyFill="1" applyBorder="1" applyAlignment="1"/>
    <xf numFmtId="164" fontId="2" fillId="0" borderId="23" xfId="7" applyNumberFormat="1" applyFont="1" applyFill="1" applyBorder="1" applyAlignment="1">
      <alignment horizontal="center"/>
    </xf>
    <xf numFmtId="164" fontId="2" fillId="0" borderId="24" xfId="7" applyNumberFormat="1" applyFont="1" applyFill="1" applyBorder="1" applyAlignment="1">
      <alignment horizontal="center"/>
    </xf>
    <xf numFmtId="164" fontId="22" fillId="0" borderId="25" xfId="13" applyNumberFormat="1" applyFont="1" applyFill="1" applyBorder="1" applyAlignment="1">
      <alignment horizontal="center"/>
    </xf>
    <xf numFmtId="0" fontId="1" fillId="5" borderId="8" xfId="13" applyFont="1" applyFill="1" applyBorder="1" applyAlignment="1">
      <alignment horizontal="center"/>
    </xf>
    <xf numFmtId="0" fontId="2" fillId="5" borderId="8" xfId="13" applyFont="1" applyFill="1" applyBorder="1" applyAlignment="1"/>
    <xf numFmtId="164" fontId="1" fillId="5" borderId="8" xfId="13" applyNumberFormat="1" applyFont="1" applyFill="1" applyBorder="1" applyAlignment="1">
      <alignment horizontal="center"/>
    </xf>
    <xf numFmtId="164" fontId="24" fillId="5" borderId="8" xfId="13" applyNumberFormat="1" applyFont="1" applyFill="1" applyBorder="1" applyAlignment="1">
      <alignment horizontal="center"/>
    </xf>
    <xf numFmtId="0" fontId="2" fillId="5" borderId="0" xfId="13" applyFont="1" applyFill="1" applyBorder="1" applyAlignment="1"/>
    <xf numFmtId="0" fontId="10" fillId="0" borderId="1" xfId="1" applyBorder="1" applyAlignment="1"/>
    <xf numFmtId="0" fontId="10" fillId="7" borderId="1" xfId="1" applyFill="1" applyBorder="1" applyAlignment="1"/>
    <xf numFmtId="0" fontId="18" fillId="0" borderId="0" xfId="0" applyFont="1"/>
    <xf numFmtId="0" fontId="18" fillId="0" borderId="0" xfId="0" applyFont="1" applyAlignment="1">
      <alignment wrapText="1"/>
    </xf>
    <xf numFmtId="0" fontId="28" fillId="0" borderId="1" xfId="13" applyFont="1" applyFill="1" applyBorder="1" applyAlignment="1">
      <alignment horizontal="center"/>
    </xf>
    <xf numFmtId="0" fontId="22" fillId="0" borderId="1" xfId="13" applyNumberFormat="1" applyFont="1" applyFill="1" applyBorder="1" applyAlignment="1">
      <alignment horizontal="center"/>
    </xf>
    <xf numFmtId="1" fontId="9" fillId="5" borderId="0" xfId="7" applyNumberFormat="1" applyFont="1" applyFill="1" applyBorder="1" applyAlignment="1">
      <alignment horizontal="center"/>
    </xf>
    <xf numFmtId="164" fontId="9" fillId="5" borderId="8" xfId="7" applyNumberFormat="1" applyFont="1" applyFill="1" applyBorder="1" applyAlignment="1">
      <alignment horizontal="center"/>
    </xf>
    <xf numFmtId="0" fontId="18" fillId="0" borderId="0" xfId="16" applyFont="1"/>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0" borderId="0" xfId="0" applyFont="1"/>
    <xf numFmtId="0" fontId="24" fillId="0" borderId="0" xfId="0" applyFont="1"/>
    <xf numFmtId="0" fontId="10" fillId="0" borderId="0" xfId="1"/>
    <xf numFmtId="0" fontId="27" fillId="5" borderId="8" xfId="13" applyFont="1" applyFill="1" applyBorder="1" applyAlignment="1">
      <alignment horizontal="center"/>
    </xf>
    <xf numFmtId="0" fontId="24" fillId="5" borderId="8" xfId="13" applyFont="1" applyFill="1" applyBorder="1" applyAlignment="1">
      <alignment horizontal="center"/>
    </xf>
    <xf numFmtId="0" fontId="9" fillId="0" borderId="0" xfId="16" applyFont="1" applyBorder="1"/>
    <xf numFmtId="0" fontId="0" fillId="0" borderId="0" xfId="0" applyFont="1"/>
    <xf numFmtId="0" fontId="0" fillId="0" borderId="0" xfId="0" applyFont="1"/>
    <xf numFmtId="0" fontId="0" fillId="0" borderId="1" xfId="0" applyFont="1" applyBorder="1"/>
    <xf numFmtId="0" fontId="0" fillId="0" borderId="0" xfId="0" applyFont="1" applyFill="1"/>
    <xf numFmtId="0" fontId="0" fillId="0" borderId="0" xfId="0" applyFont="1" applyAlignment="1">
      <alignment wrapText="1"/>
    </xf>
    <xf numFmtId="0" fontId="18" fillId="0" borderId="0" xfId="6" applyNumberFormat="1" applyFont="1" applyAlignment="1"/>
    <xf numFmtId="0" fontId="9" fillId="0" borderId="0" xfId="6" applyNumberFormat="1" applyFont="1" applyAlignment="1"/>
    <xf numFmtId="0" fontId="18" fillId="5" borderId="1" xfId="6" applyNumberFormat="1" applyFont="1" applyFill="1" applyBorder="1" applyAlignment="1"/>
    <xf numFmtId="0" fontId="9" fillId="0" borderId="0" xfId="6" applyNumberFormat="1" applyFont="1" applyAlignment="1">
      <alignment horizontal="center"/>
    </xf>
    <xf numFmtId="0" fontId="9" fillId="0" borderId="0" xfId="6" applyNumberFormat="1" applyFont="1" applyFill="1" applyAlignment="1"/>
    <xf numFmtId="164" fontId="9" fillId="0" borderId="0" xfId="6" applyNumberFormat="1" applyFont="1" applyAlignment="1">
      <alignment horizontal="center"/>
    </xf>
    <xf numFmtId="0" fontId="9" fillId="0" borderId="0" xfId="6" applyNumberFormat="1" applyFont="1" applyBorder="1" applyAlignment="1"/>
    <xf numFmtId="0" fontId="33" fillId="0" borderId="0" xfId="2" applyNumberFormat="1" applyFont="1" applyBorder="1" applyAlignment="1"/>
    <xf numFmtId="165" fontId="9" fillId="0" borderId="0" xfId="6" applyNumberFormat="1" applyFont="1" applyBorder="1" applyAlignment="1">
      <alignment horizontal="center"/>
    </xf>
    <xf numFmtId="0" fontId="9" fillId="0" borderId="0" xfId="6" applyNumberFormat="1" applyFont="1" applyFill="1" applyAlignment="1">
      <alignment horizontal="left"/>
    </xf>
    <xf numFmtId="0" fontId="19" fillId="0" borderId="0" xfId="6" applyNumberFormat="1" applyFont="1" applyAlignment="1"/>
    <xf numFmtId="0" fontId="9" fillId="0" borderId="0" xfId="6" applyFont="1" applyFill="1" applyAlignment="1"/>
    <xf numFmtId="0" fontId="9" fillId="0" borderId="0" xfId="6" applyFont="1" applyAlignment="1"/>
    <xf numFmtId="0" fontId="18" fillId="0" borderId="0" xfId="6" applyFont="1" applyAlignment="1"/>
    <xf numFmtId="0" fontId="9" fillId="0" borderId="0" xfId="6" applyFont="1"/>
    <xf numFmtId="0" fontId="9" fillId="0" borderId="0" xfId="11" applyFont="1" applyAlignment="1"/>
    <xf numFmtId="0" fontId="18" fillId="0" borderId="0" xfId="0" applyFont="1" applyFill="1"/>
    <xf numFmtId="0" fontId="34" fillId="8" borderId="1" xfId="13" applyFont="1" applyFill="1" applyBorder="1" applyAlignment="1">
      <alignment horizontal="center"/>
    </xf>
    <xf numFmtId="0" fontId="9" fillId="11" borderId="0" xfId="10" applyFont="1" applyFill="1" applyBorder="1" applyAlignment="1">
      <alignment horizontal="right"/>
    </xf>
    <xf numFmtId="0" fontId="9" fillId="0" borderId="0" xfId="16" applyFont="1"/>
    <xf numFmtId="0" fontId="9" fillId="0" borderId="1" xfId="13" applyFont="1" applyFill="1" applyBorder="1" applyAlignment="1">
      <alignment horizontal="center"/>
    </xf>
    <xf numFmtId="1" fontId="22" fillId="0" borderId="1" xfId="13" applyNumberFormat="1" applyFont="1" applyFill="1" applyBorder="1" applyAlignment="1">
      <alignment horizontal="right"/>
    </xf>
    <xf numFmtId="1" fontId="28" fillId="0" borderId="1" xfId="13" applyNumberFormat="1" applyFont="1" applyFill="1" applyBorder="1" applyAlignment="1">
      <alignment horizontal="right"/>
    </xf>
    <xf numFmtId="0" fontId="9" fillId="0" borderId="0" xfId="14" applyFont="1"/>
    <xf numFmtId="0" fontId="18" fillId="0" borderId="0" xfId="9" applyFont="1" applyAlignment="1">
      <alignment vertical="center"/>
    </xf>
    <xf numFmtId="0" fontId="9" fillId="0" borderId="13" xfId="9" applyFont="1" applyBorder="1" applyAlignment="1">
      <alignment horizontal="center"/>
    </xf>
    <xf numFmtId="0" fontId="9" fillId="0" borderId="1" xfId="9" applyFont="1" applyBorder="1" applyAlignment="1">
      <alignment horizontal="center"/>
    </xf>
    <xf numFmtId="0" fontId="9" fillId="0" borderId="9" xfId="9" applyFont="1" applyBorder="1" applyAlignment="1">
      <alignment horizontal="center"/>
    </xf>
    <xf numFmtId="0" fontId="9" fillId="0" borderId="14" xfId="9" applyFont="1" applyFill="1" applyBorder="1" applyAlignment="1">
      <alignment horizontal="center"/>
    </xf>
    <xf numFmtId="0" fontId="9" fillId="0" borderId="26" xfId="14" applyFont="1" applyBorder="1"/>
    <xf numFmtId="0" fontId="9" fillId="0" borderId="27" xfId="14" applyFont="1" applyBorder="1"/>
    <xf numFmtId="0" fontId="9" fillId="0" borderId="14" xfId="14" applyFont="1" applyFill="1" applyBorder="1" applyAlignment="1">
      <alignment horizontal="center"/>
    </xf>
    <xf numFmtId="0" fontId="9" fillId="0" borderId="26" xfId="14" applyFont="1" applyFill="1" applyBorder="1" applyAlignment="1">
      <alignment horizontal="center"/>
    </xf>
    <xf numFmtId="0" fontId="9" fillId="0" borderId="26" xfId="9" applyFont="1" applyFill="1" applyBorder="1" applyAlignment="1">
      <alignment horizontal="center"/>
    </xf>
    <xf numFmtId="0" fontId="9" fillId="0" borderId="0" xfId="9" applyFont="1" applyFill="1" applyBorder="1" applyAlignment="1">
      <alignment horizontal="center"/>
    </xf>
    <xf numFmtId="0" fontId="9" fillId="0" borderId="0" xfId="14" applyFont="1" applyBorder="1"/>
    <xf numFmtId="0" fontId="18" fillId="0" borderId="14" xfId="9" applyFont="1" applyFill="1" applyBorder="1" applyAlignment="1">
      <alignment horizontal="center"/>
    </xf>
    <xf numFmtId="0" fontId="9" fillId="0" borderId="15" xfId="9" applyFont="1" applyBorder="1" applyAlignment="1">
      <alignment horizontal="center"/>
    </xf>
    <xf numFmtId="0" fontId="9" fillId="0" borderId="10" xfId="9" applyFont="1" applyBorder="1" applyAlignment="1">
      <alignment horizontal="center"/>
    </xf>
    <xf numFmtId="0" fontId="9" fillId="0" borderId="16" xfId="9" applyFont="1" applyBorder="1" applyAlignment="1">
      <alignment horizontal="center"/>
    </xf>
    <xf numFmtId="0" fontId="9" fillId="0" borderId="17" xfId="14" applyFont="1" applyFill="1" applyBorder="1" applyAlignment="1">
      <alignment horizontal="center"/>
    </xf>
    <xf numFmtId="0" fontId="18" fillId="0" borderId="17" xfId="9" applyFont="1" applyFill="1" applyBorder="1" applyAlignment="1">
      <alignment horizontal="center"/>
    </xf>
    <xf numFmtId="0" fontId="9" fillId="0" borderId="1" xfId="14" applyFont="1" applyBorder="1" applyAlignment="1">
      <alignment horizontal="left"/>
    </xf>
    <xf numFmtId="0" fontId="9" fillId="5" borderId="13" xfId="14" applyFont="1" applyFill="1" applyBorder="1" applyAlignment="1">
      <alignment horizontal="center"/>
    </xf>
    <xf numFmtId="0" fontId="9" fillId="5" borderId="1" xfId="14" applyFont="1" applyFill="1" applyBorder="1" applyAlignment="1">
      <alignment horizontal="center"/>
    </xf>
    <xf numFmtId="0" fontId="9" fillId="5" borderId="9" xfId="14" applyFont="1" applyFill="1" applyBorder="1" applyAlignment="1">
      <alignment horizontal="center"/>
    </xf>
    <xf numFmtId="0" fontId="9" fillId="5" borderId="14" xfId="14" applyFont="1" applyFill="1" applyBorder="1" applyAlignment="1">
      <alignment horizontal="center"/>
    </xf>
    <xf numFmtId="0" fontId="9" fillId="0" borderId="13" xfId="14" applyFont="1" applyFill="1" applyBorder="1" applyAlignment="1">
      <alignment horizontal="center"/>
    </xf>
    <xf numFmtId="0" fontId="9" fillId="0" borderId="1" xfId="14" applyFont="1" applyFill="1" applyBorder="1" applyAlignment="1">
      <alignment horizontal="center"/>
    </xf>
    <xf numFmtId="0" fontId="9" fillId="0" borderId="9" xfId="14" applyFont="1" applyFill="1" applyBorder="1" applyAlignment="1">
      <alignment horizontal="center"/>
    </xf>
    <xf numFmtId="0" fontId="9" fillId="0" borderId="14" xfId="9" applyFont="1" applyBorder="1" applyAlignment="1"/>
    <xf numFmtId="0" fontId="9" fillId="5" borderId="14" xfId="9" applyFont="1" applyFill="1" applyBorder="1" applyAlignment="1"/>
    <xf numFmtId="0" fontId="9" fillId="0" borderId="0" xfId="14" applyFont="1" applyAlignment="1"/>
    <xf numFmtId="0" fontId="9" fillId="0" borderId="14" xfId="14" applyFont="1" applyBorder="1" applyAlignment="1"/>
    <xf numFmtId="0" fontId="18" fillId="0" borderId="13" xfId="9" applyFont="1" applyBorder="1" applyAlignment="1"/>
    <xf numFmtId="0" fontId="18" fillId="0" borderId="12" xfId="9" applyFont="1" applyBorder="1" applyAlignment="1"/>
    <xf numFmtId="0" fontId="9" fillId="0" borderId="9" xfId="9" applyFont="1" applyFill="1" applyBorder="1" applyAlignment="1">
      <alignment horizontal="center"/>
    </xf>
    <xf numFmtId="0" fontId="9" fillId="0" borderId="17" xfId="14" applyFont="1" applyBorder="1" applyAlignment="1"/>
    <xf numFmtId="0" fontId="18" fillId="0" borderId="1" xfId="14" applyFont="1" applyBorder="1" applyAlignment="1"/>
    <xf numFmtId="0" fontId="9" fillId="5" borderId="1" xfId="14" applyFont="1" applyFill="1" applyBorder="1" applyAlignment="1"/>
    <xf numFmtId="0" fontId="9" fillId="6" borderId="1" xfId="14" applyFont="1" applyFill="1" applyBorder="1" applyAlignment="1"/>
    <xf numFmtId="0" fontId="9" fillId="0" borderId="1" xfId="14" applyFont="1" applyBorder="1" applyAlignment="1"/>
    <xf numFmtId="0" fontId="9" fillId="0" borderId="1" xfId="9" applyFont="1" applyFill="1" applyBorder="1" applyAlignment="1">
      <alignment horizontal="left"/>
    </xf>
    <xf numFmtId="0" fontId="9" fillId="5" borderId="10" xfId="14" applyFont="1" applyFill="1" applyBorder="1" applyAlignment="1">
      <alignment horizontal="center"/>
    </xf>
    <xf numFmtId="0" fontId="9" fillId="0" borderId="13" xfId="14" applyFont="1" applyBorder="1" applyAlignment="1">
      <alignment horizontal="left"/>
    </xf>
    <xf numFmtId="0" fontId="9" fillId="0" borderId="15" xfId="9" applyFont="1" applyFill="1" applyBorder="1" applyAlignment="1">
      <alignment horizontal="left"/>
    </xf>
    <xf numFmtId="0" fontId="9" fillId="0" borderId="13" xfId="9" applyFont="1" applyFill="1" applyBorder="1" applyAlignment="1"/>
    <xf numFmtId="0" fontId="9" fillId="0" borderId="13" xfId="9" applyFont="1" applyFill="1" applyBorder="1" applyAlignment="1">
      <alignment horizontal="left"/>
    </xf>
    <xf numFmtId="0" fontId="9" fillId="5" borderId="13" xfId="14" applyFont="1" applyFill="1" applyBorder="1" applyAlignment="1"/>
    <xf numFmtId="0" fontId="9" fillId="0" borderId="13" xfId="14" applyFont="1" applyFill="1" applyBorder="1" applyAlignment="1"/>
    <xf numFmtId="0" fontId="9" fillId="5" borderId="13" xfId="9" applyFont="1" applyFill="1" applyBorder="1" applyAlignment="1"/>
    <xf numFmtId="0" fontId="9" fillId="0" borderId="19" xfId="14" applyFont="1" applyBorder="1" applyAlignment="1">
      <alignment horizontal="left"/>
    </xf>
    <xf numFmtId="0" fontId="24" fillId="4" borderId="1" xfId="16" applyFont="1" applyFill="1" applyBorder="1" applyAlignment="1"/>
    <xf numFmtId="0" fontId="24" fillId="0" borderId="0" xfId="16" applyFont="1"/>
    <xf numFmtId="164" fontId="22" fillId="0" borderId="28" xfId="13" applyNumberFormat="1" applyFont="1" applyFill="1" applyBorder="1" applyAlignment="1">
      <alignment horizontal="center"/>
    </xf>
    <xf numFmtId="0" fontId="0" fillId="0" borderId="0" xfId="0" applyFont="1"/>
    <xf numFmtId="0" fontId="0" fillId="0" borderId="0" xfId="0" applyFont="1" applyBorder="1"/>
    <xf numFmtId="0" fontId="0" fillId="0" borderId="0" xfId="0" applyFont="1" applyAlignment="1">
      <alignment horizontal="right"/>
    </xf>
    <xf numFmtId="0" fontId="9" fillId="0" borderId="1" xfId="13" applyFont="1" applyFill="1" applyBorder="1" applyAlignment="1"/>
    <xf numFmtId="0" fontId="18" fillId="0" borderId="1" xfId="13" applyFont="1" applyFill="1" applyBorder="1" applyAlignment="1">
      <alignment horizontal="center"/>
    </xf>
    <xf numFmtId="0" fontId="18" fillId="5" borderId="0" xfId="6" quotePrefix="1" applyNumberFormat="1" applyFont="1" applyFill="1" applyAlignment="1"/>
    <xf numFmtId="0" fontId="9" fillId="5" borderId="0" xfId="6" applyNumberFormat="1" applyFont="1" applyFill="1" applyAlignment="1"/>
    <xf numFmtId="0" fontId="10" fillId="7" borderId="1" xfId="1" applyFont="1" applyFill="1" applyBorder="1" applyAlignment="1"/>
    <xf numFmtId="0" fontId="10" fillId="0" borderId="1" xfId="1" applyFont="1" applyBorder="1" applyAlignment="1"/>
    <xf numFmtId="0" fontId="0" fillId="0" borderId="1" xfId="0" applyFont="1" applyFill="1" applyBorder="1" applyAlignment="1"/>
    <xf numFmtId="0" fontId="18" fillId="0" borderId="1" xfId="19" applyFont="1" applyFill="1" applyBorder="1" applyAlignment="1">
      <alignment horizontal="center"/>
    </xf>
    <xf numFmtId="0" fontId="9" fillId="0" borderId="0" xfId="19" applyFont="1" applyFill="1" applyBorder="1" applyAlignment="1"/>
    <xf numFmtId="0" fontId="0" fillId="0" borderId="0" xfId="0" applyFont="1" applyFill="1" applyBorder="1"/>
    <xf numFmtId="0" fontId="23" fillId="0" borderId="0" xfId="19" applyFont="1" applyFill="1" applyBorder="1" applyAlignment="1">
      <alignment horizontal="right"/>
    </xf>
    <xf numFmtId="0" fontId="40" fillId="0" borderId="0" xfId="0" applyFont="1"/>
    <xf numFmtId="0" fontId="40" fillId="0" borderId="0" xfId="0" applyFont="1" applyFill="1" applyBorder="1" applyAlignment="1">
      <alignment horizontal="right"/>
    </xf>
    <xf numFmtId="0" fontId="21" fillId="8" borderId="7" xfId="13" applyFont="1" applyFill="1" applyBorder="1" applyAlignment="1">
      <alignment horizontal="center"/>
    </xf>
    <xf numFmtId="0" fontId="21" fillId="0" borderId="7" xfId="13" applyFont="1" applyFill="1" applyBorder="1" applyAlignment="1">
      <alignment horizontal="center"/>
    </xf>
    <xf numFmtId="0" fontId="21" fillId="7" borderId="7" xfId="13" applyFont="1" applyFill="1" applyBorder="1" applyAlignment="1">
      <alignment horizontal="center"/>
    </xf>
    <xf numFmtId="0" fontId="9" fillId="0" borderId="29" xfId="14" applyFont="1" applyBorder="1" applyAlignment="1"/>
    <xf numFmtId="0" fontId="18" fillId="0" borderId="29" xfId="14" applyFont="1" applyBorder="1" applyAlignment="1">
      <alignment horizontal="center"/>
    </xf>
    <xf numFmtId="0" fontId="9" fillId="0" borderId="30" xfId="14" applyFont="1" applyBorder="1" applyAlignment="1"/>
    <xf numFmtId="0" fontId="9" fillId="0" borderId="31" xfId="14" applyFont="1" applyBorder="1" applyAlignment="1"/>
    <xf numFmtId="0" fontId="9" fillId="0" borderId="32" xfId="14" applyFont="1" applyBorder="1" applyAlignment="1"/>
    <xf numFmtId="0" fontId="9" fillId="0" borderId="29" xfId="14" applyFont="1" applyFill="1" applyBorder="1" applyAlignment="1"/>
    <xf numFmtId="0" fontId="18" fillId="0" borderId="29" xfId="9" applyFont="1" applyBorder="1" applyAlignment="1"/>
    <xf numFmtId="0" fontId="18" fillId="0" borderId="31" xfId="9" applyFont="1" applyBorder="1" applyAlignment="1">
      <alignment horizontal="center"/>
    </xf>
    <xf numFmtId="0" fontId="18" fillId="0" borderId="33" xfId="9" applyFont="1" applyBorder="1" applyAlignment="1">
      <alignment horizontal="center"/>
    </xf>
    <xf numFmtId="0" fontId="18" fillId="0" borderId="34" xfId="9" applyFont="1" applyBorder="1" applyAlignment="1">
      <alignment horizontal="center"/>
    </xf>
    <xf numFmtId="0" fontId="18" fillId="0" borderId="35" xfId="9" applyFont="1" applyBorder="1" applyAlignment="1">
      <alignment horizontal="center"/>
    </xf>
    <xf numFmtId="0" fontId="18" fillId="0" borderId="31" xfId="9" applyFont="1" applyFill="1" applyBorder="1" applyAlignment="1">
      <alignment horizontal="center"/>
    </xf>
    <xf numFmtId="0" fontId="18" fillId="0" borderId="29" xfId="9" applyFont="1" applyFill="1" applyBorder="1" applyAlignment="1">
      <alignment horizontal="center"/>
    </xf>
    <xf numFmtId="0" fontId="9" fillId="0" borderId="18" xfId="9" applyFont="1" applyBorder="1" applyAlignment="1"/>
    <xf numFmtId="0" fontId="18" fillId="0" borderId="36" xfId="9" applyFont="1" applyBorder="1" applyAlignment="1"/>
    <xf numFmtId="0" fontId="9" fillId="0" borderId="36" xfId="9" applyFont="1" applyBorder="1" applyAlignment="1">
      <alignment horizontal="center"/>
    </xf>
    <xf numFmtId="0" fontId="9" fillId="0" borderId="11" xfId="9" applyFont="1" applyBorder="1" applyAlignment="1">
      <alignment horizontal="center"/>
    </xf>
    <xf numFmtId="0" fontId="9" fillId="0" borderId="22" xfId="9" applyFont="1" applyBorder="1" applyAlignment="1">
      <alignment horizontal="center"/>
    </xf>
    <xf numFmtId="0" fontId="9" fillId="0" borderId="18" xfId="9" applyFont="1" applyFill="1" applyBorder="1" applyAlignment="1">
      <alignment horizontal="center"/>
    </xf>
    <xf numFmtId="0" fontId="9" fillId="5" borderId="14" xfId="14" applyFont="1" applyFill="1" applyBorder="1" applyAlignment="1"/>
    <xf numFmtId="0" fontId="9" fillId="5" borderId="13" xfId="9" applyFont="1" applyFill="1" applyBorder="1" applyAlignment="1">
      <alignment horizontal="center"/>
    </xf>
    <xf numFmtId="0" fontId="9" fillId="5" borderId="1" xfId="9" applyFont="1" applyFill="1" applyBorder="1" applyAlignment="1">
      <alignment horizontal="center"/>
    </xf>
    <xf numFmtId="0" fontId="9" fillId="5" borderId="9" xfId="9" applyFont="1" applyFill="1" applyBorder="1" applyAlignment="1">
      <alignment horizontal="center"/>
    </xf>
    <xf numFmtId="0" fontId="9" fillId="5" borderId="14" xfId="9" applyFont="1" applyFill="1" applyBorder="1" applyAlignment="1">
      <alignment horizontal="center"/>
    </xf>
    <xf numFmtId="0" fontId="9" fillId="5" borderId="13" xfId="9" applyFont="1" applyFill="1" applyBorder="1" applyAlignment="1">
      <alignment horizontal="left"/>
    </xf>
    <xf numFmtId="0" fontId="9" fillId="0" borderId="9" xfId="14" applyFont="1" applyBorder="1" applyAlignment="1"/>
    <xf numFmtId="0" fontId="9" fillId="0" borderId="3" xfId="14" applyFont="1" applyBorder="1" applyAlignment="1"/>
    <xf numFmtId="0" fontId="9" fillId="0" borderId="4" xfId="14" applyFont="1" applyBorder="1" applyAlignment="1"/>
    <xf numFmtId="0" fontId="0" fillId="0" borderId="1" xfId="13" applyFont="1" applyFill="1" applyBorder="1" applyAlignment="1"/>
    <xf numFmtId="0" fontId="9" fillId="0" borderId="1" xfId="19" applyFont="1" applyFill="1" applyBorder="1" applyAlignment="1">
      <alignment horizontal="center"/>
    </xf>
    <xf numFmtId="0" fontId="18" fillId="0" borderId="0" xfId="0" applyNumberFormat="1" applyFont="1" applyAlignment="1">
      <alignment wrapText="1"/>
    </xf>
    <xf numFmtId="0" fontId="0" fillId="0" borderId="0" xfId="0" applyNumberFormat="1" applyFont="1" applyAlignment="1">
      <alignment wrapText="1"/>
    </xf>
    <xf numFmtId="0" fontId="25" fillId="0" borderId="0" xfId="0" applyNumberFormat="1" applyFont="1" applyAlignment="1">
      <alignment wrapText="1"/>
    </xf>
    <xf numFmtId="0" fontId="0" fillId="0" borderId="0" xfId="0" quotePrefix="1" applyNumberFormat="1" applyFont="1" applyAlignment="1">
      <alignment wrapText="1"/>
    </xf>
    <xf numFmtId="0" fontId="0" fillId="0" borderId="0" xfId="0" applyAlignment="1">
      <alignment wrapText="1"/>
    </xf>
    <xf numFmtId="0" fontId="41" fillId="0" borderId="1" xfId="0" applyNumberFormat="1" applyFont="1" applyFill="1" applyBorder="1" applyAlignment="1"/>
    <xf numFmtId="0" fontId="42" fillId="2" borderId="1" xfId="1" applyFont="1" applyFill="1" applyBorder="1" applyAlignment="1"/>
    <xf numFmtId="165" fontId="41" fillId="0" borderId="1" xfId="6" applyNumberFormat="1" applyFont="1" applyFill="1" applyBorder="1" applyAlignment="1">
      <alignment horizontal="center"/>
    </xf>
    <xf numFmtId="164" fontId="41" fillId="0" borderId="1" xfId="6" applyNumberFormat="1" applyFont="1" applyFill="1" applyBorder="1" applyAlignment="1">
      <alignment horizontal="center"/>
    </xf>
    <xf numFmtId="0" fontId="18" fillId="9" borderId="0" xfId="16" applyFont="1" applyFill="1"/>
    <xf numFmtId="0" fontId="9" fillId="9" borderId="0" xfId="16" applyFont="1" applyFill="1"/>
    <xf numFmtId="0" fontId="0" fillId="0" borderId="0" xfId="0" applyFont="1" applyAlignment="1"/>
    <xf numFmtId="0" fontId="45" fillId="0" borderId="1" xfId="1" applyFont="1" applyFill="1" applyBorder="1" applyAlignment="1"/>
    <xf numFmtId="0" fontId="45" fillId="0" borderId="10" xfId="1" applyFont="1" applyFill="1" applyBorder="1" applyAlignment="1"/>
    <xf numFmtId="0" fontId="46" fillId="0" borderId="1" xfId="1" applyFont="1" applyFill="1" applyBorder="1" applyAlignment="1"/>
    <xf numFmtId="0" fontId="46" fillId="7" borderId="1" xfId="1" applyFont="1" applyFill="1" applyBorder="1" applyAlignment="1"/>
    <xf numFmtId="0" fontId="47" fillId="7" borderId="7" xfId="13" applyFont="1" applyFill="1" applyBorder="1" applyAlignment="1">
      <alignment horizontal="center"/>
    </xf>
    <xf numFmtId="0" fontId="20" fillId="5" borderId="3" xfId="13" applyFont="1" applyFill="1" applyBorder="1" applyAlignment="1"/>
    <xf numFmtId="0" fontId="41" fillId="0" borderId="0" xfId="6" applyFont="1" applyFill="1" applyAlignment="1">
      <alignment horizontal="right"/>
    </xf>
    <xf numFmtId="0" fontId="0" fillId="0" borderId="0" xfId="0" applyAlignment="1">
      <alignment horizontal="right"/>
    </xf>
    <xf numFmtId="0" fontId="0" fillId="0" borderId="1" xfId="13" applyFont="1" applyFill="1" applyBorder="1" applyAlignment="1">
      <alignment horizontal="center"/>
    </xf>
    <xf numFmtId="0" fontId="9" fillId="0" borderId="1" xfId="16" applyFont="1" applyFill="1" applyBorder="1" applyAlignment="1">
      <alignment horizontal="center"/>
    </xf>
    <xf numFmtId="0" fontId="9" fillId="0" borderId="1" xfId="16" applyFont="1" applyFill="1" applyBorder="1" applyAlignment="1"/>
    <xf numFmtId="0" fontId="18" fillId="0" borderId="0" xfId="16" applyFont="1" applyBorder="1" applyAlignment="1"/>
    <xf numFmtId="0" fontId="9" fillId="0" borderId="0" xfId="16" applyFont="1" applyBorder="1" applyAlignment="1">
      <alignment horizontal="center"/>
    </xf>
    <xf numFmtId="0" fontId="9" fillId="0" borderId="0" xfId="16" applyFont="1" applyFill="1" applyBorder="1" applyAlignment="1">
      <alignment horizontal="center"/>
    </xf>
    <xf numFmtId="49" fontId="9" fillId="0" borderId="0" xfId="16" applyNumberFormat="1" applyFont="1" applyBorder="1" applyAlignment="1">
      <alignment horizontal="center"/>
    </xf>
    <xf numFmtId="0" fontId="18" fillId="5" borderId="9" xfId="13" applyFont="1" applyFill="1" applyBorder="1" applyAlignment="1"/>
    <xf numFmtId="0" fontId="0" fillId="0" borderId="1" xfId="16" applyNumberFormat="1" applyFont="1" applyFill="1" applyBorder="1" applyAlignment="1"/>
    <xf numFmtId="0" fontId="0" fillId="0" borderId="1" xfId="8" applyNumberFormat="1" applyFont="1" applyFill="1" applyBorder="1" applyAlignment="1"/>
    <xf numFmtId="0" fontId="22" fillId="0" borderId="1" xfId="13" applyFont="1" applyFill="1" applyBorder="1" applyAlignment="1">
      <alignment horizontal="center"/>
    </xf>
    <xf numFmtId="0" fontId="10" fillId="0" borderId="9" xfId="1" applyFill="1" applyBorder="1" applyAlignment="1"/>
    <xf numFmtId="0" fontId="10" fillId="0" borderId="4" xfId="1" applyFill="1" applyBorder="1" applyAlignment="1"/>
    <xf numFmtId="0" fontId="32" fillId="0" borderId="0" xfId="6" applyNumberFormat="1" applyFont="1" applyBorder="1" applyAlignment="1"/>
    <xf numFmtId="0" fontId="43" fillId="0" borderId="4" xfId="1" applyFont="1" applyFill="1" applyBorder="1" applyAlignment="1"/>
    <xf numFmtId="0" fontId="10" fillId="0" borderId="3" xfId="1" applyFill="1" applyBorder="1" applyAlignment="1"/>
    <xf numFmtId="0" fontId="43" fillId="0" borderId="3" xfId="1" applyFont="1" applyFill="1" applyBorder="1" applyAlignment="1"/>
    <xf numFmtId="0" fontId="2" fillId="14" borderId="0" xfId="13" applyFont="1" applyFill="1" applyBorder="1" applyAlignment="1">
      <alignment horizontal="center"/>
    </xf>
    <xf numFmtId="0" fontId="2" fillId="0" borderId="1" xfId="13" applyFont="1" applyBorder="1" applyAlignment="1"/>
    <xf numFmtId="0" fontId="18" fillId="5" borderId="1" xfId="13" applyFont="1" applyFill="1" applyBorder="1" applyAlignment="1"/>
    <xf numFmtId="0" fontId="48" fillId="5" borderId="8" xfId="13" applyFont="1" applyFill="1" applyBorder="1" applyAlignment="1">
      <alignment horizontal="center"/>
    </xf>
    <xf numFmtId="0" fontId="2" fillId="0" borderId="9" xfId="13" applyFont="1" applyBorder="1" applyAlignment="1"/>
    <xf numFmtId="0" fontId="2" fillId="0" borderId="9" xfId="13" applyFont="1" applyFill="1" applyBorder="1" applyAlignment="1"/>
    <xf numFmtId="0" fontId="18" fillId="0" borderId="1" xfId="0" applyFont="1" applyBorder="1"/>
    <xf numFmtId="0" fontId="18" fillId="0" borderId="1" xfId="0" applyNumberFormat="1" applyFont="1" applyBorder="1" applyAlignment="1">
      <alignment horizontal="center"/>
    </xf>
    <xf numFmtId="0" fontId="18" fillId="0" borderId="1"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0" fillId="0" borderId="1" xfId="0" applyFont="1" applyBorder="1" applyAlignment="1">
      <alignment wrapText="1"/>
    </xf>
    <xf numFmtId="0" fontId="0" fillId="0" borderId="0" xfId="0" applyFont="1" applyAlignment="1">
      <alignment horizontal="right" wrapText="1"/>
    </xf>
    <xf numFmtId="0" fontId="0" fillId="15" borderId="1" xfId="0"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8" fillId="0" borderId="1" xfId="0" applyFont="1" applyBorder="1" applyAlignment="1">
      <alignment vertical="center"/>
    </xf>
    <xf numFmtId="0" fontId="18" fillId="0" borderId="1" xfId="0" applyNumberFormat="1" applyFont="1" applyBorder="1" applyAlignment="1">
      <alignment vertical="center"/>
    </xf>
    <xf numFmtId="0" fontId="0" fillId="0" borderId="1" xfId="0" applyFont="1" applyBorder="1" applyAlignment="1"/>
    <xf numFmtId="0" fontId="35" fillId="0" borderId="9" xfId="13" applyFont="1" applyFill="1" applyBorder="1" applyAlignment="1">
      <alignment horizontal="center"/>
    </xf>
    <xf numFmtId="0" fontId="9" fillId="5" borderId="8" xfId="7" applyFont="1" applyFill="1" applyBorder="1" applyAlignment="1">
      <alignment horizontal="right"/>
    </xf>
    <xf numFmtId="0" fontId="9" fillId="5" borderId="0" xfId="7" applyFont="1" applyFill="1" applyBorder="1" applyAlignment="1">
      <alignment horizontal="right"/>
    </xf>
    <xf numFmtId="0" fontId="9" fillId="0" borderId="0" xfId="16" applyFont="1" applyAlignment="1"/>
    <xf numFmtId="0" fontId="29" fillId="0" borderId="0" xfId="16" applyFont="1" applyBorder="1"/>
    <xf numFmtId="0" fontId="18" fillId="0" borderId="0" xfId="16" applyFont="1" applyFill="1" applyBorder="1" applyAlignment="1">
      <alignment horizontal="right"/>
    </xf>
    <xf numFmtId="0" fontId="9" fillId="0" borderId="0" xfId="16" applyFont="1" applyAlignment="1">
      <alignment horizontal="left"/>
    </xf>
    <xf numFmtId="0" fontId="18" fillId="0" borderId="0" xfId="16" applyFont="1" applyAlignment="1">
      <alignment horizontal="right"/>
    </xf>
    <xf numFmtId="0" fontId="9" fillId="0" borderId="38" xfId="16" applyFont="1" applyBorder="1"/>
    <xf numFmtId="0" fontId="9" fillId="0" borderId="40" xfId="16" applyFont="1" applyBorder="1" applyAlignment="1">
      <alignment horizontal="left"/>
    </xf>
    <xf numFmtId="0" fontId="9" fillId="0" borderId="41" xfId="16" applyFont="1" applyBorder="1"/>
    <xf numFmtId="0" fontId="9" fillId="0" borderId="40" xfId="16" applyFont="1" applyBorder="1"/>
    <xf numFmtId="0" fontId="9" fillId="0" borderId="0" xfId="16" applyFont="1" applyBorder="1" applyAlignment="1">
      <alignment horizontal="left"/>
    </xf>
    <xf numFmtId="0" fontId="9" fillId="0" borderId="39" xfId="16" applyFont="1" applyBorder="1"/>
    <xf numFmtId="0" fontId="9" fillId="0" borderId="43" xfId="16" applyFont="1" applyBorder="1"/>
    <xf numFmtId="0" fontId="18" fillId="0" borderId="44" xfId="16" applyFont="1" applyBorder="1"/>
    <xf numFmtId="0" fontId="9" fillId="0" borderId="44" xfId="16" applyFont="1" applyBorder="1"/>
    <xf numFmtId="0" fontId="9" fillId="0" borderId="42" xfId="16" applyFont="1" applyBorder="1"/>
    <xf numFmtId="0" fontId="18" fillId="0" borderId="0" xfId="16" applyFont="1" applyBorder="1"/>
    <xf numFmtId="0" fontId="29" fillId="0" borderId="0" xfId="16" applyFont="1"/>
    <xf numFmtId="0" fontId="9" fillId="0" borderId="39" xfId="16" applyFont="1" applyBorder="1" applyAlignment="1">
      <alignment horizontal="left"/>
    </xf>
    <xf numFmtId="0" fontId="9" fillId="0" borderId="41" xfId="16" applyFont="1" applyBorder="1" applyAlignment="1">
      <alignment horizontal="left"/>
    </xf>
    <xf numFmtId="0" fontId="9" fillId="0" borderId="43" xfId="16" applyFont="1" applyBorder="1" applyAlignment="1">
      <alignment horizontal="left"/>
    </xf>
    <xf numFmtId="0" fontId="0" fillId="0" borderId="1" xfId="8" applyFont="1" applyFill="1" applyBorder="1" applyAlignment="1"/>
    <xf numFmtId="49" fontId="9" fillId="0" borderId="0" xfId="16" applyNumberFormat="1" applyFont="1" applyFill="1" applyBorder="1" applyAlignment="1">
      <alignment horizontal="center"/>
    </xf>
    <xf numFmtId="0" fontId="9" fillId="0" borderId="0" xfId="16" applyFont="1" applyFill="1" applyBorder="1" applyAlignment="1"/>
    <xf numFmtId="0" fontId="2" fillId="0" borderId="1" xfId="6" applyFont="1" applyFill="1" applyBorder="1"/>
    <xf numFmtId="0" fontId="9" fillId="0" borderId="0" xfId="6" applyFont="1" applyBorder="1"/>
    <xf numFmtId="0" fontId="18" fillId="0" borderId="0" xfId="6" applyFont="1" applyFill="1" applyAlignment="1">
      <alignment horizontal="right"/>
    </xf>
    <xf numFmtId="0" fontId="9" fillId="0" borderId="0" xfId="6" applyFont="1" applyAlignment="1">
      <alignment horizontal="right"/>
    </xf>
    <xf numFmtId="0" fontId="0" fillId="0" borderId="1" xfId="0" applyFont="1" applyFill="1" applyBorder="1"/>
    <xf numFmtId="0" fontId="9" fillId="0" borderId="1" xfId="6" applyFont="1" applyFill="1" applyBorder="1"/>
    <xf numFmtId="0" fontId="40" fillId="0" borderId="0" xfId="16" applyFont="1"/>
    <xf numFmtId="0" fontId="18" fillId="0" borderId="45" xfId="9" applyFont="1" applyFill="1" applyBorder="1" applyAlignment="1">
      <alignment horizontal="center" vertical="center" textRotation="90"/>
    </xf>
    <xf numFmtId="0" fontId="9" fillId="0" borderId="29" xfId="9" applyFont="1" applyBorder="1" applyAlignment="1"/>
    <xf numFmtId="0" fontId="0" fillId="0" borderId="18" xfId="9" applyFont="1" applyBorder="1" applyAlignment="1"/>
    <xf numFmtId="0" fontId="9" fillId="0" borderId="46" xfId="14" applyFont="1" applyBorder="1"/>
    <xf numFmtId="0" fontId="9" fillId="9" borderId="14" xfId="9" applyFont="1" applyFill="1" applyBorder="1" applyAlignment="1"/>
    <xf numFmtId="0" fontId="9" fillId="9" borderId="0" xfId="14" applyFont="1" applyFill="1" applyBorder="1"/>
    <xf numFmtId="0" fontId="9" fillId="9" borderId="13" xfId="14" applyFont="1" applyFill="1" applyBorder="1" applyAlignment="1">
      <alignment horizontal="center"/>
    </xf>
    <xf numFmtId="0" fontId="9" fillId="9" borderId="1" xfId="14" applyFont="1" applyFill="1" applyBorder="1" applyAlignment="1">
      <alignment horizontal="center"/>
    </xf>
    <xf numFmtId="0" fontId="9" fillId="9" borderId="14" xfId="14" applyFont="1" applyFill="1" applyBorder="1" applyAlignment="1">
      <alignment horizontal="center"/>
    </xf>
    <xf numFmtId="0" fontId="9" fillId="16" borderId="14" xfId="9" applyFont="1" applyFill="1" applyBorder="1" applyAlignment="1"/>
    <xf numFmtId="0" fontId="9" fillId="16" borderId="0" xfId="14" applyFont="1" applyFill="1" applyBorder="1"/>
    <xf numFmtId="0" fontId="9" fillId="16" borderId="13" xfId="14" applyFont="1" applyFill="1" applyBorder="1" applyAlignment="1">
      <alignment horizontal="center"/>
    </xf>
    <xf numFmtId="0" fontId="9" fillId="16" borderId="1" xfId="14" applyFont="1" applyFill="1" applyBorder="1" applyAlignment="1">
      <alignment horizontal="center"/>
    </xf>
    <xf numFmtId="0" fontId="9" fillId="16" borderId="14" xfId="14" applyFont="1" applyFill="1" applyBorder="1" applyAlignment="1">
      <alignment horizontal="center"/>
    </xf>
    <xf numFmtId="0" fontId="9" fillId="0" borderId="0" xfId="14" applyFont="1" applyFill="1"/>
    <xf numFmtId="0" fontId="9" fillId="20" borderId="14" xfId="9" applyFont="1" applyFill="1" applyBorder="1" applyAlignment="1"/>
    <xf numFmtId="0" fontId="9" fillId="20" borderId="13" xfId="14" applyFont="1" applyFill="1" applyBorder="1" applyAlignment="1">
      <alignment horizontal="center"/>
    </xf>
    <xf numFmtId="0" fontId="9" fillId="20" borderId="1" xfId="14" applyFont="1" applyFill="1" applyBorder="1" applyAlignment="1">
      <alignment horizontal="center"/>
    </xf>
    <xf numFmtId="0" fontId="9" fillId="20" borderId="14" xfId="14" applyFont="1" applyFill="1" applyBorder="1" applyAlignment="1">
      <alignment horizontal="center"/>
    </xf>
    <xf numFmtId="0" fontId="18" fillId="20" borderId="14" xfId="14" applyFont="1" applyFill="1" applyBorder="1" applyAlignment="1">
      <alignment horizontal="center"/>
    </xf>
    <xf numFmtId="0" fontId="9" fillId="20" borderId="17" xfId="9" applyFont="1" applyFill="1" applyBorder="1" applyAlignment="1"/>
    <xf numFmtId="0" fontId="9" fillId="20" borderId="17" xfId="14" applyFont="1" applyFill="1" applyBorder="1" applyAlignment="1"/>
    <xf numFmtId="0" fontId="9" fillId="20" borderId="15" xfId="14" applyFont="1" applyFill="1" applyBorder="1" applyAlignment="1">
      <alignment horizontal="center"/>
    </xf>
    <xf numFmtId="0" fontId="9" fillId="20" borderId="10" xfId="14" applyFont="1" applyFill="1" applyBorder="1" applyAlignment="1">
      <alignment horizontal="center"/>
    </xf>
    <xf numFmtId="0" fontId="9" fillId="20" borderId="16" xfId="14" applyFont="1" applyFill="1" applyBorder="1" applyAlignment="1">
      <alignment horizontal="center"/>
    </xf>
    <xf numFmtId="0" fontId="9" fillId="21" borderId="17" xfId="14" applyFont="1" applyFill="1" applyBorder="1" applyAlignment="1">
      <alignment horizontal="center"/>
    </xf>
    <xf numFmtId="0" fontId="9" fillId="0" borderId="18" xfId="14" applyFont="1" applyBorder="1" applyAlignment="1"/>
    <xf numFmtId="0" fontId="18" fillId="0" borderId="18" xfId="9" applyFont="1" applyBorder="1" applyAlignment="1"/>
    <xf numFmtId="0" fontId="9" fillId="22" borderId="14" xfId="9" applyFont="1" applyFill="1" applyBorder="1" applyAlignment="1"/>
    <xf numFmtId="0" fontId="9" fillId="22" borderId="13" xfId="14" applyFont="1" applyFill="1" applyBorder="1" applyAlignment="1"/>
    <xf numFmtId="0" fontId="9" fillId="22" borderId="13" xfId="14" applyFont="1" applyFill="1" applyBorder="1" applyAlignment="1">
      <alignment horizontal="center"/>
    </xf>
    <xf numFmtId="0" fontId="9" fillId="19" borderId="1" xfId="14" applyFont="1" applyFill="1" applyBorder="1" applyAlignment="1">
      <alignment horizontal="center"/>
    </xf>
    <xf numFmtId="0" fontId="9" fillId="22" borderId="1" xfId="14" applyFont="1" applyFill="1" applyBorder="1" applyAlignment="1">
      <alignment horizontal="center"/>
    </xf>
    <xf numFmtId="0" fontId="9" fillId="22" borderId="9" xfId="14" applyFont="1" applyFill="1" applyBorder="1" applyAlignment="1">
      <alignment horizontal="center"/>
    </xf>
    <xf numFmtId="0" fontId="9" fillId="22" borderId="14" xfId="14" applyFont="1" applyFill="1" applyBorder="1" applyAlignment="1">
      <alignment horizontal="center"/>
    </xf>
    <xf numFmtId="0" fontId="9" fillId="22" borderId="13" xfId="9" applyFont="1" applyFill="1" applyBorder="1" applyAlignment="1"/>
    <xf numFmtId="0" fontId="9" fillId="0" borderId="47" xfId="14" applyFont="1" applyBorder="1" applyAlignment="1"/>
    <xf numFmtId="0" fontId="9" fillId="0" borderId="14" xfId="9" applyFont="1" applyFill="1" applyBorder="1" applyAlignment="1"/>
    <xf numFmtId="0" fontId="9" fillId="22" borderId="14" xfId="14" applyFont="1" applyFill="1" applyBorder="1" applyAlignment="1"/>
    <xf numFmtId="0" fontId="9" fillId="0" borderId="17" xfId="9" applyFont="1" applyFill="1" applyBorder="1" applyAlignment="1"/>
    <xf numFmtId="0" fontId="9" fillId="0" borderId="15" xfId="14" applyFont="1" applyFill="1" applyBorder="1" applyAlignment="1"/>
    <xf numFmtId="0" fontId="9" fillId="0" borderId="15" xfId="14" applyFont="1" applyFill="1" applyBorder="1" applyAlignment="1">
      <alignment horizontal="center"/>
    </xf>
    <xf numFmtId="0" fontId="9" fillId="0" borderId="10" xfId="14" applyFont="1" applyFill="1" applyBorder="1" applyAlignment="1">
      <alignment horizontal="center"/>
    </xf>
    <xf numFmtId="0" fontId="9" fillId="0" borderId="16" xfId="14" applyFont="1" applyFill="1" applyBorder="1" applyAlignment="1">
      <alignment horizontal="center"/>
    </xf>
    <xf numFmtId="0" fontId="0" fillId="0" borderId="18" xfId="14" applyFont="1" applyBorder="1" applyAlignment="1"/>
    <xf numFmtId="0" fontId="18" fillId="0" borderId="18" xfId="9" applyFont="1" applyFill="1" applyBorder="1" applyAlignment="1">
      <alignment horizontal="center"/>
    </xf>
    <xf numFmtId="0" fontId="9" fillId="9" borderId="14" xfId="14" applyFont="1" applyFill="1" applyBorder="1" applyAlignment="1"/>
    <xf numFmtId="0" fontId="9" fillId="9" borderId="19" xfId="14" applyFont="1" applyFill="1" applyBorder="1" applyAlignment="1"/>
    <xf numFmtId="0" fontId="9" fillId="9" borderId="1" xfId="9" applyFont="1" applyFill="1" applyBorder="1" applyAlignment="1">
      <alignment horizontal="center"/>
    </xf>
    <xf numFmtId="0" fontId="9" fillId="9" borderId="9" xfId="9" applyFont="1" applyFill="1" applyBorder="1" applyAlignment="1">
      <alignment horizontal="center"/>
    </xf>
    <xf numFmtId="0" fontId="9" fillId="9" borderId="13" xfId="9" applyFont="1" applyFill="1" applyBorder="1" applyAlignment="1">
      <alignment horizontal="center"/>
    </xf>
    <xf numFmtId="0" fontId="9" fillId="18" borderId="14" xfId="14" applyFont="1" applyFill="1" applyBorder="1" applyAlignment="1">
      <alignment horizontal="center"/>
    </xf>
    <xf numFmtId="0" fontId="18" fillId="9" borderId="14" xfId="14" applyFont="1" applyFill="1" applyBorder="1" applyAlignment="1">
      <alignment horizontal="center"/>
    </xf>
    <xf numFmtId="0" fontId="9" fillId="9" borderId="13" xfId="14" applyFont="1" applyFill="1" applyBorder="1" applyAlignment="1">
      <alignment horizontal="left"/>
    </xf>
    <xf numFmtId="0" fontId="9" fillId="9" borderId="13" xfId="9" applyFont="1" applyFill="1" applyBorder="1" applyAlignment="1">
      <alignment horizontal="left"/>
    </xf>
    <xf numFmtId="0" fontId="9" fillId="20" borderId="14" xfId="14" applyFont="1" applyFill="1" applyBorder="1" applyAlignment="1"/>
    <xf numFmtId="0" fontId="9" fillId="20" borderId="13" xfId="9" applyFont="1" applyFill="1" applyBorder="1" applyAlignment="1">
      <alignment horizontal="left"/>
    </xf>
    <xf numFmtId="0" fontId="9" fillId="20" borderId="13" xfId="9" applyFont="1" applyFill="1" applyBorder="1" applyAlignment="1">
      <alignment horizontal="center"/>
    </xf>
    <xf numFmtId="0" fontId="9" fillId="20" borderId="1" xfId="9" applyFont="1" applyFill="1" applyBorder="1" applyAlignment="1">
      <alignment horizontal="center"/>
    </xf>
    <xf numFmtId="0" fontId="9" fillId="20" borderId="9" xfId="9" applyFont="1" applyFill="1" applyBorder="1" applyAlignment="1">
      <alignment horizontal="center"/>
    </xf>
    <xf numFmtId="0" fontId="9" fillId="20" borderId="13" xfId="14" applyFont="1" applyFill="1" applyBorder="1" applyAlignment="1">
      <alignment horizontal="left"/>
    </xf>
    <xf numFmtId="0" fontId="9" fillId="0" borderId="18" xfId="14" applyFont="1" applyFill="1" applyBorder="1" applyAlignment="1">
      <alignment horizontal="center"/>
    </xf>
    <xf numFmtId="0" fontId="9" fillId="22" borderId="19" xfId="14" applyFont="1" applyFill="1" applyBorder="1" applyAlignment="1"/>
    <xf numFmtId="0" fontId="9" fillId="22" borderId="13" xfId="9" applyFont="1" applyFill="1" applyBorder="1" applyAlignment="1">
      <alignment horizontal="center"/>
    </xf>
    <xf numFmtId="0" fontId="9" fillId="22" borderId="1" xfId="9" applyFont="1" applyFill="1" applyBorder="1" applyAlignment="1">
      <alignment horizontal="center"/>
    </xf>
    <xf numFmtId="0" fontId="9" fillId="22" borderId="9" xfId="9" applyFont="1" applyFill="1" applyBorder="1" applyAlignment="1">
      <alignment horizontal="center"/>
    </xf>
    <xf numFmtId="0" fontId="9" fillId="19" borderId="14" xfId="14" applyFont="1" applyFill="1" applyBorder="1" applyAlignment="1">
      <alignment horizontal="center"/>
    </xf>
    <xf numFmtId="0" fontId="9" fillId="22" borderId="14" xfId="9" applyFont="1" applyFill="1" applyBorder="1" applyAlignment="1">
      <alignment horizontal="center"/>
    </xf>
    <xf numFmtId="0" fontId="0" fillId="22" borderId="13" xfId="9" applyFont="1" applyFill="1" applyBorder="1" applyAlignment="1"/>
    <xf numFmtId="0" fontId="22" fillId="22" borderId="13" xfId="9" applyFont="1" applyFill="1" applyBorder="1" applyAlignment="1">
      <alignment horizontal="left"/>
    </xf>
    <xf numFmtId="0" fontId="9" fillId="22" borderId="13" xfId="9" applyFont="1" applyFill="1" applyBorder="1" applyAlignment="1">
      <alignment horizontal="left"/>
    </xf>
    <xf numFmtId="0" fontId="0" fillId="0" borderId="13" xfId="14" applyFont="1" applyBorder="1" applyAlignment="1">
      <alignment horizontal="left"/>
    </xf>
    <xf numFmtId="0" fontId="0" fillId="0" borderId="15" xfId="14" applyFont="1" applyBorder="1" applyAlignment="1">
      <alignment horizontal="left"/>
    </xf>
    <xf numFmtId="0" fontId="9" fillId="19" borderId="17" xfId="14" applyFont="1" applyFill="1" applyBorder="1" applyAlignment="1">
      <alignment horizontal="center"/>
    </xf>
    <xf numFmtId="0" fontId="9" fillId="0" borderId="17" xfId="9" applyFont="1" applyFill="1" applyBorder="1" applyAlignment="1">
      <alignment horizontal="center"/>
    </xf>
    <xf numFmtId="0" fontId="0" fillId="22" borderId="13" xfId="14" applyFont="1" applyFill="1" applyBorder="1" applyAlignment="1"/>
    <xf numFmtId="0" fontId="0" fillId="19" borderId="1" xfId="14" applyFont="1" applyFill="1" applyBorder="1" applyAlignment="1">
      <alignment horizontal="center"/>
    </xf>
    <xf numFmtId="0" fontId="0" fillId="0" borderId="0" xfId="14" applyFont="1"/>
    <xf numFmtId="0" fontId="22" fillId="22" borderId="13" xfId="14" applyFont="1" applyFill="1" applyBorder="1" applyAlignment="1"/>
    <xf numFmtId="0" fontId="18" fillId="0" borderId="48" xfId="9" applyFont="1" applyBorder="1" applyAlignment="1"/>
    <xf numFmtId="0" fontId="9" fillId="0" borderId="15" xfId="14" applyFont="1" applyBorder="1" applyAlignment="1">
      <alignment horizontal="left"/>
    </xf>
    <xf numFmtId="0" fontId="9" fillId="0" borderId="0" xfId="14" applyFont="1" applyBorder="1" applyAlignment="1"/>
    <xf numFmtId="0" fontId="9" fillId="0" borderId="0" xfId="9" applyFont="1" applyFill="1" applyBorder="1" applyAlignment="1">
      <alignment horizontal="left"/>
    </xf>
    <xf numFmtId="0" fontId="9" fillId="0" borderId="0" xfId="9" applyFont="1" applyBorder="1" applyAlignment="1">
      <alignment horizontal="center"/>
    </xf>
    <xf numFmtId="0" fontId="9" fillId="0" borderId="0" xfId="14" applyFont="1" applyFill="1" applyBorder="1" applyAlignment="1">
      <alignment horizontal="center"/>
    </xf>
    <xf numFmtId="0" fontId="18" fillId="0" borderId="0" xfId="9" applyFont="1" applyFill="1" applyBorder="1" applyAlignment="1">
      <alignment horizontal="center"/>
    </xf>
    <xf numFmtId="0" fontId="18" fillId="0" borderId="0" xfId="9" applyFont="1" applyFill="1" applyBorder="1" applyAlignment="1">
      <alignment horizontal="right" vertical="center"/>
    </xf>
    <xf numFmtId="166" fontId="9" fillId="0" borderId="1" xfId="9" applyNumberFormat="1" applyFont="1" applyBorder="1" applyAlignment="1">
      <alignment horizontal="center"/>
    </xf>
    <xf numFmtId="166" fontId="9" fillId="0" borderId="49" xfId="9" applyNumberFormat="1" applyFont="1" applyBorder="1" applyAlignment="1">
      <alignment horizontal="center"/>
    </xf>
    <xf numFmtId="166" fontId="9" fillId="0" borderId="13" xfId="9" applyNumberFormat="1" applyFont="1" applyBorder="1" applyAlignment="1">
      <alignment horizontal="center"/>
    </xf>
    <xf numFmtId="0" fontId="0" fillId="0" borderId="0" xfId="14" applyFont="1" applyAlignment="1"/>
    <xf numFmtId="0" fontId="9" fillId="0" borderId="0" xfId="14" applyFont="1" applyAlignment="1">
      <alignment horizontal="right"/>
    </xf>
    <xf numFmtId="0" fontId="9" fillId="0" borderId="9" xfId="14" applyFont="1" applyBorder="1"/>
    <xf numFmtId="0" fontId="18" fillId="0" borderId="4" xfId="14" applyFont="1" applyBorder="1" applyAlignment="1"/>
    <xf numFmtId="0" fontId="9" fillId="0" borderId="4" xfId="14" applyFont="1" applyBorder="1"/>
    <xf numFmtId="0" fontId="9" fillId="0" borderId="50" xfId="9" applyFont="1" applyBorder="1" applyAlignment="1">
      <alignment horizontal="center"/>
    </xf>
    <xf numFmtId="0" fontId="9" fillId="0" borderId="51" xfId="9" applyFont="1" applyBorder="1" applyAlignment="1">
      <alignment horizontal="center"/>
    </xf>
    <xf numFmtId="0" fontId="9" fillId="0" borderId="43" xfId="9" applyFont="1" applyBorder="1" applyAlignment="1">
      <alignment horizontal="center"/>
    </xf>
    <xf numFmtId="0" fontId="9" fillId="0" borderId="49" xfId="9" applyFont="1" applyBorder="1" applyAlignment="1">
      <alignment horizontal="center"/>
    </xf>
    <xf numFmtId="0" fontId="9" fillId="0" borderId="52" xfId="9" applyFont="1" applyBorder="1" applyAlignment="1">
      <alignment horizontal="center"/>
    </xf>
    <xf numFmtId="0" fontId="9" fillId="9" borderId="49" xfId="14" applyFont="1" applyFill="1" applyBorder="1" applyAlignment="1">
      <alignment horizontal="center"/>
    </xf>
    <xf numFmtId="0" fontId="9" fillId="16" borderId="49" xfId="14" applyFont="1" applyFill="1" applyBorder="1" applyAlignment="1">
      <alignment horizontal="center"/>
    </xf>
    <xf numFmtId="0" fontId="9" fillId="20" borderId="49" xfId="14" applyFont="1" applyFill="1" applyBorder="1" applyAlignment="1">
      <alignment horizontal="center"/>
    </xf>
    <xf numFmtId="0" fontId="18" fillId="0" borderId="1" xfId="16" applyFont="1" applyFill="1" applyBorder="1" applyAlignment="1"/>
    <xf numFmtId="0" fontId="9" fillId="0" borderId="0" xfId="14" applyFont="1" applyFill="1" applyAlignment="1"/>
    <xf numFmtId="0" fontId="18" fillId="19" borderId="31" xfId="9" applyFont="1" applyFill="1" applyBorder="1" applyAlignment="1">
      <alignment horizontal="center"/>
    </xf>
    <xf numFmtId="0" fontId="9" fillId="19" borderId="18" xfId="9" applyFont="1" applyFill="1" applyBorder="1" applyAlignment="1"/>
    <xf numFmtId="0" fontId="0" fillId="22" borderId="0" xfId="14" applyFont="1" applyFill="1"/>
    <xf numFmtId="0" fontId="18" fillId="19" borderId="14" xfId="14" applyFont="1" applyFill="1" applyBorder="1" applyAlignment="1">
      <alignment horizontal="center"/>
    </xf>
    <xf numFmtId="0" fontId="0" fillId="22" borderId="47" xfId="14" applyFont="1" applyFill="1" applyBorder="1" applyAlignment="1">
      <alignment horizontal="left"/>
    </xf>
    <xf numFmtId="0" fontId="0" fillId="0" borderId="13" xfId="9" applyFont="1" applyFill="1" applyBorder="1" applyAlignment="1"/>
    <xf numFmtId="0" fontId="18" fillId="0" borderId="14" xfId="14" applyFont="1" applyFill="1" applyBorder="1" applyAlignment="1">
      <alignment horizontal="center"/>
    </xf>
    <xf numFmtId="0" fontId="0" fillId="22" borderId="47" xfId="14" applyFont="1" applyFill="1" applyBorder="1" applyAlignment="1"/>
    <xf numFmtId="0" fontId="18" fillId="22" borderId="14" xfId="14" applyFont="1" applyFill="1" applyBorder="1" applyAlignment="1">
      <alignment horizontal="center"/>
    </xf>
    <xf numFmtId="0" fontId="22" fillId="0" borderId="19" xfId="14" applyFont="1" applyFill="1" applyBorder="1" applyAlignment="1"/>
    <xf numFmtId="0" fontId="9" fillId="0" borderId="19" xfId="14" applyFont="1" applyFill="1" applyBorder="1" applyAlignment="1"/>
    <xf numFmtId="0" fontId="9" fillId="22" borderId="13" xfId="14" applyFont="1" applyFill="1" applyBorder="1" applyAlignment="1">
      <alignment horizontal="left"/>
    </xf>
    <xf numFmtId="0" fontId="0" fillId="22" borderId="13" xfId="14" applyFont="1" applyFill="1" applyBorder="1" applyAlignment="1">
      <alignment horizontal="center"/>
    </xf>
    <xf numFmtId="0" fontId="0" fillId="22" borderId="1" xfId="14" applyFont="1" applyFill="1" applyBorder="1" applyAlignment="1">
      <alignment horizontal="center"/>
    </xf>
    <xf numFmtId="0" fontId="0" fillId="22" borderId="9" xfId="14" applyFont="1" applyFill="1" applyBorder="1" applyAlignment="1">
      <alignment horizontal="center"/>
    </xf>
    <xf numFmtId="0" fontId="0" fillId="0" borderId="13" xfId="9" applyFont="1" applyFill="1" applyBorder="1" applyAlignment="1">
      <alignment horizontal="left"/>
    </xf>
    <xf numFmtId="0" fontId="0" fillId="22" borderId="13" xfId="14" applyFont="1" applyFill="1" applyBorder="1" applyAlignment="1">
      <alignment horizontal="left"/>
    </xf>
    <xf numFmtId="0" fontId="0" fillId="0" borderId="13" xfId="14" applyFont="1" applyFill="1" applyBorder="1" applyAlignment="1"/>
    <xf numFmtId="0" fontId="9" fillId="0" borderId="47" xfId="14" applyFont="1" applyBorder="1" applyAlignment="1">
      <alignment horizontal="left"/>
    </xf>
    <xf numFmtId="0" fontId="0" fillId="0" borderId="47" xfId="14" applyFont="1" applyBorder="1" applyAlignment="1"/>
    <xf numFmtId="0" fontId="9" fillId="22" borderId="17" xfId="9" applyFont="1" applyFill="1" applyBorder="1" applyAlignment="1"/>
    <xf numFmtId="0" fontId="0" fillId="22" borderId="17" xfId="14" applyFont="1" applyFill="1" applyBorder="1" applyAlignment="1"/>
    <xf numFmtId="0" fontId="9" fillId="22" borderId="15" xfId="14" applyFont="1" applyFill="1" applyBorder="1" applyAlignment="1">
      <alignment horizontal="center"/>
    </xf>
    <xf numFmtId="0" fontId="9" fillId="22" borderId="10" xfId="14" applyFont="1" applyFill="1" applyBorder="1" applyAlignment="1">
      <alignment horizontal="center"/>
    </xf>
    <xf numFmtId="0" fontId="9" fillId="22" borderId="16" xfId="14" applyFont="1" applyFill="1" applyBorder="1" applyAlignment="1">
      <alignment horizontal="center"/>
    </xf>
    <xf numFmtId="0" fontId="18" fillId="19" borderId="17" xfId="14" applyFont="1" applyFill="1" applyBorder="1" applyAlignment="1">
      <alignment horizontal="center"/>
    </xf>
    <xf numFmtId="0" fontId="9" fillId="22" borderId="17" xfId="14" applyFont="1" applyFill="1" applyBorder="1" applyAlignment="1">
      <alignment horizontal="center"/>
    </xf>
    <xf numFmtId="0" fontId="9" fillId="19" borderId="18" xfId="9" applyFont="1" applyFill="1" applyBorder="1" applyAlignment="1">
      <alignment horizontal="center"/>
    </xf>
    <xf numFmtId="0" fontId="0" fillId="22" borderId="19" xfId="14" applyFont="1" applyFill="1" applyBorder="1" applyAlignment="1"/>
    <xf numFmtId="0" fontId="9" fillId="0" borderId="14" xfId="14" applyFont="1" applyFill="1" applyBorder="1" applyAlignment="1"/>
    <xf numFmtId="0" fontId="9" fillId="0" borderId="13" xfId="14" applyFont="1" applyFill="1" applyBorder="1" applyAlignment="1">
      <alignment horizontal="left"/>
    </xf>
    <xf numFmtId="0" fontId="9" fillId="0" borderId="13" xfId="9" applyFont="1" applyFill="1" applyBorder="1" applyAlignment="1">
      <alignment horizontal="center"/>
    </xf>
    <xf numFmtId="0" fontId="9" fillId="0" borderId="1" xfId="9" applyFont="1" applyFill="1" applyBorder="1" applyAlignment="1">
      <alignment horizontal="center"/>
    </xf>
    <xf numFmtId="0" fontId="9" fillId="0" borderId="17" xfId="14" applyFont="1" applyFill="1" applyBorder="1" applyAlignment="1"/>
    <xf numFmtId="0" fontId="9" fillId="0" borderId="15" xfId="14" applyFont="1" applyFill="1" applyBorder="1" applyAlignment="1">
      <alignment horizontal="left"/>
    </xf>
    <xf numFmtId="0" fontId="9" fillId="0" borderId="15" xfId="9" applyFont="1" applyFill="1" applyBorder="1" applyAlignment="1">
      <alignment horizontal="center"/>
    </xf>
    <xf numFmtId="0" fontId="9" fillId="0" borderId="10" xfId="9" applyFont="1" applyFill="1" applyBorder="1" applyAlignment="1">
      <alignment horizontal="center"/>
    </xf>
    <xf numFmtId="0" fontId="9" fillId="0" borderId="16" xfId="9" applyFont="1" applyFill="1" applyBorder="1" applyAlignment="1">
      <alignment horizontal="center"/>
    </xf>
    <xf numFmtId="0" fontId="18" fillId="22" borderId="17" xfId="14" applyFont="1" applyFill="1" applyBorder="1" applyAlignment="1">
      <alignment horizontal="center"/>
    </xf>
    <xf numFmtId="0" fontId="9" fillId="19" borderId="18" xfId="14" applyFont="1" applyFill="1" applyBorder="1" applyAlignment="1">
      <alignment horizontal="center"/>
    </xf>
    <xf numFmtId="0" fontId="0" fillId="22" borderId="13" xfId="9" applyFont="1" applyFill="1" applyBorder="1" applyAlignment="1">
      <alignment horizontal="left"/>
    </xf>
    <xf numFmtId="0" fontId="9" fillId="0" borderId="3" xfId="14" applyFont="1" applyBorder="1"/>
    <xf numFmtId="0" fontId="0" fillId="0" borderId="0" xfId="0"/>
    <xf numFmtId="0" fontId="18" fillId="0" borderId="1" xfId="16" applyFont="1" applyFill="1" applyBorder="1" applyAlignment="1">
      <alignment horizontal="center"/>
    </xf>
    <xf numFmtId="0" fontId="0" fillId="0" borderId="38" xfId="16" applyFont="1" applyBorder="1"/>
    <xf numFmtId="0" fontId="0" fillId="0" borderId="0" xfId="16" applyFont="1" applyBorder="1"/>
    <xf numFmtId="0" fontId="0" fillId="0" borderId="0" xfId="16" applyFont="1" applyAlignment="1">
      <alignment horizontal="left"/>
    </xf>
    <xf numFmtId="0" fontId="9" fillId="0" borderId="44" xfId="16" applyFont="1" applyBorder="1" applyAlignment="1">
      <alignment horizontal="left"/>
    </xf>
    <xf numFmtId="0" fontId="50" fillId="7" borderId="7" xfId="13" applyFont="1" applyFill="1" applyBorder="1" applyAlignment="1">
      <alignment horizontal="center"/>
    </xf>
    <xf numFmtId="0" fontId="47" fillId="7" borderId="1" xfId="13" applyFont="1" applyFill="1" applyBorder="1" applyAlignment="1"/>
    <xf numFmtId="0" fontId="34" fillId="7" borderId="1" xfId="13" applyFont="1" applyFill="1" applyBorder="1" applyAlignment="1"/>
    <xf numFmtId="0" fontId="50" fillId="7" borderId="1" xfId="13" applyFont="1" applyFill="1" applyBorder="1" applyAlignment="1">
      <alignment horizontal="center"/>
    </xf>
    <xf numFmtId="0" fontId="0" fillId="0" borderId="42" xfId="16" applyFont="1" applyBorder="1"/>
    <xf numFmtId="0" fontId="0" fillId="22" borderId="14" xfId="14" applyFont="1" applyFill="1" applyBorder="1" applyAlignment="1">
      <alignment horizontal="center"/>
    </xf>
    <xf numFmtId="0" fontId="0" fillId="22" borderId="14" xfId="14" applyFont="1" applyFill="1" applyBorder="1"/>
    <xf numFmtId="0" fontId="0" fillId="0" borderId="14" xfId="14" applyFont="1" applyFill="1" applyBorder="1" applyAlignment="1">
      <alignment horizontal="center"/>
    </xf>
    <xf numFmtId="0" fontId="0" fillId="0" borderId="19" xfId="14" applyFont="1" applyFill="1" applyBorder="1" applyAlignment="1"/>
    <xf numFmtId="0" fontId="9" fillId="22" borderId="47" xfId="14" applyFont="1" applyFill="1" applyBorder="1" applyAlignment="1"/>
    <xf numFmtId="0" fontId="0" fillId="0" borderId="9" xfId="14" applyFont="1" applyBorder="1" applyAlignment="1"/>
    <xf numFmtId="0" fontId="18" fillId="0" borderId="9" xfId="14" quotePrefix="1" applyFont="1" applyBorder="1"/>
    <xf numFmtId="0" fontId="18" fillId="0" borderId="4" xfId="14" applyFont="1" applyBorder="1" applyAlignment="1">
      <alignment horizontal="right"/>
    </xf>
    <xf numFmtId="0" fontId="9" fillId="0" borderId="54" xfId="14" applyFont="1" applyBorder="1"/>
    <xf numFmtId="0" fontId="9" fillId="0" borderId="53" xfId="14" applyFont="1" applyBorder="1"/>
    <xf numFmtId="0" fontId="9" fillId="9" borderId="55" xfId="14" applyFont="1" applyFill="1" applyBorder="1" applyAlignment="1">
      <alignment horizontal="center"/>
    </xf>
    <xf numFmtId="0" fontId="9" fillId="16" borderId="55" xfId="14" applyFont="1" applyFill="1" applyBorder="1" applyAlignment="1">
      <alignment horizontal="center"/>
    </xf>
    <xf numFmtId="0" fontId="9" fillId="20" borderId="55" xfId="14" applyFont="1" applyFill="1" applyBorder="1" applyAlignment="1">
      <alignment horizontal="center"/>
    </xf>
    <xf numFmtId="0" fontId="9" fillId="9" borderId="55" xfId="9" applyFont="1" applyFill="1" applyBorder="1" applyAlignment="1">
      <alignment horizontal="center"/>
    </xf>
    <xf numFmtId="0" fontId="20" fillId="9" borderId="1" xfId="13" applyFont="1" applyFill="1" applyBorder="1" applyAlignment="1">
      <alignment horizontal="center"/>
    </xf>
    <xf numFmtId="0" fontId="18" fillId="5" borderId="56" xfId="13" applyFont="1" applyFill="1" applyBorder="1" applyAlignment="1">
      <alignment horizontal="right"/>
    </xf>
    <xf numFmtId="0" fontId="46" fillId="2" borderId="1" xfId="1" applyFont="1" applyFill="1" applyBorder="1" applyAlignment="1"/>
    <xf numFmtId="0" fontId="9" fillId="13" borderId="1" xfId="6" applyNumberFormat="1" applyFont="1" applyFill="1" applyBorder="1" applyAlignment="1"/>
    <xf numFmtId="165" fontId="9" fillId="13" borderId="1" xfId="6" applyNumberFormat="1" applyFont="1" applyFill="1" applyBorder="1" applyAlignment="1">
      <alignment horizontal="center"/>
    </xf>
    <xf numFmtId="164" fontId="9" fillId="13" borderId="1" xfId="6" applyNumberFormat="1" applyFont="1" applyFill="1" applyBorder="1" applyAlignment="1">
      <alignment horizontal="center"/>
    </xf>
    <xf numFmtId="0" fontId="18" fillId="0" borderId="0" xfId="0" applyFont="1" applyFill="1" applyAlignment="1">
      <alignment horizontal="right"/>
    </xf>
    <xf numFmtId="0" fontId="0" fillId="0" borderId="1" xfId="19" applyFont="1" applyFill="1" applyBorder="1" applyAlignment="1"/>
    <xf numFmtId="0" fontId="9" fillId="0" borderId="60" xfId="19" applyFont="1" applyFill="1" applyBorder="1" applyAlignment="1">
      <alignment horizontal="center"/>
    </xf>
    <xf numFmtId="49" fontId="9" fillId="0" borderId="61" xfId="19" applyNumberFormat="1" applyFont="1" applyFill="1" applyBorder="1" applyAlignment="1">
      <alignment horizontal="center"/>
    </xf>
    <xf numFmtId="0" fontId="0" fillId="0" borderId="59" xfId="19" applyNumberFormat="1" applyFont="1" applyFill="1" applyBorder="1" applyAlignment="1">
      <alignment horizontal="center"/>
    </xf>
    <xf numFmtId="0" fontId="18" fillId="5" borderId="1" xfId="19" applyFont="1" applyFill="1" applyBorder="1" applyAlignment="1">
      <alignment horizontal="center"/>
    </xf>
    <xf numFmtId="0" fontId="18" fillId="5" borderId="60" xfId="19" applyFont="1" applyFill="1" applyBorder="1" applyAlignment="1"/>
    <xf numFmtId="0" fontId="18" fillId="5" borderId="59" xfId="19" applyFont="1" applyFill="1" applyBorder="1" applyAlignment="1">
      <alignment horizontal="center"/>
    </xf>
    <xf numFmtId="16" fontId="18" fillId="5" borderId="1" xfId="19" quotePrefix="1" applyNumberFormat="1" applyFont="1" applyFill="1" applyBorder="1" applyAlignment="1">
      <alignment horizontal="center"/>
    </xf>
    <xf numFmtId="0" fontId="18" fillId="5" borderId="1" xfId="0" quotePrefix="1" applyNumberFormat="1" applyFont="1" applyFill="1" applyBorder="1" applyAlignment="1">
      <alignment horizontal="left"/>
    </xf>
    <xf numFmtId="0" fontId="18" fillId="0" borderId="60" xfId="19" applyFont="1" applyFill="1" applyBorder="1" applyAlignment="1">
      <alignment horizontal="center"/>
    </xf>
    <xf numFmtId="0" fontId="18" fillId="0" borderId="59" xfId="19" applyNumberFormat="1" applyFont="1" applyFill="1" applyBorder="1" applyAlignment="1">
      <alignment horizontal="center"/>
    </xf>
    <xf numFmtId="0" fontId="42" fillId="0" borderId="1" xfId="1" applyFont="1" applyFill="1" applyBorder="1" applyAlignment="1"/>
    <xf numFmtId="0" fontId="9" fillId="5" borderId="1" xfId="19" applyFont="1" applyFill="1" applyBorder="1" applyAlignment="1">
      <alignment horizontal="center"/>
    </xf>
    <xf numFmtId="0" fontId="9" fillId="5" borderId="1" xfId="19" applyNumberFormat="1" applyFont="1" applyFill="1" applyBorder="1" applyAlignment="1">
      <alignment horizontal="center"/>
    </xf>
    <xf numFmtId="0" fontId="40" fillId="0" borderId="31" xfId="0" applyFont="1" applyFill="1" applyBorder="1" applyAlignment="1">
      <alignment horizontal="right"/>
    </xf>
    <xf numFmtId="0" fontId="23" fillId="5" borderId="1" xfId="19" applyNumberFormat="1" applyFont="1" applyFill="1" applyBorder="1" applyAlignment="1">
      <alignment horizontal="center"/>
    </xf>
    <xf numFmtId="0" fontId="23" fillId="0" borderId="62" xfId="19" applyNumberFormat="1" applyFont="1" applyFill="1" applyBorder="1" applyAlignment="1">
      <alignment horizontal="center"/>
    </xf>
    <xf numFmtId="49" fontId="23" fillId="0" borderId="64" xfId="19" applyNumberFormat="1" applyFont="1" applyFill="1" applyBorder="1" applyAlignment="1">
      <alignment horizontal="center"/>
    </xf>
    <xf numFmtId="0" fontId="23" fillId="0" borderId="63" xfId="19" applyNumberFormat="1" applyFont="1" applyFill="1" applyBorder="1" applyAlignment="1">
      <alignment horizontal="center"/>
    </xf>
    <xf numFmtId="0" fontId="40" fillId="5" borderId="1" xfId="0" applyFont="1" applyFill="1" applyBorder="1" applyAlignment="1">
      <alignment horizontal="center"/>
    </xf>
    <xf numFmtId="0" fontId="40" fillId="0" borderId="62" xfId="0" applyFont="1" applyBorder="1" applyAlignment="1">
      <alignment horizontal="center"/>
    </xf>
    <xf numFmtId="0" fontId="40" fillId="0" borderId="64" xfId="0" applyFont="1" applyBorder="1" applyAlignment="1">
      <alignment horizontal="center"/>
    </xf>
    <xf numFmtId="0" fontId="40" fillId="0" borderId="63" xfId="0" applyFont="1" applyBorder="1" applyAlignment="1">
      <alignment horizontal="center"/>
    </xf>
    <xf numFmtId="0" fontId="23" fillId="5" borderId="65" xfId="19" applyNumberFormat="1" applyFont="1" applyFill="1" applyBorder="1" applyAlignment="1">
      <alignment horizontal="center"/>
    </xf>
    <xf numFmtId="0" fontId="23" fillId="0" borderId="66" xfId="19" applyNumberFormat="1" applyFont="1" applyFill="1" applyBorder="1" applyAlignment="1">
      <alignment horizontal="center"/>
    </xf>
    <xf numFmtId="49" fontId="23" fillId="0" borderId="67" xfId="19" applyNumberFormat="1" applyFont="1" applyFill="1" applyBorder="1" applyAlignment="1">
      <alignment horizontal="center"/>
    </xf>
    <xf numFmtId="0" fontId="23" fillId="0" borderId="68" xfId="19" applyNumberFormat="1" applyFont="1" applyFill="1" applyBorder="1" applyAlignment="1">
      <alignment horizontal="center"/>
    </xf>
    <xf numFmtId="0" fontId="40" fillId="0" borderId="30" xfId="0" applyFont="1" applyBorder="1" applyAlignment="1">
      <alignment horizontal="center"/>
    </xf>
    <xf numFmtId="0" fontId="40" fillId="0" borderId="69" xfId="0" applyFont="1" applyBorder="1" applyAlignment="1">
      <alignment horizontal="center"/>
    </xf>
    <xf numFmtId="0" fontId="52" fillId="0" borderId="35" xfId="0" applyFont="1" applyBorder="1" applyAlignment="1">
      <alignment horizontal="center"/>
    </xf>
    <xf numFmtId="0" fontId="40" fillId="9" borderId="34" xfId="0" applyFont="1" applyFill="1" applyBorder="1" applyAlignment="1">
      <alignment horizontal="center"/>
    </xf>
    <xf numFmtId="0" fontId="40" fillId="9" borderId="70" xfId="0" applyFont="1" applyFill="1" applyBorder="1" applyAlignment="1">
      <alignment horizontal="center"/>
    </xf>
    <xf numFmtId="165" fontId="9" fillId="6" borderId="1" xfId="6" applyNumberFormat="1" applyFont="1" applyFill="1" applyBorder="1" applyAlignment="1">
      <alignment horizontal="center"/>
    </xf>
    <xf numFmtId="164" fontId="9" fillId="6" borderId="1" xfId="6" applyNumberFormat="1" applyFont="1" applyFill="1" applyBorder="1" applyAlignment="1">
      <alignment horizont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2" fillId="0" borderId="0" xfId="14"/>
    <xf numFmtId="49" fontId="2" fillId="0" borderId="0" xfId="14" applyNumberFormat="1" applyFont="1" applyAlignment="1">
      <alignment horizontal="center"/>
    </xf>
    <xf numFmtId="0" fontId="18" fillId="0" borderId="40" xfId="0" applyFont="1" applyBorder="1" applyAlignment="1">
      <alignment horizontal="center"/>
    </xf>
    <xf numFmtId="0" fontId="0" fillId="0" borderId="40"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9" borderId="0" xfId="0" applyFont="1" applyFill="1" applyBorder="1" applyAlignment="1">
      <alignment horizontal="center" vertical="center"/>
    </xf>
    <xf numFmtId="0" fontId="0" fillId="0" borderId="1" xfId="0" applyFont="1" applyBorder="1" applyAlignment="1">
      <alignment vertical="top" wrapText="1"/>
    </xf>
    <xf numFmtId="49" fontId="0" fillId="0" borderId="0" xfId="0" quotePrefix="1" applyNumberFormat="1" applyFont="1" applyAlignment="1">
      <alignment horizontal="center" vertical="center"/>
    </xf>
    <xf numFmtId="0" fontId="0" fillId="0" borderId="0" xfId="0" applyFont="1" applyAlignment="1">
      <alignment vertical="center"/>
    </xf>
    <xf numFmtId="49" fontId="18" fillId="0" borderId="0" xfId="0" quotePrefix="1" applyNumberFormat="1" applyFont="1" applyAlignment="1">
      <alignment horizontal="center" vertical="center"/>
    </xf>
    <xf numFmtId="49" fontId="18" fillId="9" borderId="0" xfId="0" applyNumberFormat="1" applyFont="1" applyFill="1" applyBorder="1" applyAlignment="1">
      <alignment horizontal="center" vertical="center"/>
    </xf>
    <xf numFmtId="49" fontId="18" fillId="23" borderId="0" xfId="0" quotePrefix="1" applyNumberFormat="1" applyFont="1" applyFill="1" applyAlignment="1">
      <alignment horizontal="center" vertical="center"/>
    </xf>
    <xf numFmtId="49" fontId="18" fillId="0" borderId="0" xfId="0" quotePrefix="1" applyNumberFormat="1" applyFont="1" applyFill="1" applyAlignment="1">
      <alignment horizontal="center" vertical="center"/>
    </xf>
    <xf numFmtId="16" fontId="0" fillId="0" borderId="0" xfId="0" quotePrefix="1" applyNumberFormat="1" applyFont="1" applyAlignment="1">
      <alignment horizontal="center" vertical="center"/>
    </xf>
    <xf numFmtId="0" fontId="26" fillId="0" borderId="0" xfId="0" applyFont="1" applyAlignment="1">
      <alignment horizontal="right"/>
    </xf>
    <xf numFmtId="0" fontId="0" fillId="23" borderId="1" xfId="0" applyFont="1" applyFill="1" applyBorder="1" applyAlignment="1">
      <alignment horizontal="center" vertical="center"/>
    </xf>
    <xf numFmtId="0" fontId="18" fillId="0" borderId="1" xfId="6" applyNumberFormat="1" applyFont="1" applyFill="1" applyBorder="1" applyAlignment="1"/>
    <xf numFmtId="0" fontId="18" fillId="0" borderId="1" xfId="0" applyNumberFormat="1" applyFont="1" applyFill="1" applyBorder="1" applyAlignment="1"/>
    <xf numFmtId="0" fontId="54" fillId="0" borderId="9" xfId="1" applyFont="1" applyFill="1" applyBorder="1" applyAlignment="1"/>
    <xf numFmtId="0" fontId="54" fillId="0" borderId="3" xfId="1" applyFont="1" applyFill="1" applyBorder="1" applyAlignment="1"/>
    <xf numFmtId="0" fontId="54" fillId="0" borderId="4" xfId="1" applyFont="1" applyFill="1" applyBorder="1" applyAlignment="1"/>
    <xf numFmtId="165" fontId="18" fillId="0" borderId="1" xfId="6" applyNumberFormat="1" applyFont="1" applyFill="1" applyBorder="1" applyAlignment="1">
      <alignment horizontal="center"/>
    </xf>
    <xf numFmtId="164" fontId="18" fillId="0" borderId="1" xfId="6" applyNumberFormat="1" applyFont="1" applyFill="1" applyBorder="1" applyAlignment="1">
      <alignment horizontal="center"/>
    </xf>
    <xf numFmtId="0" fontId="18" fillId="5" borderId="0" xfId="6" applyNumberFormat="1" applyFont="1" applyFill="1" applyAlignment="1"/>
    <xf numFmtId="0" fontId="55" fillId="0" borderId="0" xfId="6" applyNumberFormat="1" applyFont="1" applyBorder="1" applyAlignment="1"/>
    <xf numFmtId="0" fontId="18" fillId="0" borderId="0" xfId="6" applyNumberFormat="1" applyFont="1" applyAlignment="1">
      <alignment horizontal="center"/>
    </xf>
    <xf numFmtId="164" fontId="18" fillId="0" borderId="0" xfId="6" applyNumberFormat="1" applyFont="1" applyAlignment="1">
      <alignment horizontal="center"/>
    </xf>
    <xf numFmtId="0" fontId="18" fillId="4" borderId="1" xfId="6" applyNumberFormat="1" applyFont="1" applyFill="1" applyBorder="1" applyAlignment="1"/>
    <xf numFmtId="0" fontId="54" fillId="4" borderId="9" xfId="1" applyFont="1" applyFill="1" applyBorder="1" applyAlignment="1"/>
    <xf numFmtId="0" fontId="54" fillId="4" borderId="3" xfId="1" applyFont="1" applyFill="1" applyBorder="1" applyAlignment="1"/>
    <xf numFmtId="0" fontId="54" fillId="4" borderId="4" xfId="1" applyFont="1" applyFill="1" applyBorder="1" applyAlignment="1"/>
    <xf numFmtId="0" fontId="29" fillId="4" borderId="1" xfId="1" applyFont="1" applyFill="1" applyBorder="1" applyAlignment="1"/>
    <xf numFmtId="0" fontId="18" fillId="4" borderId="1" xfId="0" applyNumberFormat="1" applyFont="1" applyFill="1" applyBorder="1" applyAlignment="1"/>
    <xf numFmtId="165" fontId="18" fillId="4" borderId="1" xfId="6" applyNumberFormat="1" applyFont="1" applyFill="1" applyBorder="1" applyAlignment="1">
      <alignment horizontal="center"/>
    </xf>
    <xf numFmtId="164" fontId="18" fillId="4" borderId="1" xfId="6" applyNumberFormat="1" applyFont="1" applyFill="1" applyBorder="1" applyAlignment="1">
      <alignment horizontal="center"/>
    </xf>
    <xf numFmtId="0" fontId="54" fillId="0" borderId="9" xfId="1" applyNumberFormat="1" applyFont="1" applyFill="1" applyBorder="1" applyAlignment="1"/>
    <xf numFmtId="0" fontId="54" fillId="0" borderId="3" xfId="1" applyNumberFormat="1" applyFont="1" applyFill="1" applyBorder="1" applyAlignment="1"/>
    <xf numFmtId="0" fontId="54" fillId="0" borderId="4" xfId="1" applyNumberFormat="1" applyFont="1" applyFill="1" applyBorder="1" applyAlignment="1"/>
    <xf numFmtId="0" fontId="29" fillId="0" borderId="1" xfId="1" applyFont="1" applyFill="1" applyBorder="1" applyAlignment="1"/>
    <xf numFmtId="0" fontId="56" fillId="4" borderId="9" xfId="1" applyFont="1" applyFill="1" applyBorder="1" applyAlignment="1"/>
    <xf numFmtId="0" fontId="56" fillId="4" borderId="3" xfId="1" applyFont="1" applyFill="1" applyBorder="1" applyAlignment="1"/>
    <xf numFmtId="0" fontId="56" fillId="4" borderId="4" xfId="1" applyFont="1" applyFill="1" applyBorder="1" applyAlignment="1"/>
    <xf numFmtId="0" fontId="29" fillId="4" borderId="1" xfId="1" applyFont="1" applyFill="1" applyBorder="1"/>
    <xf numFmtId="0" fontId="56" fillId="4" borderId="9" xfId="1" applyNumberFormat="1" applyFont="1" applyFill="1" applyBorder="1" applyAlignment="1"/>
    <xf numFmtId="0" fontId="56" fillId="4" borderId="3" xfId="1" applyNumberFormat="1" applyFont="1" applyFill="1" applyBorder="1" applyAlignment="1"/>
    <xf numFmtId="0" fontId="18" fillId="0" borderId="0" xfId="0" applyFont="1" applyAlignment="1">
      <alignment vertical="center"/>
    </xf>
    <xf numFmtId="0" fontId="24" fillId="0" borderId="0" xfId="0" applyFont="1" applyAlignment="1">
      <alignment vertical="center"/>
    </xf>
    <xf numFmtId="0" fontId="40" fillId="0" borderId="40" xfId="0" applyNumberFormat="1" applyFont="1" applyFill="1" applyBorder="1" applyAlignment="1">
      <alignment horizontal="center" vertical="center"/>
    </xf>
    <xf numFmtId="0" fontId="18" fillId="0" borderId="0" xfId="0" applyFont="1" applyAlignment="1">
      <alignment horizontal="center" vertical="center"/>
    </xf>
    <xf numFmtId="0" fontId="18" fillId="5" borderId="61" xfId="0" applyFont="1" applyFill="1" applyBorder="1" applyAlignment="1">
      <alignment horizontal="center"/>
    </xf>
    <xf numFmtId="0" fontId="44" fillId="0" borderId="0" xfId="0" applyFont="1"/>
    <xf numFmtId="0" fontId="0" fillId="23" borderId="1" xfId="0" applyFont="1" applyFill="1" applyBorder="1" applyAlignment="1">
      <alignment vertical="top" wrapText="1"/>
    </xf>
    <xf numFmtId="0" fontId="0" fillId="23" borderId="1" xfId="0" applyFont="1" applyFill="1" applyBorder="1" applyAlignment="1">
      <alignment wrapText="1"/>
    </xf>
    <xf numFmtId="0" fontId="18" fillId="4" borderId="1" xfId="1" applyFont="1" applyFill="1" applyBorder="1" applyAlignment="1"/>
    <xf numFmtId="0" fontId="18" fillId="0" borderId="1" xfId="1" applyFont="1" applyBorder="1" applyAlignment="1"/>
    <xf numFmtId="0" fontId="56" fillId="0" borderId="9" xfId="1" applyFont="1" applyFill="1" applyBorder="1" applyAlignment="1"/>
    <xf numFmtId="0" fontId="56" fillId="0" borderId="9" xfId="1" applyNumberFormat="1" applyFont="1" applyFill="1" applyBorder="1" applyAlignment="1"/>
    <xf numFmtId="0" fontId="9" fillId="6" borderId="1" xfId="6" applyNumberFormat="1" applyFont="1" applyFill="1" applyBorder="1" applyAlignment="1"/>
    <xf numFmtId="0" fontId="25" fillId="6" borderId="1" xfId="2" applyFont="1" applyFill="1" applyBorder="1" applyAlignment="1"/>
    <xf numFmtId="0" fontId="10" fillId="0" borderId="1" xfId="1" applyFill="1" applyBorder="1" applyAlignment="1"/>
    <xf numFmtId="0" fontId="25" fillId="13" borderId="1" xfId="2" applyFont="1" applyFill="1" applyBorder="1" applyAlignment="1"/>
    <xf numFmtId="0" fontId="45" fillId="7" borderId="10" xfId="1" applyFont="1" applyFill="1" applyBorder="1" applyAlignment="1"/>
    <xf numFmtId="0" fontId="46" fillId="7" borderId="7" xfId="1" applyFont="1" applyFill="1" applyBorder="1" applyAlignment="1"/>
    <xf numFmtId="0" fontId="46" fillId="0" borderId="7" xfId="1" applyFont="1" applyFill="1" applyBorder="1" applyAlignment="1"/>
    <xf numFmtId="0" fontId="45" fillId="7" borderId="1" xfId="1" applyFont="1" applyFill="1" applyBorder="1" applyAlignment="1"/>
    <xf numFmtId="0" fontId="46" fillId="7" borderId="37" xfId="1" applyFont="1" applyFill="1" applyBorder="1" applyAlignment="1"/>
    <xf numFmtId="0" fontId="46" fillId="7" borderId="38" xfId="1" applyFont="1" applyFill="1" applyBorder="1" applyAlignment="1"/>
    <xf numFmtId="0" fontId="45" fillId="7" borderId="38" xfId="1" applyFont="1" applyFill="1" applyBorder="1" applyAlignment="1"/>
    <xf numFmtId="0" fontId="45" fillId="7" borderId="39" xfId="1" applyFont="1" applyFill="1" applyBorder="1" applyAlignment="1"/>
    <xf numFmtId="0" fontId="45" fillId="7" borderId="16" xfId="1" applyFont="1" applyFill="1" applyBorder="1" applyAlignment="1"/>
    <xf numFmtId="0" fontId="45" fillId="7" borderId="72" xfId="1" applyFont="1" applyFill="1" applyBorder="1" applyAlignment="1"/>
    <xf numFmtId="0" fontId="46" fillId="7" borderId="57" xfId="1" applyFont="1" applyFill="1" applyBorder="1" applyAlignment="1"/>
    <xf numFmtId="0" fontId="57" fillId="0" borderId="71" xfId="13" applyFont="1" applyBorder="1" applyAlignment="1"/>
    <xf numFmtId="0" fontId="46" fillId="7" borderId="62" xfId="1" applyFont="1" applyFill="1" applyBorder="1"/>
    <xf numFmtId="0" fontId="46" fillId="7" borderId="64" xfId="1" applyFont="1" applyFill="1" applyBorder="1"/>
    <xf numFmtId="0" fontId="51" fillId="8" borderId="64" xfId="1" applyFont="1" applyFill="1" applyBorder="1" applyAlignment="1"/>
    <xf numFmtId="0" fontId="51" fillId="8" borderId="63" xfId="1" applyFont="1" applyFill="1" applyBorder="1" applyAlignment="1"/>
    <xf numFmtId="0" fontId="45" fillId="7" borderId="63" xfId="13" applyFont="1" applyFill="1" applyBorder="1" applyAlignment="1"/>
    <xf numFmtId="0" fontId="45" fillId="7" borderId="62" xfId="1" applyFont="1" applyFill="1" applyBorder="1" applyAlignment="1"/>
    <xf numFmtId="0" fontId="45" fillId="7" borderId="64" xfId="1" applyFont="1" applyFill="1" applyBorder="1" applyAlignment="1"/>
    <xf numFmtId="0" fontId="45" fillId="8" borderId="1" xfId="1" applyFont="1" applyFill="1" applyBorder="1" applyAlignment="1"/>
    <xf numFmtId="0" fontId="46" fillId="7" borderId="72" xfId="1" applyFont="1" applyFill="1" applyBorder="1" applyAlignment="1"/>
    <xf numFmtId="0" fontId="46" fillId="8" borderId="64" xfId="1" applyFont="1" applyFill="1" applyBorder="1" applyAlignment="1"/>
    <xf numFmtId="0" fontId="46" fillId="8" borderId="63" xfId="1" applyFont="1" applyFill="1" applyBorder="1" applyAlignment="1"/>
    <xf numFmtId="0" fontId="1" fillId="0" borderId="62" xfId="13" applyFont="1" applyBorder="1" applyAlignment="1"/>
    <xf numFmtId="0" fontId="1" fillId="0" borderId="64" xfId="13" applyFont="1" applyBorder="1" applyAlignment="1"/>
    <xf numFmtId="0" fontId="2" fillId="0" borderId="64" xfId="13" applyFont="1" applyBorder="1" applyAlignment="1">
      <alignment horizontal="center"/>
    </xf>
    <xf numFmtId="0" fontId="2" fillId="0" borderId="64" xfId="13" applyFont="1" applyBorder="1" applyAlignment="1"/>
    <xf numFmtId="0" fontId="2" fillId="9" borderId="64" xfId="13" applyFont="1" applyFill="1" applyBorder="1" applyAlignment="1"/>
    <xf numFmtId="0" fontId="2" fillId="9" borderId="63" xfId="13" applyFont="1" applyFill="1" applyBorder="1" applyAlignment="1">
      <alignment horizontal="right"/>
    </xf>
    <xf numFmtId="0" fontId="2" fillId="0" borderId="62" xfId="13" applyFont="1" applyFill="1" applyBorder="1" applyAlignment="1"/>
    <xf numFmtId="0" fontId="2" fillId="0" borderId="64" xfId="13" applyFont="1" applyFill="1" applyBorder="1" applyAlignment="1"/>
    <xf numFmtId="0" fontId="2" fillId="0" borderId="63" xfId="13" applyFont="1" applyFill="1" applyBorder="1" applyAlignment="1"/>
    <xf numFmtId="164" fontId="2" fillId="0" borderId="74" xfId="7" applyNumberFormat="1" applyFont="1" applyFill="1" applyBorder="1" applyAlignment="1">
      <alignment horizontal="center"/>
    </xf>
    <xf numFmtId="164" fontId="2" fillId="0" borderId="75" xfId="7" applyNumberFormat="1" applyFont="1" applyFill="1" applyBorder="1" applyAlignment="1">
      <alignment horizontal="center"/>
    </xf>
    <xf numFmtId="164" fontId="2" fillId="0" borderId="76" xfId="7" applyNumberFormat="1" applyFont="1" applyFill="1" applyBorder="1" applyAlignment="1">
      <alignment horizontal="center"/>
    </xf>
    <xf numFmtId="0" fontId="57" fillId="7" borderId="71" xfId="13" applyFont="1" applyFill="1" applyBorder="1" applyAlignment="1"/>
    <xf numFmtId="0" fontId="57" fillId="7" borderId="64" xfId="13" applyFont="1" applyFill="1" applyBorder="1" applyAlignment="1"/>
    <xf numFmtId="0" fontId="2" fillId="0" borderId="62" xfId="13" applyFont="1" applyFill="1" applyBorder="1" applyAlignment="1">
      <alignment horizontal="center"/>
    </xf>
    <xf numFmtId="0" fontId="2" fillId="5" borderId="71" xfId="13" applyFont="1" applyFill="1" applyBorder="1" applyAlignment="1"/>
    <xf numFmtId="0" fontId="9" fillId="9" borderId="1" xfId="13" applyNumberFormat="1" applyFont="1" applyFill="1" applyBorder="1" applyAlignment="1">
      <alignment horizontal="center"/>
    </xf>
    <xf numFmtId="0" fontId="18" fillId="14" borderId="1" xfId="13" applyNumberFormat="1" applyFont="1" applyFill="1" applyBorder="1" applyAlignment="1">
      <alignment horizontal="center"/>
    </xf>
    <xf numFmtId="0" fontId="9" fillId="17" borderId="1" xfId="13" applyNumberFormat="1" applyFont="1" applyFill="1" applyBorder="1" applyAlignment="1">
      <alignment horizontal="center"/>
    </xf>
    <xf numFmtId="0" fontId="0" fillId="17" borderId="1" xfId="13" applyNumberFormat="1" applyFont="1" applyFill="1" applyBorder="1" applyAlignment="1">
      <alignment horizontal="center"/>
    </xf>
    <xf numFmtId="0" fontId="0" fillId="9" borderId="1" xfId="13" applyNumberFormat="1" applyFont="1" applyFill="1" applyBorder="1" applyAlignment="1">
      <alignment horizontal="center"/>
    </xf>
    <xf numFmtId="0" fontId="9" fillId="9" borderId="1" xfId="13" applyFont="1" applyFill="1" applyBorder="1" applyAlignment="1">
      <alignment horizontal="center"/>
    </xf>
    <xf numFmtId="0" fontId="18" fillId="14" borderId="1" xfId="13" applyFont="1" applyFill="1" applyBorder="1" applyAlignment="1">
      <alignment horizontal="center"/>
    </xf>
    <xf numFmtId="0" fontId="0" fillId="17" borderId="1" xfId="13" applyFont="1" applyFill="1" applyBorder="1" applyAlignment="1">
      <alignment horizontal="center"/>
    </xf>
    <xf numFmtId="0" fontId="59" fillId="15" borderId="1" xfId="13" applyFont="1" applyFill="1" applyBorder="1" applyAlignment="1"/>
    <xf numFmtId="0" fontId="1" fillId="5" borderId="0" xfId="13" applyFont="1" applyFill="1" applyBorder="1" applyAlignment="1"/>
    <xf numFmtId="164" fontId="2" fillId="0" borderId="73" xfId="7" applyNumberFormat="1" applyFont="1" applyFill="1" applyBorder="1" applyAlignment="1">
      <alignment horizontal="center"/>
    </xf>
    <xf numFmtId="0" fontId="60" fillId="8" borderId="1" xfId="13" applyFont="1" applyFill="1" applyBorder="1" applyAlignment="1">
      <alignment horizontal="center"/>
    </xf>
    <xf numFmtId="0" fontId="60" fillId="7" borderId="1" xfId="13" applyFont="1" applyFill="1" applyBorder="1" applyAlignment="1">
      <alignment horizontal="center"/>
    </xf>
    <xf numFmtId="0" fontId="22" fillId="7" borderId="5" xfId="13" applyFont="1" applyFill="1" applyBorder="1" applyAlignment="1"/>
    <xf numFmtId="0" fontId="22" fillId="7" borderId="6" xfId="13" applyFont="1" applyFill="1" applyBorder="1" applyAlignment="1"/>
    <xf numFmtId="0" fontId="22" fillId="7" borderId="7" xfId="13" applyFont="1" applyFill="1" applyBorder="1" applyAlignment="1"/>
    <xf numFmtId="0" fontId="33" fillId="6" borderId="1" xfId="1" applyNumberFormat="1" applyFont="1" applyFill="1" applyBorder="1" applyAlignment="1"/>
    <xf numFmtId="0" fontId="10" fillId="13" borderId="1" xfId="1" applyFill="1" applyBorder="1" applyAlignment="1"/>
    <xf numFmtId="0" fontId="46" fillId="7" borderId="71" xfId="1" applyFont="1" applyFill="1" applyBorder="1" applyAlignment="1"/>
    <xf numFmtId="0" fontId="46" fillId="0" borderId="1" xfId="1" applyFont="1" applyBorder="1" applyAlignment="1"/>
    <xf numFmtId="0" fontId="18" fillId="0" borderId="0" xfId="6" applyFont="1"/>
    <xf numFmtId="0" fontId="9" fillId="0" borderId="0" xfId="6" applyFont="1" applyFill="1"/>
    <xf numFmtId="0" fontId="10" fillId="0" borderId="0" xfId="1" applyFill="1" applyAlignment="1"/>
    <xf numFmtId="0" fontId="10" fillId="0" borderId="0" xfId="1" applyFill="1" applyAlignment="1">
      <alignment horizontal="center"/>
    </xf>
    <xf numFmtId="0" fontId="9" fillId="0" borderId="0" xfId="6" applyFont="1" applyFill="1" applyBorder="1" applyAlignment="1"/>
    <xf numFmtId="0" fontId="0" fillId="0" borderId="0" xfId="6" applyFont="1"/>
    <xf numFmtId="0" fontId="0" fillId="0" borderId="0" xfId="6" applyFont="1" applyAlignment="1">
      <alignment horizontal="right"/>
    </xf>
    <xf numFmtId="0" fontId="0" fillId="0" borderId="0" xfId="6" applyFont="1" applyBorder="1"/>
    <xf numFmtId="0" fontId="18" fillId="0" borderId="62" xfId="0" applyFont="1" applyBorder="1" applyAlignment="1"/>
    <xf numFmtId="0" fontId="18" fillId="0" borderId="64" xfId="0" applyFont="1" applyBorder="1" applyAlignment="1"/>
    <xf numFmtId="0" fontId="18" fillId="0" borderId="63" xfId="0" applyFont="1" applyBorder="1" applyAlignment="1"/>
    <xf numFmtId="0" fontId="18" fillId="0" borderId="1" xfId="0" applyFont="1" applyBorder="1" applyAlignment="1"/>
    <xf numFmtId="0" fontId="0" fillId="0" borderId="1" xfId="0" applyBorder="1" applyAlignment="1">
      <alignment vertical="center"/>
    </xf>
    <xf numFmtId="0" fontId="0" fillId="0" borderId="62" xfId="0" applyNumberFormat="1" applyFont="1" applyFill="1" applyBorder="1" applyAlignment="1">
      <alignment horizontal="center" vertical="center"/>
    </xf>
    <xf numFmtId="49" fontId="0" fillId="0" borderId="64" xfId="0" applyNumberFormat="1" applyFont="1" applyFill="1" applyBorder="1" applyAlignment="1">
      <alignment horizontal="center" vertical="center"/>
    </xf>
    <xf numFmtId="0" fontId="0" fillId="0" borderId="64" xfId="0" applyNumberFormat="1" applyFont="1" applyFill="1" applyBorder="1" applyAlignment="1">
      <alignment horizontal="center" vertical="center"/>
    </xf>
    <xf numFmtId="0" fontId="0" fillId="0" borderId="64" xfId="0" applyNumberFormat="1" applyFill="1" applyBorder="1" applyAlignment="1">
      <alignment vertical="center"/>
    </xf>
    <xf numFmtId="0" fontId="18" fillId="0" borderId="1" xfId="0" applyNumberFormat="1" applyFont="1" applyFill="1" applyBorder="1" applyAlignment="1">
      <alignment horizontal="center" vertical="center"/>
    </xf>
    <xf numFmtId="0" fontId="9" fillId="0" borderId="0" xfId="23" applyFont="1"/>
    <xf numFmtId="0" fontId="18" fillId="0" borderId="1" xfId="9" applyFont="1" applyBorder="1" applyAlignment="1"/>
    <xf numFmtId="0" fontId="9" fillId="0" borderId="6" xfId="6" applyFont="1" applyBorder="1"/>
    <xf numFmtId="0" fontId="18" fillId="0" borderId="77" xfId="0" applyNumberFormat="1" applyFont="1" applyFill="1" applyBorder="1" applyAlignment="1">
      <alignment horizontal="center" vertical="center"/>
    </xf>
    <xf numFmtId="0" fontId="9" fillId="0" borderId="78" xfId="6" applyFont="1" applyBorder="1"/>
    <xf numFmtId="0" fontId="9" fillId="0" borderId="80" xfId="6" applyFont="1" applyBorder="1"/>
    <xf numFmtId="0" fontId="0" fillId="0" borderId="77" xfId="0" applyNumberFormat="1" applyFont="1" applyFill="1" applyBorder="1" applyAlignment="1">
      <alignment horizontal="center" vertical="center"/>
    </xf>
    <xf numFmtId="49" fontId="0" fillId="0" borderId="78"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22" fillId="0" borderId="1" xfId="0" applyFont="1" applyBorder="1"/>
    <xf numFmtId="0" fontId="22" fillId="0" borderId="1" xfId="0" applyFont="1" applyBorder="1" applyAlignment="1"/>
    <xf numFmtId="0" fontId="18" fillId="5" borderId="1" xfId="0" applyNumberFormat="1" applyFont="1" applyFill="1" applyBorder="1" applyAlignment="1">
      <alignment horizontal="center" vertical="center"/>
    </xf>
    <xf numFmtId="0" fontId="18" fillId="5" borderId="77" xfId="0" applyNumberFormat="1" applyFont="1" applyFill="1" applyBorder="1" applyAlignment="1">
      <alignment horizontal="center" vertical="center"/>
    </xf>
    <xf numFmtId="0" fontId="18" fillId="16" borderId="1" xfId="0" applyNumberFormat="1" applyFont="1" applyFill="1" applyBorder="1" applyAlignment="1">
      <alignment horizontal="center" vertical="center"/>
    </xf>
    <xf numFmtId="0" fontId="18" fillId="16" borderId="77" xfId="0" applyNumberFormat="1" applyFont="1" applyFill="1" applyBorder="1" applyAlignment="1">
      <alignment horizontal="center" vertical="center"/>
    </xf>
    <xf numFmtId="0" fontId="0" fillId="13" borderId="77" xfId="0" applyNumberFormat="1" applyFont="1" applyFill="1" applyBorder="1" applyAlignment="1">
      <alignment horizontal="center" vertical="center"/>
    </xf>
    <xf numFmtId="49" fontId="0" fillId="13" borderId="78" xfId="0" applyNumberFormat="1" applyFont="1" applyFill="1" applyBorder="1" applyAlignment="1">
      <alignment horizontal="center" vertical="center"/>
    </xf>
    <xf numFmtId="0" fontId="0" fillId="13" borderId="80" xfId="0" applyNumberFormat="1" applyFont="1" applyFill="1" applyBorder="1" applyAlignment="1">
      <alignment horizontal="center" vertical="center"/>
    </xf>
    <xf numFmtId="0" fontId="0" fillId="0" borderId="0" xfId="16" applyFont="1" applyFill="1"/>
    <xf numFmtId="0" fontId="9" fillId="0" borderId="79" xfId="16" applyFont="1" applyFill="1" applyBorder="1"/>
    <xf numFmtId="0" fontId="0" fillId="0" borderId="37" xfId="16" applyFont="1" applyBorder="1"/>
    <xf numFmtId="0" fontId="0" fillId="0" borderId="39" xfId="16" applyFont="1" applyFill="1" applyBorder="1"/>
    <xf numFmtId="0" fontId="9" fillId="0" borderId="0" xfId="16" applyFont="1" applyFill="1"/>
    <xf numFmtId="0" fontId="9" fillId="0" borderId="79" xfId="16" applyFont="1" applyBorder="1"/>
    <xf numFmtId="0" fontId="9" fillId="0" borderId="79" xfId="16" applyFont="1" applyBorder="1" applyAlignment="1">
      <alignment horizontal="left"/>
    </xf>
    <xf numFmtId="0" fontId="9" fillId="0" borderId="0" xfId="16" applyFont="1" applyFill="1" applyAlignment="1">
      <alignment horizontal="left"/>
    </xf>
    <xf numFmtId="0" fontId="9" fillId="0" borderId="81" xfId="16" applyFont="1" applyFill="1" applyBorder="1"/>
    <xf numFmtId="0" fontId="0" fillId="0" borderId="38" xfId="16" applyFont="1" applyFill="1" applyBorder="1"/>
    <xf numFmtId="0" fontId="9" fillId="0" borderId="79" xfId="6" applyFont="1" applyBorder="1"/>
    <xf numFmtId="0" fontId="9" fillId="0" borderId="81" xfId="6" applyFont="1" applyBorder="1"/>
    <xf numFmtId="0" fontId="9" fillId="0" borderId="41" xfId="6" applyFont="1" applyBorder="1"/>
    <xf numFmtId="0" fontId="9" fillId="0" borderId="38" xfId="6" applyFont="1" applyBorder="1"/>
    <xf numFmtId="0" fontId="9" fillId="0" borderId="39" xfId="6" applyFont="1" applyBorder="1"/>
    <xf numFmtId="0" fontId="9" fillId="0" borderId="44" xfId="6" applyFont="1" applyBorder="1"/>
    <xf numFmtId="0" fontId="9" fillId="0" borderId="42" xfId="6" applyFont="1" applyBorder="1"/>
    <xf numFmtId="0" fontId="9" fillId="25" borderId="79" xfId="16" applyFont="1" applyFill="1" applyBorder="1"/>
    <xf numFmtId="0" fontId="0" fillId="4" borderId="0" xfId="0" applyFill="1"/>
    <xf numFmtId="0" fontId="0" fillId="0" borderId="1" xfId="0" applyBorder="1" applyAlignment="1">
      <alignment horizontal="center"/>
    </xf>
    <xf numFmtId="0" fontId="9" fillId="4" borderId="1" xfId="27" applyFont="1" applyFill="1" applyBorder="1" applyAlignment="1">
      <alignment horizontal="center"/>
    </xf>
    <xf numFmtId="0" fontId="0" fillId="4" borderId="1" xfId="0" applyFill="1" applyBorder="1" applyAlignment="1">
      <alignment horizontal="center"/>
    </xf>
    <xf numFmtId="0" fontId="22" fillId="0" borderId="0" xfId="6" applyFont="1" applyAlignment="1">
      <alignment horizontal="right"/>
    </xf>
    <xf numFmtId="0" fontId="22" fillId="0" borderId="0" xfId="16" applyFont="1"/>
    <xf numFmtId="0" fontId="22" fillId="0" borderId="0" xfId="6" applyFont="1" applyFill="1"/>
    <xf numFmtId="0" fontId="22" fillId="0" borderId="0" xfId="6" applyFont="1"/>
    <xf numFmtId="0" fontId="18" fillId="9" borderId="6" xfId="6" applyFont="1" applyFill="1" applyBorder="1" applyAlignment="1">
      <alignment horizontal="center"/>
    </xf>
    <xf numFmtId="0" fontId="9" fillId="0" borderId="6" xfId="6" applyFont="1" applyBorder="1" applyAlignment="1"/>
    <xf numFmtId="0" fontId="0" fillId="0" borderId="6" xfId="6" applyFont="1" applyBorder="1" applyAlignment="1"/>
    <xf numFmtId="0" fontId="18" fillId="0" borderId="6" xfId="6" applyFont="1" applyBorder="1" applyAlignment="1">
      <alignment horizontal="center"/>
    </xf>
    <xf numFmtId="0" fontId="18" fillId="0" borderId="6" xfId="6" applyFont="1" applyFill="1" applyBorder="1" applyAlignment="1">
      <alignment horizontal="center"/>
    </xf>
    <xf numFmtId="0" fontId="18" fillId="0" borderId="6" xfId="16" applyFont="1" applyBorder="1" applyAlignment="1">
      <alignment horizontal="center"/>
    </xf>
    <xf numFmtId="0" fontId="9" fillId="0" borderId="6" xfId="16" applyFont="1" applyBorder="1" applyAlignment="1"/>
    <xf numFmtId="0" fontId="9" fillId="5" borderId="6" xfId="6" applyFont="1" applyFill="1" applyBorder="1" applyAlignment="1"/>
    <xf numFmtId="0" fontId="9" fillId="5" borderId="6" xfId="6" applyFont="1" applyFill="1" applyBorder="1" applyAlignment="1">
      <alignment horizontal="center"/>
    </xf>
    <xf numFmtId="0" fontId="9" fillId="5" borderId="6" xfId="6" applyFont="1" applyFill="1" applyBorder="1"/>
    <xf numFmtId="0" fontId="2" fillId="5" borderId="79" xfId="13" applyFont="1" applyFill="1" applyBorder="1" applyAlignment="1"/>
    <xf numFmtId="0" fontId="9" fillId="17" borderId="1" xfId="13" applyFont="1" applyFill="1" applyBorder="1" applyAlignment="1"/>
    <xf numFmtId="0" fontId="9" fillId="5" borderId="0" xfId="6" applyFont="1" applyFill="1"/>
    <xf numFmtId="0" fontId="24" fillId="0" borderId="1" xfId="6" applyFont="1" applyFill="1" applyBorder="1"/>
    <xf numFmtId="0" fontId="52" fillId="0" borderId="0" xfId="6" applyFont="1"/>
    <xf numFmtId="0" fontId="9" fillId="0" borderId="6" xfId="6" applyFont="1" applyBorder="1" applyAlignment="1">
      <alignment horizontal="center"/>
    </xf>
    <xf numFmtId="0" fontId="18" fillId="5" borderId="0" xfId="0" applyFont="1" applyFill="1"/>
    <xf numFmtId="0" fontId="9" fillId="0" borderId="82" xfId="16" applyFont="1" applyFill="1" applyBorder="1"/>
    <xf numFmtId="0" fontId="9" fillId="0" borderId="82" xfId="6" applyFont="1" applyBorder="1"/>
    <xf numFmtId="0" fontId="9" fillId="0" borderId="86" xfId="6" applyFont="1" applyBorder="1"/>
    <xf numFmtId="0" fontId="9" fillId="9" borderId="83" xfId="14" applyFont="1" applyFill="1" applyBorder="1" applyAlignment="1">
      <alignment horizontal="center"/>
    </xf>
    <xf numFmtId="0" fontId="9" fillId="16" borderId="83" xfId="14" applyFont="1" applyFill="1" applyBorder="1" applyAlignment="1">
      <alignment horizontal="center"/>
    </xf>
    <xf numFmtId="0" fontId="9" fillId="20" borderId="83" xfId="14" applyFont="1" applyFill="1" applyBorder="1" applyAlignment="1">
      <alignment horizontal="center"/>
    </xf>
    <xf numFmtId="0" fontId="9" fillId="9" borderId="88" xfId="14" applyFont="1" applyFill="1" applyBorder="1" applyAlignment="1">
      <alignment horizontal="left"/>
    </xf>
    <xf numFmtId="0" fontId="9" fillId="9" borderId="12" xfId="9" applyFont="1" applyFill="1" applyBorder="1" applyAlignment="1"/>
    <xf numFmtId="0" fontId="9" fillId="16" borderId="12" xfId="9" applyFont="1" applyFill="1" applyBorder="1" applyAlignment="1">
      <alignment horizontal="left"/>
    </xf>
    <xf numFmtId="0" fontId="9" fillId="16" borderId="12" xfId="14" applyFont="1" applyFill="1" applyBorder="1" applyAlignment="1">
      <alignment horizontal="left"/>
    </xf>
    <xf numFmtId="0" fontId="9" fillId="16" borderId="12" xfId="9" applyFont="1" applyFill="1" applyBorder="1" applyAlignment="1"/>
    <xf numFmtId="0" fontId="9" fillId="16" borderId="12" xfId="14" applyFont="1" applyFill="1" applyBorder="1" applyAlignment="1"/>
    <xf numFmtId="0" fontId="9" fillId="16" borderId="88" xfId="14" applyFont="1" applyFill="1" applyBorder="1" applyAlignment="1"/>
    <xf numFmtId="0" fontId="9" fillId="20" borderId="12" xfId="9" applyFont="1" applyFill="1" applyBorder="1" applyAlignment="1"/>
    <xf numFmtId="0" fontId="9" fillId="20" borderId="12" xfId="14" applyFont="1" applyFill="1" applyBorder="1" applyAlignment="1"/>
    <xf numFmtId="0" fontId="9" fillId="20" borderId="88" xfId="14" applyFont="1" applyFill="1" applyBorder="1" applyAlignment="1">
      <alignment horizontal="left"/>
    </xf>
    <xf numFmtId="0" fontId="9" fillId="20" borderId="88" xfId="14" applyFont="1" applyFill="1" applyBorder="1" applyAlignment="1"/>
    <xf numFmtId="0" fontId="9" fillId="0" borderId="89" xfId="9" applyFont="1" applyBorder="1" applyAlignment="1"/>
    <xf numFmtId="0" fontId="18" fillId="18" borderId="87" xfId="14" applyFont="1" applyFill="1" applyBorder="1" applyAlignment="1">
      <alignment horizontal="center"/>
    </xf>
    <xf numFmtId="0" fontId="18" fillId="4" borderId="87" xfId="14" applyFont="1" applyFill="1" applyBorder="1" applyAlignment="1">
      <alignment horizontal="center"/>
    </xf>
    <xf numFmtId="0" fontId="9" fillId="21" borderId="87" xfId="14" applyFont="1" applyFill="1" applyBorder="1" applyAlignment="1">
      <alignment horizontal="center"/>
    </xf>
    <xf numFmtId="0" fontId="9" fillId="0" borderId="58" xfId="9" applyFont="1" applyBorder="1" applyAlignment="1">
      <alignment horizontal="center"/>
    </xf>
    <xf numFmtId="0" fontId="9" fillId="9" borderId="85" xfId="14" applyFont="1" applyFill="1" applyBorder="1" applyAlignment="1">
      <alignment horizontal="center"/>
    </xf>
    <xf numFmtId="0" fontId="9" fillId="16" borderId="85" xfId="14" applyFont="1" applyFill="1" applyBorder="1" applyAlignment="1">
      <alignment horizontal="center"/>
    </xf>
    <xf numFmtId="0" fontId="9" fillId="20" borderId="85" xfId="14" applyFont="1" applyFill="1" applyBorder="1" applyAlignment="1">
      <alignment horizontal="center"/>
    </xf>
    <xf numFmtId="0" fontId="9" fillId="0" borderId="90" xfId="9" applyFont="1" applyBorder="1" applyAlignment="1">
      <alignment horizontal="center"/>
    </xf>
    <xf numFmtId="0" fontId="9" fillId="16" borderId="9" xfId="14" applyFont="1" applyFill="1" applyBorder="1" applyAlignment="1">
      <alignment horizontal="center"/>
    </xf>
    <xf numFmtId="0" fontId="9" fillId="16" borderId="84" xfId="14" applyFont="1" applyFill="1" applyBorder="1" applyAlignment="1">
      <alignment horizontal="center"/>
    </xf>
    <xf numFmtId="0" fontId="9" fillId="16" borderId="37" xfId="14" applyFont="1" applyFill="1" applyBorder="1" applyAlignment="1">
      <alignment horizontal="center"/>
    </xf>
    <xf numFmtId="0" fontId="9" fillId="9" borderId="85" xfId="9" applyFont="1" applyFill="1" applyBorder="1" applyAlignment="1">
      <alignment horizontal="center"/>
    </xf>
    <xf numFmtId="0" fontId="9" fillId="20" borderId="85" xfId="9" applyFont="1" applyFill="1" applyBorder="1" applyAlignment="1">
      <alignment horizontal="center"/>
    </xf>
    <xf numFmtId="0" fontId="9" fillId="9" borderId="49" xfId="9" applyFont="1" applyFill="1" applyBorder="1" applyAlignment="1">
      <alignment horizontal="center"/>
    </xf>
    <xf numFmtId="0" fontId="9" fillId="20" borderId="49" xfId="9" applyFont="1" applyFill="1" applyBorder="1" applyAlignment="1">
      <alignment horizontal="center"/>
    </xf>
    <xf numFmtId="0" fontId="9" fillId="19" borderId="87" xfId="14" applyFont="1" applyFill="1" applyBorder="1" applyAlignment="1">
      <alignment horizontal="center"/>
    </xf>
    <xf numFmtId="0" fontId="9" fillId="19" borderId="91" xfId="14" applyFont="1" applyFill="1" applyBorder="1" applyAlignment="1">
      <alignment horizontal="center"/>
    </xf>
    <xf numFmtId="0" fontId="9" fillId="22" borderId="49" xfId="9" applyFont="1" applyFill="1" applyBorder="1" applyAlignment="1">
      <alignment horizontal="center"/>
    </xf>
    <xf numFmtId="0" fontId="9" fillId="0" borderId="84" xfId="9" applyFont="1" applyBorder="1" applyAlignment="1">
      <alignment horizontal="center"/>
    </xf>
    <xf numFmtId="0" fontId="9" fillId="0" borderId="37" xfId="9" applyFont="1" applyBorder="1" applyAlignment="1">
      <alignment horizontal="center"/>
    </xf>
    <xf numFmtId="0" fontId="9" fillId="0" borderId="91" xfId="9" applyFont="1" applyBorder="1" applyAlignment="1">
      <alignment horizontal="center"/>
    </xf>
    <xf numFmtId="0" fontId="9" fillId="0" borderId="92" xfId="9" applyFont="1" applyBorder="1" applyAlignment="1">
      <alignment horizontal="center"/>
    </xf>
    <xf numFmtId="0" fontId="9" fillId="0" borderId="7" xfId="9" applyFont="1" applyBorder="1" applyAlignment="1">
      <alignment horizontal="center"/>
    </xf>
    <xf numFmtId="0" fontId="9" fillId="0" borderId="93" xfId="14" applyFont="1" applyFill="1" applyBorder="1" applyAlignment="1"/>
    <xf numFmtId="0" fontId="9" fillId="0" borderId="21" xfId="9" applyFont="1" applyBorder="1" applyAlignment="1">
      <alignment horizontal="center"/>
    </xf>
    <xf numFmtId="0" fontId="9" fillId="0" borderId="94" xfId="9" applyFont="1" applyBorder="1" applyAlignment="1">
      <alignment horizontal="center"/>
    </xf>
    <xf numFmtId="0" fontId="9" fillId="19" borderId="20" xfId="14" applyFont="1" applyFill="1" applyBorder="1" applyAlignment="1">
      <alignment horizontal="center"/>
    </xf>
    <xf numFmtId="0" fontId="9" fillId="22" borderId="55" xfId="9" applyFont="1" applyFill="1" applyBorder="1" applyAlignment="1">
      <alignment horizontal="center"/>
    </xf>
    <xf numFmtId="0" fontId="9" fillId="0" borderId="55" xfId="9" applyFont="1" applyBorder="1" applyAlignment="1">
      <alignment horizontal="center"/>
    </xf>
    <xf numFmtId="0" fontId="9" fillId="20" borderId="20" xfId="14" applyFont="1" applyFill="1" applyBorder="1" applyAlignment="1"/>
    <xf numFmtId="0" fontId="9" fillId="20" borderId="21" xfId="9" applyFont="1" applyFill="1" applyBorder="1" applyAlignment="1">
      <alignment horizontal="left"/>
    </xf>
    <xf numFmtId="0" fontId="9" fillId="20" borderId="21" xfId="9" applyFont="1" applyFill="1" applyBorder="1" applyAlignment="1">
      <alignment horizontal="center"/>
    </xf>
    <xf numFmtId="0" fontId="9" fillId="20" borderId="92" xfId="9" applyFont="1" applyFill="1" applyBorder="1" applyAlignment="1">
      <alignment horizontal="center"/>
    </xf>
    <xf numFmtId="0" fontId="9" fillId="20" borderId="94" xfId="9" applyFont="1" applyFill="1" applyBorder="1" applyAlignment="1">
      <alignment horizontal="center"/>
    </xf>
    <xf numFmtId="0" fontId="9" fillId="20" borderId="86" xfId="9" applyFont="1" applyFill="1" applyBorder="1" applyAlignment="1">
      <alignment horizontal="center"/>
    </xf>
    <xf numFmtId="0" fontId="9" fillId="20" borderId="84" xfId="9" applyFont="1" applyFill="1" applyBorder="1" applyAlignment="1">
      <alignment horizontal="center"/>
    </xf>
    <xf numFmtId="0" fontId="9" fillId="20" borderId="20" xfId="14" applyFont="1" applyFill="1" applyBorder="1" applyAlignment="1">
      <alignment horizontal="center"/>
    </xf>
    <xf numFmtId="0" fontId="0" fillId="0" borderId="0" xfId="14" applyFont="1" applyBorder="1"/>
    <xf numFmtId="0" fontId="9" fillId="5" borderId="55" xfId="14" applyFont="1" applyFill="1" applyBorder="1" applyAlignment="1">
      <alignment horizontal="center"/>
    </xf>
    <xf numFmtId="0" fontId="9" fillId="0" borderId="55" xfId="14" applyFont="1" applyFill="1" applyBorder="1" applyAlignment="1">
      <alignment horizontal="center"/>
    </xf>
    <xf numFmtId="0" fontId="9" fillId="5" borderId="12" xfId="14" applyFont="1" applyFill="1" applyBorder="1" applyAlignment="1">
      <alignment horizontal="center"/>
    </xf>
    <xf numFmtId="0" fontId="9" fillId="0" borderId="12" xfId="14" applyFont="1" applyFill="1" applyBorder="1" applyAlignment="1">
      <alignment horizontal="center"/>
    </xf>
    <xf numFmtId="0" fontId="9" fillId="0" borderId="20" xfId="9" applyFont="1" applyFill="1" applyBorder="1" applyAlignment="1">
      <alignment horizontal="center"/>
    </xf>
    <xf numFmtId="0" fontId="9" fillId="0" borderId="95" xfId="9" applyFont="1" applyFill="1" applyBorder="1" applyAlignment="1">
      <alignment horizontal="center"/>
    </xf>
    <xf numFmtId="0" fontId="9" fillId="5" borderId="19" xfId="14" applyFont="1" applyFill="1" applyBorder="1" applyAlignment="1"/>
    <xf numFmtId="0" fontId="18" fillId="20" borderId="14" xfId="9" applyFont="1" applyFill="1" applyBorder="1" applyAlignment="1"/>
    <xf numFmtId="0" fontId="9" fillId="20" borderId="13" xfId="14" applyFont="1" applyFill="1" applyBorder="1" applyAlignment="1"/>
    <xf numFmtId="0" fontId="9" fillId="20" borderId="9" xfId="14" applyFont="1" applyFill="1" applyBorder="1" applyAlignment="1">
      <alignment horizontal="center"/>
    </xf>
    <xf numFmtId="0" fontId="9" fillId="20" borderId="13" xfId="9" applyFont="1" applyFill="1" applyBorder="1" applyAlignment="1"/>
    <xf numFmtId="0" fontId="9" fillId="20" borderId="47" xfId="14" applyFont="1" applyFill="1" applyBorder="1" applyAlignment="1"/>
    <xf numFmtId="0" fontId="9" fillId="20" borderId="3" xfId="14" applyFont="1" applyFill="1" applyBorder="1" applyAlignment="1"/>
    <xf numFmtId="0" fontId="9" fillId="20" borderId="15" xfId="14" applyFont="1" applyFill="1" applyBorder="1" applyAlignment="1"/>
    <xf numFmtId="0" fontId="9" fillId="0" borderId="20" xfId="14" applyFont="1" applyBorder="1" applyAlignment="1"/>
    <xf numFmtId="0" fontId="9" fillId="0" borderId="96" xfId="14" applyFont="1" applyFill="1" applyBorder="1" applyAlignment="1"/>
    <xf numFmtId="0" fontId="9" fillId="0" borderId="20" xfId="14" applyFont="1" applyFill="1" applyBorder="1" applyAlignment="1">
      <alignment horizontal="center"/>
    </xf>
    <xf numFmtId="0" fontId="9" fillId="0" borderId="95" xfId="14" applyFont="1" applyBorder="1" applyAlignment="1"/>
    <xf numFmtId="0" fontId="18" fillId="0" borderId="97" xfId="9" applyFont="1" applyBorder="1" applyAlignment="1"/>
    <xf numFmtId="0" fontId="9" fillId="0" borderId="98" xfId="9" applyFont="1" applyBorder="1" applyAlignment="1">
      <alignment horizontal="center"/>
    </xf>
    <xf numFmtId="0" fontId="9" fillId="0" borderId="95" xfId="14" applyFont="1" applyFill="1" applyBorder="1" applyAlignment="1">
      <alignment horizontal="center"/>
    </xf>
    <xf numFmtId="0" fontId="9" fillId="0" borderId="99" xfId="14" applyFont="1" applyFill="1" applyBorder="1" applyAlignment="1"/>
    <xf numFmtId="0" fontId="9" fillId="5" borderId="55" xfId="9" applyFont="1" applyFill="1" applyBorder="1" applyAlignment="1">
      <alignment horizontal="center"/>
    </xf>
    <xf numFmtId="0" fontId="9" fillId="0" borderId="19" xfId="14" applyFont="1" applyFill="1" applyBorder="1" applyAlignment="1">
      <alignment horizontal="left"/>
    </xf>
    <xf numFmtId="0" fontId="9" fillId="9" borderId="13" xfId="9" applyFont="1" applyFill="1" applyBorder="1" applyAlignment="1"/>
    <xf numFmtId="0" fontId="9" fillId="9" borderId="9" xfId="14" applyFont="1" applyFill="1" applyBorder="1" applyAlignment="1">
      <alignment horizontal="center"/>
    </xf>
    <xf numFmtId="0" fontId="9" fillId="9" borderId="13" xfId="14" applyFont="1" applyFill="1" applyBorder="1" applyAlignment="1"/>
    <xf numFmtId="0" fontId="9" fillId="16" borderId="13" xfId="9" applyFont="1" applyFill="1" applyBorder="1" applyAlignment="1"/>
    <xf numFmtId="0" fontId="9" fillId="16" borderId="19" xfId="14" applyFont="1" applyFill="1" applyBorder="1" applyAlignment="1">
      <alignment horizontal="left"/>
    </xf>
    <xf numFmtId="0" fontId="9" fillId="16" borderId="13" xfId="14" applyFont="1" applyFill="1" applyBorder="1" applyAlignment="1"/>
    <xf numFmtId="0" fontId="9" fillId="20" borderId="19" xfId="14" applyFont="1" applyFill="1" applyBorder="1" applyAlignment="1">
      <alignment horizontal="left"/>
    </xf>
    <xf numFmtId="166" fontId="9" fillId="0" borderId="55" xfId="9" applyNumberFormat="1" applyFont="1" applyBorder="1" applyAlignment="1">
      <alignment horizontal="center"/>
    </xf>
    <xf numFmtId="166" fontId="9" fillId="0" borderId="9" xfId="9" applyNumberFormat="1" applyFont="1" applyBorder="1" applyAlignment="1">
      <alignment horizontal="center"/>
    </xf>
    <xf numFmtId="0" fontId="9" fillId="0" borderId="85" xfId="9" applyFont="1" applyBorder="1" applyAlignment="1">
      <alignment horizontal="center"/>
    </xf>
    <xf numFmtId="166" fontId="9" fillId="0" borderId="85" xfId="9" applyNumberFormat="1" applyFont="1" applyBorder="1" applyAlignment="1">
      <alignment horizontal="center"/>
    </xf>
    <xf numFmtId="0" fontId="22" fillId="0" borderId="0" xfId="14" applyFont="1" applyAlignment="1">
      <alignment horizontal="right"/>
    </xf>
    <xf numFmtId="0" fontId="22" fillId="0" borderId="0" xfId="14" applyFont="1"/>
    <xf numFmtId="0" fontId="18" fillId="0" borderId="0" xfId="6" applyFont="1" applyBorder="1"/>
    <xf numFmtId="0" fontId="9" fillId="0" borderId="0" xfId="6" applyFont="1" applyBorder="1" applyAlignment="1"/>
    <xf numFmtId="0" fontId="18" fillId="0" borderId="9" xfId="0" applyFont="1" applyBorder="1" applyAlignment="1"/>
    <xf numFmtId="0" fontId="18" fillId="0" borderId="100" xfId="0" applyFont="1" applyBorder="1" applyAlignment="1"/>
    <xf numFmtId="0" fontId="18" fillId="0" borderId="85" xfId="0" applyFont="1" applyBorder="1" applyAlignment="1"/>
    <xf numFmtId="0" fontId="9" fillId="0" borderId="100" xfId="6" applyFont="1" applyBorder="1"/>
    <xf numFmtId="0" fontId="9" fillId="0" borderId="85" xfId="6" applyFont="1" applyBorder="1"/>
    <xf numFmtId="0" fontId="0" fillId="0" borderId="9" xfId="0" applyNumberFormat="1" applyFont="1" applyFill="1" applyBorder="1" applyAlignment="1">
      <alignment horizontal="center" vertical="center"/>
    </xf>
    <xf numFmtId="49" fontId="0" fillId="0" borderId="100"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0" fillId="0" borderId="100" xfId="0" applyNumberFormat="1" applyFill="1" applyBorder="1" applyAlignment="1">
      <alignment vertical="center"/>
    </xf>
    <xf numFmtId="0" fontId="18" fillId="0" borderId="9"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18" fillId="0" borderId="1" xfId="6" applyFont="1" applyFill="1" applyBorder="1"/>
    <xf numFmtId="0" fontId="18" fillId="5" borderId="9" xfId="0" applyNumberFormat="1" applyFont="1" applyFill="1" applyBorder="1" applyAlignment="1">
      <alignment horizontal="center" vertical="center"/>
    </xf>
    <xf numFmtId="0" fontId="18" fillId="16" borderId="9" xfId="0" applyNumberFormat="1" applyFont="1" applyFill="1" applyBorder="1" applyAlignment="1">
      <alignment horizontal="center" vertical="center"/>
    </xf>
    <xf numFmtId="0" fontId="18" fillId="0" borderId="0" xfId="6" applyFont="1" applyFill="1"/>
    <xf numFmtId="0" fontId="9" fillId="0" borderId="101" xfId="16" applyFont="1" applyFill="1" applyBorder="1"/>
    <xf numFmtId="0" fontId="9" fillId="0" borderId="101" xfId="6" applyFont="1" applyBorder="1"/>
    <xf numFmtId="0" fontId="9" fillId="0" borderId="102" xfId="6" applyFont="1" applyBorder="1"/>
    <xf numFmtId="0" fontId="9" fillId="0" borderId="101" xfId="16" applyFont="1" applyBorder="1"/>
    <xf numFmtId="0" fontId="9" fillId="5" borderId="0" xfId="16" applyFont="1" applyFill="1"/>
    <xf numFmtId="0" fontId="0" fillId="0" borderId="1" xfId="0" applyFont="1" applyBorder="1" applyAlignment="1">
      <alignment vertical="center"/>
    </xf>
    <xf numFmtId="0" fontId="0" fillId="26" borderId="77" xfId="0" applyNumberFormat="1" applyFont="1" applyFill="1" applyBorder="1" applyAlignment="1">
      <alignment horizontal="center" vertical="center"/>
    </xf>
    <xf numFmtId="49" fontId="0" fillId="26" borderId="78" xfId="0" applyNumberFormat="1" applyFont="1" applyFill="1" applyBorder="1" applyAlignment="1">
      <alignment horizontal="center" vertical="center"/>
    </xf>
    <xf numFmtId="0" fontId="0" fillId="26" borderId="80" xfId="0" applyNumberFormat="1" applyFont="1" applyFill="1" applyBorder="1" applyAlignment="1">
      <alignment horizontal="center" vertical="center"/>
    </xf>
    <xf numFmtId="167" fontId="9" fillId="0" borderId="0" xfId="6" applyNumberFormat="1" applyFont="1"/>
    <xf numFmtId="167" fontId="9" fillId="0" borderId="0" xfId="6" applyNumberFormat="1" applyFont="1" applyFill="1"/>
    <xf numFmtId="167" fontId="9" fillId="13" borderId="0" xfId="6" applyNumberFormat="1" applyFont="1" applyFill="1"/>
    <xf numFmtId="167" fontId="9" fillId="26" borderId="0" xfId="6" applyNumberFormat="1" applyFont="1" applyFill="1"/>
    <xf numFmtId="0" fontId="0" fillId="0" borderId="42" xfId="16" applyFont="1" applyFill="1" applyBorder="1"/>
    <xf numFmtId="0" fontId="9" fillId="24" borderId="0" xfId="6" applyFont="1" applyFill="1"/>
    <xf numFmtId="0" fontId="9" fillId="0" borderId="0" xfId="16" applyFont="1" applyFill="1" applyBorder="1"/>
    <xf numFmtId="0" fontId="9" fillId="0" borderId="0" xfId="11" applyFont="1" applyFill="1" applyAlignment="1"/>
    <xf numFmtId="0" fontId="0" fillId="0" borderId="0" xfId="6" applyFont="1" applyFill="1"/>
    <xf numFmtId="0" fontId="2" fillId="7" borderId="9" xfId="13" applyFont="1" applyFill="1" applyBorder="1" applyAlignment="1">
      <alignment horizontal="center"/>
    </xf>
    <xf numFmtId="0" fontId="2" fillId="7" borderId="85" xfId="13" applyFont="1" applyFill="1" applyBorder="1" applyAlignment="1">
      <alignment horizontal="right"/>
    </xf>
    <xf numFmtId="0" fontId="2" fillId="0" borderId="9" xfId="13" applyFont="1" applyBorder="1" applyAlignment="1">
      <alignment horizontal="center"/>
    </xf>
    <xf numFmtId="0" fontId="22" fillId="0" borderId="85" xfId="13" applyFont="1" applyBorder="1" applyAlignment="1">
      <alignment horizontal="right"/>
    </xf>
    <xf numFmtId="0" fontId="9" fillId="0" borderId="1" xfId="16" applyNumberFormat="1" applyFont="1" applyFill="1" applyBorder="1" applyAlignment="1">
      <alignment horizontal="center"/>
    </xf>
    <xf numFmtId="0" fontId="0" fillId="0" borderId="1" xfId="16" applyFont="1" applyFill="1" applyBorder="1" applyAlignment="1">
      <alignment horizontal="center"/>
    </xf>
    <xf numFmtId="0" fontId="9" fillId="27" borderId="1" xfId="16" applyFont="1" applyFill="1" applyBorder="1" applyAlignment="1">
      <alignment horizontal="center"/>
    </xf>
    <xf numFmtId="0" fontId="59" fillId="0" borderId="0" xfId="6" applyFont="1"/>
    <xf numFmtId="0" fontId="9" fillId="0" borderId="102" xfId="16" applyFont="1" applyBorder="1"/>
    <xf numFmtId="0" fontId="9" fillId="0" borderId="103" xfId="16" applyFont="1" applyBorder="1"/>
    <xf numFmtId="0" fontId="9" fillId="0" borderId="101" xfId="16" applyFont="1" applyBorder="1" applyAlignment="1">
      <alignment horizontal="left"/>
    </xf>
    <xf numFmtId="0" fontId="9" fillId="0" borderId="102" xfId="16" applyFont="1" applyBorder="1" applyAlignment="1">
      <alignment horizontal="left"/>
    </xf>
    <xf numFmtId="0" fontId="0" fillId="0" borderId="102" xfId="0" applyFont="1" applyBorder="1"/>
    <xf numFmtId="0" fontId="0" fillId="0" borderId="39" xfId="0" applyFont="1" applyBorder="1"/>
    <xf numFmtId="0" fontId="18" fillId="0" borderId="0" xfId="0" applyFont="1" applyAlignment="1">
      <alignment horizontal="right"/>
    </xf>
    <xf numFmtId="0" fontId="23" fillId="0" borderId="1" xfId="16" applyFont="1" applyFill="1" applyBorder="1" applyAlignment="1">
      <alignment horizontal="center"/>
    </xf>
    <xf numFmtId="0" fontId="9" fillId="16" borderId="0" xfId="16" applyFont="1" applyFill="1" applyBorder="1" applyAlignment="1">
      <alignment horizontal="left"/>
    </xf>
    <xf numFmtId="0" fontId="9" fillId="0" borderId="37" xfId="16" applyFont="1" applyBorder="1"/>
    <xf numFmtId="0" fontId="9" fillId="0" borderId="1" xfId="13" applyNumberFormat="1" applyFont="1" applyFill="1" applyBorder="1" applyAlignment="1">
      <alignment horizontal="center"/>
    </xf>
    <xf numFmtId="0" fontId="18" fillId="0" borderId="1" xfId="16" applyFont="1" applyBorder="1"/>
    <xf numFmtId="0" fontId="18" fillId="0" borderId="1" xfId="16" applyFont="1" applyBorder="1" applyAlignment="1">
      <alignment horizontal="center"/>
    </xf>
    <xf numFmtId="0" fontId="20" fillId="0" borderId="0" xfId="16" applyFont="1" applyAlignment="1">
      <alignment horizontal="center"/>
    </xf>
    <xf numFmtId="0" fontId="18" fillId="0" borderId="0" xfId="23" applyFont="1" applyFill="1" applyAlignment="1">
      <alignment horizontal="center"/>
    </xf>
    <xf numFmtId="0" fontId="18" fillId="0" borderId="0" xfId="16" quotePrefix="1" applyFont="1" applyAlignment="1">
      <alignment horizontal="center"/>
    </xf>
    <xf numFmtId="0" fontId="0" fillId="15" borderId="1" xfId="0" applyFont="1" applyFill="1" applyBorder="1" applyAlignment="1">
      <alignment horizontal="center"/>
    </xf>
    <xf numFmtId="0" fontId="0" fillId="0" borderId="1" xfId="0" applyFont="1" applyBorder="1" applyAlignment="1">
      <alignment horizontal="center"/>
    </xf>
    <xf numFmtId="0" fontId="20" fillId="0" borderId="0" xfId="16" applyFont="1" applyFill="1" applyBorder="1" applyAlignment="1">
      <alignment horizontal="center"/>
    </xf>
    <xf numFmtId="164" fontId="9" fillId="0" borderId="0" xfId="23" applyNumberFormat="1" applyFont="1" applyFill="1" applyAlignment="1">
      <alignment horizontal="center"/>
    </xf>
    <xf numFmtId="0" fontId="9" fillId="0" borderId="0" xfId="16" applyFont="1" applyFill="1" applyBorder="1" applyAlignment="1">
      <alignment horizontal="right"/>
    </xf>
    <xf numFmtId="164" fontId="9" fillId="0" borderId="0" xfId="12" applyNumberFormat="1" applyFont="1" applyFill="1" applyAlignment="1">
      <alignment horizontal="center"/>
    </xf>
    <xf numFmtId="0" fontId="0" fillId="0" borderId="1" xfId="0" applyFill="1" applyBorder="1"/>
    <xf numFmtId="0" fontId="18" fillId="0" borderId="1" xfId="16" applyNumberFormat="1" applyFont="1" applyFill="1" applyBorder="1" applyAlignment="1">
      <alignment horizontal="center"/>
    </xf>
    <xf numFmtId="1" fontId="20" fillId="0" borderId="0" xfId="16" applyNumberFormat="1" applyFont="1" applyFill="1" applyBorder="1" applyAlignment="1">
      <alignment horizontal="center"/>
    </xf>
    <xf numFmtId="0" fontId="9" fillId="0" borderId="38" xfId="6" applyFont="1" applyFill="1" applyBorder="1"/>
    <xf numFmtId="0" fontId="0" fillId="0" borderId="0" xfId="0" applyFill="1"/>
    <xf numFmtId="0" fontId="31" fillId="12" borderId="1" xfId="13" applyNumberFormat="1" applyFont="1" applyFill="1" applyBorder="1" applyAlignment="1">
      <alignment horizontal="center"/>
    </xf>
    <xf numFmtId="0" fontId="31" fillId="28" borderId="1" xfId="13" applyNumberFormat="1" applyFont="1" applyFill="1" applyBorder="1" applyAlignment="1">
      <alignment horizontal="center"/>
    </xf>
    <xf numFmtId="0" fontId="31" fillId="29" borderId="1" xfId="13" applyNumberFormat="1" applyFont="1" applyFill="1" applyBorder="1" applyAlignment="1">
      <alignment horizontal="center"/>
    </xf>
    <xf numFmtId="0" fontId="27" fillId="0" borderId="1" xfId="13" applyFont="1" applyBorder="1" applyAlignment="1"/>
    <xf numFmtId="0" fontId="27" fillId="0" borderId="1" xfId="13" applyNumberFormat="1" applyFont="1" applyFill="1" applyBorder="1" applyAlignment="1">
      <alignment horizontal="center"/>
    </xf>
    <xf numFmtId="0" fontId="24" fillId="0" borderId="1" xfId="13" applyFont="1" applyBorder="1" applyAlignment="1"/>
    <xf numFmtId="0" fontId="24" fillId="0" borderId="1" xfId="13" applyNumberFormat="1" applyFont="1" applyFill="1" applyBorder="1" applyAlignment="1">
      <alignment horizontal="center"/>
    </xf>
    <xf numFmtId="0" fontId="48" fillId="0" borderId="1" xfId="13" applyFont="1" applyBorder="1" applyAlignment="1"/>
    <xf numFmtId="0" fontId="48" fillId="0" borderId="1" xfId="13" applyNumberFormat="1" applyFont="1" applyFill="1" applyBorder="1" applyAlignment="1">
      <alignment horizontal="center"/>
    </xf>
    <xf numFmtId="0" fontId="18" fillId="5" borderId="8" xfId="13" applyFont="1" applyFill="1" applyBorder="1" applyAlignment="1">
      <alignment horizontal="center"/>
    </xf>
    <xf numFmtId="0" fontId="18" fillId="5" borderId="1" xfId="13" applyNumberFormat="1" applyFont="1" applyFill="1" applyBorder="1" applyAlignment="1">
      <alignment horizontal="center"/>
    </xf>
    <xf numFmtId="0" fontId="36" fillId="0" borderId="1" xfId="13" applyFont="1" applyFill="1" applyBorder="1" applyAlignment="1"/>
    <xf numFmtId="0" fontId="39" fillId="0" borderId="1" xfId="13" applyFont="1" applyFill="1" applyBorder="1" applyAlignment="1"/>
    <xf numFmtId="0" fontId="37" fillId="0" borderId="1" xfId="13" applyFont="1" applyFill="1" applyBorder="1" applyAlignment="1">
      <alignment horizontal="center"/>
    </xf>
    <xf numFmtId="0" fontId="62" fillId="0" borderId="1" xfId="13" applyFont="1" applyFill="1" applyBorder="1" applyAlignment="1">
      <alignment horizontal="center"/>
    </xf>
    <xf numFmtId="0" fontId="36" fillId="0" borderId="1" xfId="13" applyNumberFormat="1" applyFont="1" applyFill="1" applyBorder="1" applyAlignment="1">
      <alignment horizontal="center"/>
    </xf>
    <xf numFmtId="0" fontId="61" fillId="0" borderId="1" xfId="13" applyNumberFormat="1" applyFont="1" applyFill="1" applyBorder="1" applyAlignment="1">
      <alignment horizontal="center"/>
    </xf>
    <xf numFmtId="0" fontId="0" fillId="6" borderId="1" xfId="6" applyNumberFormat="1" applyFont="1" applyFill="1" applyBorder="1" applyAlignment="1"/>
    <xf numFmtId="49" fontId="0" fillId="6" borderId="1" xfId="0" applyNumberFormat="1" applyFont="1" applyFill="1" applyBorder="1" applyAlignment="1"/>
    <xf numFmtId="0" fontId="25" fillId="6" borderId="1" xfId="1" applyNumberFormat="1" applyFont="1" applyFill="1" applyBorder="1" applyAlignment="1"/>
    <xf numFmtId="0" fontId="9" fillId="6" borderId="1" xfId="0" applyNumberFormat="1" applyFont="1" applyFill="1" applyBorder="1" applyAlignment="1"/>
    <xf numFmtId="14" fontId="41" fillId="0" borderId="1" xfId="6" applyNumberFormat="1" applyFont="1" applyFill="1" applyBorder="1" applyAlignment="1"/>
    <xf numFmtId="49" fontId="41" fillId="0" borderId="1" xfId="0" applyNumberFormat="1" applyFont="1" applyFill="1" applyBorder="1" applyAlignment="1"/>
    <xf numFmtId="0" fontId="42" fillId="0" borderId="1" xfId="1" applyNumberFormat="1" applyFont="1" applyFill="1" applyBorder="1" applyAlignment="1"/>
    <xf numFmtId="49" fontId="18" fillId="0" borderId="1" xfId="0" applyNumberFormat="1" applyFont="1" applyFill="1" applyBorder="1" applyAlignment="1"/>
    <xf numFmtId="0" fontId="29" fillId="0" borderId="1" xfId="1" applyNumberFormat="1" applyFont="1" applyFill="1" applyBorder="1" applyAlignment="1"/>
    <xf numFmtId="49" fontId="18" fillId="0" borderId="1" xfId="6" applyNumberFormat="1" applyFont="1" applyFill="1" applyBorder="1" applyAlignment="1"/>
    <xf numFmtId="14" fontId="18" fillId="0" borderId="1" xfId="6" applyNumberFormat="1" applyFont="1" applyFill="1" applyBorder="1" applyAlignment="1"/>
    <xf numFmtId="49" fontId="18" fillId="4" borderId="1" xfId="0" applyNumberFormat="1" applyFont="1" applyFill="1" applyBorder="1" applyAlignment="1"/>
    <xf numFmtId="0" fontId="29" fillId="4" borderId="1" xfId="1" applyNumberFormat="1" applyFont="1" applyFill="1" applyBorder="1" applyAlignment="1"/>
    <xf numFmtId="49" fontId="18" fillId="4" borderId="1" xfId="6" applyNumberFormat="1" applyFont="1" applyFill="1" applyBorder="1" applyAlignment="1"/>
    <xf numFmtId="0" fontId="0" fillId="13" borderId="1" xfId="6" applyNumberFormat="1" applyFont="1" applyFill="1" applyBorder="1" applyAlignment="1"/>
    <xf numFmtId="49" fontId="9" fillId="13" borderId="1" xfId="0" applyNumberFormat="1" applyFont="1" applyFill="1" applyBorder="1" applyAlignment="1"/>
    <xf numFmtId="0" fontId="10" fillId="13" borderId="1" xfId="1" applyNumberFormat="1" applyFill="1" applyBorder="1" applyAlignment="1"/>
    <xf numFmtId="0" fontId="41" fillId="0" borderId="1" xfId="6" applyNumberFormat="1" applyFont="1" applyFill="1" applyBorder="1" applyAlignment="1"/>
    <xf numFmtId="49" fontId="41" fillId="0" borderId="1" xfId="6" applyNumberFormat="1" applyFont="1" applyFill="1" applyBorder="1" applyAlignment="1"/>
    <xf numFmtId="0" fontId="18" fillId="5" borderId="0" xfId="11" applyFont="1" applyFill="1" applyBorder="1" applyAlignment="1">
      <alignment horizontal="center"/>
    </xf>
    <xf numFmtId="0" fontId="26" fillId="0" borderId="0" xfId="11" applyFont="1" applyFill="1" applyBorder="1" applyAlignment="1"/>
    <xf numFmtId="0" fontId="9" fillId="0" borderId="1" xfId="11" applyFont="1" applyFill="1" applyBorder="1" applyAlignment="1">
      <alignment horizontal="center" textRotation="90"/>
    </xf>
    <xf numFmtId="164" fontId="20" fillId="0" borderId="1" xfId="9" applyNumberFormat="1" applyFont="1" applyFill="1" applyBorder="1" applyAlignment="1"/>
    <xf numFmtId="0" fontId="18" fillId="0" borderId="0" xfId="11" applyFont="1" applyFill="1" applyAlignment="1">
      <alignment horizontal="center"/>
    </xf>
    <xf numFmtId="0" fontId="20" fillId="0" borderId="1" xfId="8" applyFont="1" applyFill="1" applyBorder="1" applyAlignment="1"/>
    <xf numFmtId="164" fontId="20" fillId="9" borderId="1" xfId="9" applyNumberFormat="1" applyFont="1" applyFill="1" applyBorder="1" applyAlignment="1">
      <alignment horizontal="center"/>
    </xf>
    <xf numFmtId="164" fontId="20" fillId="0" borderId="1" xfId="9" applyNumberFormat="1" applyFont="1" applyFill="1" applyBorder="1" applyAlignment="1">
      <alignment horizontal="center"/>
    </xf>
    <xf numFmtId="0" fontId="30" fillId="5" borderId="78" xfId="13" applyFont="1" applyFill="1" applyBorder="1" applyAlignment="1"/>
    <xf numFmtId="0" fontId="30" fillId="5" borderId="85" xfId="13" applyFont="1" applyFill="1" applyBorder="1" applyAlignment="1"/>
    <xf numFmtId="0" fontId="9" fillId="0" borderId="1" xfId="11" applyFont="1" applyFill="1" applyBorder="1" applyAlignment="1"/>
    <xf numFmtId="0" fontId="0" fillId="0" borderId="1" xfId="11" applyFont="1" applyFill="1" applyBorder="1" applyAlignment="1"/>
    <xf numFmtId="0" fontId="0" fillId="9" borderId="1" xfId="11" applyFont="1" applyFill="1" applyBorder="1" applyAlignment="1"/>
    <xf numFmtId="0" fontId="18" fillId="0" borderId="1" xfId="11" applyFont="1" applyFill="1" applyBorder="1" applyAlignment="1">
      <alignment horizontal="center"/>
    </xf>
    <xf numFmtId="0" fontId="18" fillId="5" borderId="1" xfId="13" applyFont="1" applyFill="1" applyBorder="1" applyAlignment="1">
      <alignment horizontal="center"/>
    </xf>
    <xf numFmtId="0" fontId="20" fillId="5" borderId="1" xfId="13" applyFont="1" applyFill="1" applyBorder="1" applyAlignment="1"/>
    <xf numFmtId="1" fontId="38" fillId="0" borderId="1" xfId="13" applyNumberFormat="1" applyFont="1" applyFill="1" applyBorder="1" applyAlignment="1">
      <alignment horizontal="right"/>
    </xf>
    <xf numFmtId="0" fontId="0" fillId="5" borderId="3" xfId="13" applyFont="1" applyFill="1" applyBorder="1" applyAlignment="1"/>
    <xf numFmtId="0" fontId="0" fillId="0" borderId="9" xfId="13" applyFont="1" applyFill="1" applyBorder="1" applyAlignment="1"/>
    <xf numFmtId="0" fontId="40" fillId="5" borderId="8" xfId="13" applyFont="1" applyFill="1" applyBorder="1" applyAlignment="1">
      <alignment horizontal="center"/>
    </xf>
    <xf numFmtId="0" fontId="57" fillId="12" borderId="1" xfId="13" applyFont="1" applyFill="1" applyBorder="1" applyAlignment="1"/>
    <xf numFmtId="0" fontId="27" fillId="0" borderId="9" xfId="13" applyFont="1" applyFill="1" applyBorder="1" applyAlignment="1">
      <alignment horizontal="center"/>
    </xf>
    <xf numFmtId="0" fontId="24" fillId="0" borderId="1" xfId="13" applyFont="1" applyFill="1" applyBorder="1" applyAlignment="1">
      <alignment horizontal="center"/>
    </xf>
    <xf numFmtId="0" fontId="48" fillId="0" borderId="3" xfId="13" applyFont="1" applyFill="1" applyBorder="1" applyAlignment="1">
      <alignment horizontal="center"/>
    </xf>
    <xf numFmtId="0" fontId="20" fillId="20" borderId="1" xfId="13" applyFont="1" applyFill="1" applyBorder="1" applyAlignment="1">
      <alignment horizontal="center"/>
    </xf>
    <xf numFmtId="0" fontId="20" fillId="10" borderId="1" xfId="13" applyFont="1" applyFill="1" applyBorder="1" applyAlignment="1">
      <alignment horizontal="center"/>
    </xf>
    <xf numFmtId="0" fontId="2" fillId="0" borderId="78" xfId="13" applyFont="1" applyFill="1" applyBorder="1" applyAlignment="1">
      <alignment horizontal="right"/>
    </xf>
    <xf numFmtId="0" fontId="2" fillId="0" borderId="78" xfId="13" applyFont="1" applyBorder="1" applyAlignment="1">
      <alignment horizontal="center"/>
    </xf>
    <xf numFmtId="0" fontId="2" fillId="0" borderId="78" xfId="13" applyFont="1" applyFill="1" applyBorder="1" applyAlignment="1"/>
    <xf numFmtId="0" fontId="2" fillId="0" borderId="78" xfId="13" applyFont="1" applyBorder="1" applyAlignment="1"/>
    <xf numFmtId="0" fontId="56" fillId="0" borderId="1" xfId="1" applyNumberFormat="1" applyFont="1" applyFill="1" applyBorder="1" applyAlignment="1"/>
    <xf numFmtId="0" fontId="19" fillId="0" borderId="0" xfId="13" applyFont="1" applyBorder="1" applyAlignment="1"/>
    <xf numFmtId="0" fontId="0" fillId="11" borderId="0" xfId="10" applyFont="1" applyFill="1" applyBorder="1" applyAlignment="1">
      <alignment horizontal="center"/>
    </xf>
    <xf numFmtId="0" fontId="0" fillId="0" borderId="0" xfId="0" applyAlignment="1"/>
    <xf numFmtId="0" fontId="18" fillId="0" borderId="0" xfId="0" applyFont="1" applyAlignment="1"/>
    <xf numFmtId="0" fontId="27" fillId="4" borderId="1" xfId="13" applyNumberFormat="1" applyFont="1" applyFill="1" applyBorder="1" applyAlignment="1">
      <alignment horizontal="center"/>
    </xf>
    <xf numFmtId="0" fontId="24" fillId="4" borderId="1" xfId="13" applyNumberFormat="1" applyFont="1" applyFill="1" applyBorder="1" applyAlignment="1">
      <alignment horizontal="center"/>
    </xf>
    <xf numFmtId="0" fontId="48" fillId="4" borderId="1" xfId="13" applyNumberFormat="1" applyFont="1" applyFill="1" applyBorder="1" applyAlignment="1">
      <alignment horizontal="center"/>
    </xf>
    <xf numFmtId="0" fontId="27" fillId="5" borderId="1" xfId="13" applyNumberFormat="1" applyFont="1" applyFill="1" applyBorder="1" applyAlignment="1">
      <alignment horizontal="center"/>
    </xf>
    <xf numFmtId="0" fontId="24" fillId="5" borderId="1" xfId="13" applyNumberFormat="1" applyFont="1" applyFill="1" applyBorder="1" applyAlignment="1">
      <alignment horizontal="center"/>
    </xf>
    <xf numFmtId="0" fontId="48" fillId="5" borderId="1" xfId="13" applyNumberFormat="1" applyFont="1" applyFill="1" applyBorder="1" applyAlignment="1">
      <alignment horizontal="center"/>
    </xf>
    <xf numFmtId="0" fontId="27" fillId="6" borderId="1" xfId="13" applyNumberFormat="1" applyFont="1" applyFill="1" applyBorder="1" applyAlignment="1">
      <alignment horizontal="center"/>
    </xf>
    <xf numFmtId="0" fontId="24" fillId="6" borderId="1" xfId="13" applyNumberFormat="1" applyFont="1" applyFill="1" applyBorder="1" applyAlignment="1">
      <alignment horizontal="center"/>
    </xf>
    <xf numFmtId="0" fontId="48" fillId="6" borderId="1" xfId="13" applyNumberFormat="1" applyFont="1" applyFill="1" applyBorder="1" applyAlignment="1">
      <alignment horizontal="center"/>
    </xf>
    <xf numFmtId="0" fontId="23" fillId="12" borderId="65" xfId="13" applyFont="1" applyFill="1" applyBorder="1" applyAlignment="1"/>
    <xf numFmtId="0" fontId="23" fillId="12" borderId="6" xfId="13" applyFont="1" applyFill="1" applyBorder="1" applyAlignment="1"/>
    <xf numFmtId="0" fontId="23" fillId="12" borderId="7" xfId="13" applyFont="1" applyFill="1" applyBorder="1" applyAlignment="1"/>
    <xf numFmtId="0" fontId="9" fillId="0" borderId="0" xfId="13" applyFont="1" applyBorder="1" applyAlignment="1"/>
    <xf numFmtId="0" fontId="0" fillId="0" borderId="0" xfId="13" applyFont="1" applyBorder="1" applyAlignment="1">
      <alignment horizontal="center"/>
    </xf>
    <xf numFmtId="0" fontId="19" fillId="0" borderId="0" xfId="13" applyFont="1" applyBorder="1" applyAlignment="1">
      <alignment horizontal="center"/>
    </xf>
    <xf numFmtId="0" fontId="20" fillId="0" borderId="0" xfId="13" applyFont="1" applyBorder="1" applyAlignment="1">
      <alignment horizontal="center"/>
    </xf>
    <xf numFmtId="0" fontId="0" fillId="5" borderId="0" xfId="0" applyFont="1" applyFill="1"/>
    <xf numFmtId="0" fontId="9" fillId="0" borderId="13" xfId="9" applyFont="1" applyBorder="1" applyAlignment="1">
      <alignment horizontal="center"/>
    </xf>
    <xf numFmtId="0" fontId="9" fillId="0" borderId="1" xfId="9" applyFont="1" applyBorder="1" applyAlignment="1">
      <alignment horizontal="center"/>
    </xf>
    <xf numFmtId="0" fontId="9" fillId="0" borderId="49" xfId="9" applyFont="1" applyBorder="1" applyAlignment="1">
      <alignment horizontal="center"/>
    </xf>
    <xf numFmtId="0" fontId="9" fillId="0" borderId="12" xfId="9" applyFont="1" applyBorder="1" applyAlignment="1">
      <alignment horizontal="center"/>
    </xf>
    <xf numFmtId="0" fontId="9" fillId="0" borderId="100" xfId="9" applyFont="1" applyBorder="1" applyAlignment="1">
      <alignment horizontal="center"/>
    </xf>
    <xf numFmtId="0" fontId="9" fillId="0" borderId="87" xfId="9" applyFont="1" applyBorder="1" applyAlignment="1">
      <alignment horizontal="center"/>
    </xf>
    <xf numFmtId="0" fontId="9" fillId="0" borderId="85" xfId="9" applyFont="1" applyBorder="1" applyAlignment="1">
      <alignment horizontal="center"/>
    </xf>
    <xf numFmtId="0" fontId="9" fillId="0" borderId="9" xfId="9" applyFont="1" applyBorder="1" applyAlignment="1">
      <alignment horizontal="center"/>
    </xf>
    <xf numFmtId="0" fontId="0" fillId="0" borderId="83" xfId="0" applyFont="1" applyFill="1" applyBorder="1" applyAlignment="1">
      <alignment horizontal="center"/>
    </xf>
    <xf numFmtId="0" fontId="0" fillId="0" borderId="78" xfId="0" applyFont="1" applyFill="1" applyBorder="1" applyAlignment="1">
      <alignment horizontal="center"/>
    </xf>
    <xf numFmtId="0" fontId="0" fillId="0" borderId="85" xfId="0" applyFont="1" applyFill="1" applyBorder="1" applyAlignment="1">
      <alignment horizontal="center"/>
    </xf>
    <xf numFmtId="0" fontId="0" fillId="0" borderId="83" xfId="0" applyFont="1" applyBorder="1" applyAlignment="1">
      <alignment horizontal="center"/>
    </xf>
    <xf numFmtId="0" fontId="0" fillId="0" borderId="78" xfId="0" applyFont="1" applyBorder="1" applyAlignment="1">
      <alignment horizontal="center"/>
    </xf>
    <xf numFmtId="0" fontId="0" fillId="0" borderId="85" xfId="0" applyFont="1" applyBorder="1" applyAlignment="1">
      <alignment horizontal="center"/>
    </xf>
    <xf numFmtId="0" fontId="9" fillId="0" borderId="83" xfId="16" applyFont="1" applyFill="1" applyBorder="1" applyAlignment="1">
      <alignment horizontal="center"/>
    </xf>
    <xf numFmtId="0" fontId="9" fillId="0" borderId="78" xfId="16" applyFont="1" applyFill="1" applyBorder="1" applyAlignment="1">
      <alignment horizontal="center"/>
    </xf>
    <xf numFmtId="0" fontId="9" fillId="0" borderId="85" xfId="16" applyFont="1" applyFill="1" applyBorder="1" applyAlignment="1">
      <alignment horizontal="center"/>
    </xf>
    <xf numFmtId="0" fontId="0" fillId="15" borderId="83" xfId="0" applyFont="1" applyFill="1" applyBorder="1" applyAlignment="1">
      <alignment horizontal="center"/>
    </xf>
    <xf numFmtId="0" fontId="0" fillId="15" borderId="78" xfId="0" applyFont="1" applyFill="1" applyBorder="1" applyAlignment="1">
      <alignment horizontal="center"/>
    </xf>
    <xf numFmtId="0" fontId="0" fillId="15" borderId="85" xfId="0" applyFont="1" applyFill="1" applyBorder="1" applyAlignment="1">
      <alignment horizontal="center"/>
    </xf>
    <xf numFmtId="0" fontId="18" fillId="0" borderId="83" xfId="16" applyFont="1" applyBorder="1" applyAlignment="1">
      <alignment horizontal="center"/>
    </xf>
    <xf numFmtId="0" fontId="18" fillId="0" borderId="78" xfId="16" applyFont="1" applyBorder="1" applyAlignment="1">
      <alignment horizontal="center"/>
    </xf>
    <xf numFmtId="0" fontId="18" fillId="0" borderId="85" xfId="16" applyFont="1" applyBorder="1" applyAlignment="1">
      <alignment horizontal="center"/>
    </xf>
    <xf numFmtId="0" fontId="18" fillId="0" borderId="83" xfId="16" applyFont="1" applyFill="1" applyBorder="1" applyAlignment="1">
      <alignment horizontal="center"/>
    </xf>
    <xf numFmtId="0" fontId="18" fillId="0" borderId="78" xfId="16" applyFont="1" applyFill="1" applyBorder="1" applyAlignment="1">
      <alignment horizontal="center"/>
    </xf>
    <xf numFmtId="0" fontId="18" fillId="0" borderId="85" xfId="16" applyFont="1" applyFill="1" applyBorder="1" applyAlignment="1">
      <alignment horizontal="center"/>
    </xf>
    <xf numFmtId="0" fontId="18" fillId="0" borderId="83" xfId="0" applyFont="1" applyFill="1" applyBorder="1" applyAlignment="1">
      <alignment horizontal="center"/>
    </xf>
    <xf numFmtId="0" fontId="18" fillId="0" borderId="78" xfId="0" applyFont="1" applyFill="1" applyBorder="1" applyAlignment="1">
      <alignment horizontal="center"/>
    </xf>
    <xf numFmtId="0" fontId="18" fillId="0" borderId="85" xfId="0" applyFont="1" applyFill="1" applyBorder="1" applyAlignment="1">
      <alignment horizontal="center"/>
    </xf>
    <xf numFmtId="0" fontId="18" fillId="0" borderId="83" xfId="0" applyFont="1" applyBorder="1" applyAlignment="1">
      <alignment horizontal="center"/>
    </xf>
    <xf numFmtId="0" fontId="18" fillId="0" borderId="78" xfId="0" applyFont="1" applyBorder="1" applyAlignment="1">
      <alignment horizontal="center"/>
    </xf>
    <xf numFmtId="0" fontId="18" fillId="0" borderId="85" xfId="0" applyFont="1" applyBorder="1" applyAlignment="1">
      <alignment horizontal="center"/>
    </xf>
    <xf numFmtId="0" fontId="0" fillId="16" borderId="83" xfId="0" applyFont="1" applyFill="1" applyBorder="1" applyAlignment="1">
      <alignment horizontal="center"/>
    </xf>
    <xf numFmtId="0" fontId="0" fillId="16" borderId="78" xfId="0" applyFont="1" applyFill="1" applyBorder="1" applyAlignment="1">
      <alignment horizontal="center"/>
    </xf>
    <xf numFmtId="0" fontId="0" fillId="16" borderId="85" xfId="0" applyFont="1" applyFill="1" applyBorder="1" applyAlignment="1">
      <alignment horizontal="center"/>
    </xf>
  </cellXfs>
  <cellStyles count="34">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2 4" xfId="24"/>
    <cellStyle name="Normal 2 3" xfId="11"/>
    <cellStyle name="Normal 2 3 2" xfId="25"/>
    <cellStyle name="Normal 2 4" xfId="12"/>
    <cellStyle name="Normal 2 4 2" xfId="26"/>
    <cellStyle name="Normal 2 5" xfId="23"/>
    <cellStyle name="Normal 3" xfId="13"/>
    <cellStyle name="Normal 3 2" xfId="14"/>
    <cellStyle name="Normal 3 3" xfId="27"/>
    <cellStyle name="Normal 3 4" xfId="28"/>
    <cellStyle name="Normal 4" xfId="15"/>
    <cellStyle name="Normal 4 2" xfId="29"/>
    <cellStyle name="Normal 4 3" xfId="30"/>
    <cellStyle name="Normal 5" xfId="16"/>
    <cellStyle name="Normal 6" xfId="17"/>
    <cellStyle name="Normal 6 2" xfId="18"/>
    <cellStyle name="Normal 6 2 2" xfId="31"/>
    <cellStyle name="Normal 6 3" xfId="32"/>
    <cellStyle name="Normal 6 4" xfId="33"/>
    <cellStyle name="Normal 7" xfId="19"/>
    <cellStyle name="Normal 8" xfId="20"/>
    <cellStyle name="Normal 9" xfId="21"/>
    <cellStyle name="WinCalendar_BlankCells_35" xfId="22"/>
  </cellStyles>
  <dxfs count="18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patternType="none">
          <bgColor auto="1"/>
        </patternFill>
      </fill>
    </dxf>
    <dxf>
      <font>
        <b/>
        <i val="0"/>
        <color rgb="FFFF0000"/>
      </font>
    </dxf>
    <dxf>
      <font>
        <color rgb="FF00B050"/>
      </font>
    </dxf>
    <dxf>
      <font>
        <b/>
        <i val="0"/>
        <color rgb="FFFF000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ont>
        <b/>
        <i val="0"/>
        <color rgb="FFFF0000"/>
      </font>
    </dxf>
    <dxf>
      <font>
        <color rgb="FF00B050"/>
      </font>
    </dxf>
    <dxf>
      <font>
        <b/>
        <i val="0"/>
        <color rgb="FFFF000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rgb="FFFFFFCC"/>
        </patternFill>
      </fill>
    </dxf>
    <dxf>
      <font>
        <b/>
        <i val="0"/>
      </font>
      <fill>
        <patternFill patternType="none">
          <bgColor auto="1"/>
        </patternFill>
      </fill>
    </dxf>
    <dxf>
      <fill>
        <patternFill>
          <bgColor rgb="FFFF0000"/>
        </patternFill>
      </fill>
    </dxf>
    <dxf>
      <fill>
        <patternFill patternType="none">
          <bgColor auto="1"/>
        </patternFill>
      </fill>
    </dxf>
    <dxf>
      <fill>
        <patternFill>
          <bgColor theme="4" tint="0.59996337778862885"/>
        </patternFill>
      </fill>
    </dxf>
    <dxf>
      <fill>
        <patternFill>
          <bgColor rgb="FFFFFFCC"/>
        </patternFill>
      </fill>
    </dxf>
    <dxf>
      <font>
        <b/>
        <i val="0"/>
      </font>
      <fill>
        <patternFill patternType="none">
          <bgColor auto="1"/>
        </patternFill>
      </fill>
    </dxf>
    <dxf>
      <fill>
        <patternFill>
          <bgColor rgb="FFFF0000"/>
        </patternFill>
      </fill>
    </dxf>
    <dxf>
      <fill>
        <patternFill patternType="none">
          <bgColor auto="1"/>
        </patternFill>
      </fill>
    </dxf>
    <dxf>
      <fill>
        <patternFill>
          <bgColor theme="4" tint="0.59996337778862885"/>
        </patternFill>
      </fill>
    </dxf>
    <dxf>
      <fill>
        <patternFill>
          <bgColor rgb="FFFFFFCC"/>
        </patternFill>
      </fill>
    </dxf>
    <dxf>
      <font>
        <b/>
        <i val="0"/>
      </font>
      <fill>
        <patternFill patternType="none">
          <bgColor auto="1"/>
        </patternFill>
      </fill>
    </dxf>
    <dxf>
      <fill>
        <patternFill>
          <bgColor rgb="FFFF0000"/>
        </patternFill>
      </fill>
    </dxf>
    <dxf>
      <fill>
        <patternFill patternType="none">
          <bgColor auto="1"/>
        </patternFill>
      </fill>
    </dxf>
    <dxf>
      <fill>
        <patternFill>
          <bgColor theme="4" tint="0.59996337778862885"/>
        </patternFill>
      </fill>
    </dxf>
    <dxf>
      <fill>
        <patternFill>
          <bgColor rgb="FFFFFFCC"/>
        </patternFill>
      </fill>
    </dxf>
    <dxf>
      <font>
        <b/>
        <i val="0"/>
      </font>
      <fill>
        <patternFill patternType="none">
          <bgColor auto="1"/>
        </patternFill>
      </fill>
    </dxf>
    <dxf>
      <fill>
        <patternFill>
          <bgColor rgb="FFFF0000"/>
        </patternFill>
      </fill>
    </dxf>
    <dxf>
      <fill>
        <patternFill patternType="none">
          <bgColor auto="1"/>
        </patternFill>
      </fill>
    </dxf>
    <dxf>
      <fill>
        <patternFill>
          <bgColor theme="4" tint="0.59996337778862885"/>
        </patternFill>
      </fill>
    </dxf>
    <dxf>
      <fill>
        <patternFill>
          <bgColor rgb="FFFFFFCC"/>
        </patternFill>
      </fill>
    </dxf>
    <dxf>
      <font>
        <b/>
        <i val="0"/>
      </font>
      <fill>
        <patternFill patternType="none">
          <bgColor auto="1"/>
        </patternFill>
      </fill>
    </dxf>
    <dxf>
      <fill>
        <patternFill>
          <bgColor rgb="FFFF0000"/>
        </patternFill>
      </fill>
    </dxf>
    <dxf>
      <fill>
        <patternFill patternType="none">
          <bgColor auto="1"/>
        </patternFill>
      </fill>
    </dxf>
    <dxf>
      <fill>
        <patternFill>
          <bgColor theme="4" tint="0.59996337778862885"/>
        </patternFill>
      </fill>
    </dxf>
    <dxf>
      <font>
        <b/>
        <i val="0"/>
      </font>
    </dxf>
    <dxf>
      <font>
        <b/>
        <i val="0"/>
      </font>
    </dxf>
    <dxf>
      <fill>
        <patternFill patternType="none">
          <bgColor auto="1"/>
        </patternFill>
      </fill>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font>
        <color rgb="FF00B050"/>
      </font>
    </dxf>
    <dxf>
      <font>
        <b/>
        <i val="0"/>
        <color rgb="FFFF0000"/>
      </font>
    </dxf>
    <dxf>
      <font>
        <b/>
        <i val="0"/>
        <color rgb="FFFF000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ill>
        <patternFill>
          <bgColor theme="0" tint="-0.14996795556505021"/>
        </patternFill>
      </fill>
    </dxf>
    <dxf>
      <fill>
        <patternFill>
          <bgColor rgb="FFFFFF99"/>
        </patternFill>
      </fill>
    </dxf>
    <dxf>
      <font>
        <color rgb="FF9C0006"/>
      </font>
      <fill>
        <patternFill>
          <bgColor rgb="FFFFC7CE"/>
        </patternFill>
      </fill>
    </dxf>
    <dxf>
      <fill>
        <patternFill>
          <bgColor rgb="FFFFCC99"/>
        </patternFill>
      </fill>
    </dxf>
    <dxf>
      <font>
        <b/>
        <i val="0"/>
        <color rgb="FFFF000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ont>
        <color theme="0" tint="-0.14996795556505021"/>
      </font>
    </dxf>
    <dxf>
      <font>
        <b/>
        <i val="0"/>
      </font>
    </dxf>
    <dxf>
      <font>
        <b/>
        <i val="0"/>
      </font>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ill>
        <patternFill>
          <bgColor theme="0" tint="-4.9989318521683403E-2"/>
        </patternFill>
      </fill>
    </dxf>
    <dxf>
      <font>
        <b/>
        <i val="0"/>
      </font>
    </dxf>
    <dxf>
      <font>
        <b/>
        <i val="0"/>
      </font>
    </dxf>
    <dxf>
      <fill>
        <patternFill>
          <bgColor theme="0" tint="-0.14996795556505021"/>
        </patternFill>
      </fill>
    </dxf>
    <dxf>
      <fill>
        <patternFill>
          <bgColor rgb="FFFFFF99"/>
        </patternFill>
      </fill>
    </dxf>
    <dxf>
      <font>
        <color rgb="FF9C0006"/>
      </font>
      <fill>
        <patternFill>
          <bgColor rgb="FFFFC7CE"/>
        </patternFill>
      </fill>
    </dxf>
    <dxf>
      <fill>
        <patternFill>
          <bgColor rgb="FFFFCC99"/>
        </patternFill>
      </fill>
    </dxf>
    <dxf>
      <font>
        <b/>
        <i val="0"/>
        <color rgb="FFFF000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rgb="FFFFCCCC"/>
        </patternFill>
      </fill>
    </dxf>
    <dxf>
      <fill>
        <patternFill>
          <bgColor rgb="FFFFCCCC"/>
        </patternFill>
      </fill>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ill>
        <patternFill>
          <bgColor theme="0" tint="-0.14996795556505021"/>
        </patternFill>
      </fill>
    </dxf>
    <dxf>
      <fill>
        <patternFill>
          <bgColor rgb="FFFFFF99"/>
        </patternFill>
      </fill>
    </dxf>
    <dxf>
      <font>
        <color rgb="FF9C0006"/>
      </font>
      <fill>
        <patternFill>
          <bgColor rgb="FFFFC7CE"/>
        </patternFill>
      </fill>
    </dxf>
    <dxf>
      <fill>
        <patternFill>
          <bgColor rgb="FFFFCC99"/>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color rgb="FFFF0000"/>
      </font>
    </dxf>
    <dxf>
      <font>
        <b/>
        <i val="0"/>
      </font>
    </dxf>
    <dxf>
      <font>
        <b/>
        <i val="0"/>
      </font>
    </dxf>
    <dxf>
      <fill>
        <patternFill patternType="none">
          <bgColor auto="1"/>
        </patternFill>
      </fill>
    </dxf>
    <dxf>
      <font>
        <b/>
        <i val="0"/>
        <color rgb="FFFF0000"/>
      </font>
    </dxf>
    <dxf>
      <font>
        <color rgb="FF00B05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ill>
        <patternFill patternType="none">
          <bgColor auto="1"/>
        </patternFill>
      </fill>
    </dxf>
    <dxf>
      <font>
        <b/>
        <i val="0"/>
        <color rgb="FFFF0000"/>
      </font>
    </dxf>
    <dxf>
      <font>
        <b/>
        <i val="0"/>
        <color rgb="FFFF0000"/>
      </font>
    </dxf>
    <dxf>
      <font>
        <color rgb="FF00B050"/>
      </font>
    </dxf>
    <dxf>
      <font>
        <b/>
        <i val="0"/>
        <color rgb="FFFF0000"/>
      </font>
    </dxf>
    <dxf>
      <font>
        <b/>
        <i val="0"/>
        <color rgb="FFFF0000"/>
      </font>
    </dxf>
    <dxf>
      <font>
        <b/>
        <i val="0"/>
        <color rgb="FFFF0000"/>
      </font>
    </dxf>
    <dxf>
      <font>
        <b/>
        <i val="0"/>
        <color rgb="FFFF0000"/>
      </font>
    </dxf>
    <dxf>
      <font>
        <color rgb="FF00B050"/>
      </font>
    </dxf>
    <dxf>
      <font>
        <b/>
        <i val="0"/>
        <color rgb="FFFF000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ill>
        <patternFill patternType="none">
          <bgColor auto="1"/>
        </patternFill>
      </fill>
    </dxf>
    <dxf>
      <font>
        <b/>
        <i val="0"/>
        <color rgb="FFFF0000"/>
      </font>
    </dxf>
    <dxf>
      <font>
        <color rgb="FF00B05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color rgb="FFFF0000"/>
      </font>
    </dxf>
    <dxf>
      <font>
        <color rgb="FF00B05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ont>
        <b/>
        <i val="0"/>
        <color rgb="FFFF000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b/>
        <i val="0"/>
        <color rgb="FFFF0000"/>
      </font>
    </dxf>
    <dxf>
      <font>
        <color rgb="FFFF0000"/>
      </font>
    </dxf>
    <dxf>
      <font>
        <b/>
        <i val="0"/>
      </font>
    </dxf>
    <dxf>
      <font>
        <b/>
        <i val="0"/>
      </font>
    </dxf>
    <dxf>
      <font>
        <color rgb="FFFF0000"/>
      </font>
    </dxf>
    <dxf>
      <font>
        <color rgb="FF9C0006"/>
      </font>
      <fill>
        <patternFill>
          <bgColor rgb="FFFFC7CE"/>
        </patternFill>
      </fill>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b/>
        <i val="0"/>
        <color rgb="FFFF0000"/>
      </font>
    </dxf>
    <dxf>
      <font>
        <b/>
        <i val="0"/>
      </font>
    </dxf>
    <dxf>
      <font>
        <b/>
        <i val="0"/>
      </font>
    </dxf>
    <dxf>
      <font>
        <color rgb="FFFF0000"/>
      </font>
    </dxf>
    <dxf>
      <font>
        <b/>
        <i val="0"/>
      </font>
    </dxf>
    <dxf>
      <font>
        <color rgb="FFFF0000"/>
      </font>
    </dxf>
    <dxf>
      <font>
        <b/>
        <i val="0"/>
        <color rgb="FFFF000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FF0000"/>
      </font>
    </dxf>
    <dxf>
      <font>
        <color rgb="FFFF0000"/>
      </font>
    </dxf>
    <dxf>
      <font>
        <color rgb="FFFF0000"/>
      </font>
    </dxf>
    <dxf>
      <font>
        <b/>
        <i val="0"/>
      </font>
    </dxf>
    <dxf>
      <font>
        <b/>
        <i val="0"/>
      </font>
    </dxf>
    <dxf>
      <font>
        <b/>
        <i val="0"/>
      </font>
    </dxf>
    <dxf>
      <font>
        <b/>
        <i val="0"/>
      </font>
    </dxf>
    <dxf>
      <font>
        <b/>
        <i val="0"/>
      </font>
    </dxf>
    <dxf>
      <font>
        <b/>
        <i val="0"/>
      </font>
    </dxf>
    <dxf>
      <font>
        <color rgb="FFFF0000"/>
      </font>
    </dxf>
    <dxf>
      <font>
        <b/>
        <i val="0"/>
      </font>
    </dxf>
    <dxf>
      <font>
        <color rgb="FFFF0000"/>
      </font>
    </dxf>
    <dxf>
      <font>
        <b/>
        <i val="0"/>
        <color rgb="FFFF000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FF0000"/>
      </font>
    </dxf>
    <dxf>
      <font>
        <color rgb="FFFF0000"/>
      </font>
    </dxf>
    <dxf>
      <font>
        <color rgb="FFFF0000"/>
      </font>
    </dxf>
    <dxf>
      <font>
        <b/>
        <i val="0"/>
      </font>
    </dxf>
    <dxf>
      <font>
        <b/>
        <i val="0"/>
      </font>
    </dxf>
    <dxf>
      <font>
        <b/>
        <i val="0"/>
      </font>
    </dxf>
    <dxf>
      <font>
        <b/>
        <i val="0"/>
      </font>
    </dxf>
    <dxf>
      <font>
        <b/>
        <i val="0"/>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b/>
        <i val="0"/>
        <color rgb="FFFF0000"/>
      </font>
    </dxf>
    <dxf>
      <font>
        <b/>
        <i val="0"/>
        <color rgb="FFFF0000"/>
      </font>
    </dxf>
    <dxf>
      <font>
        <color rgb="FFFF0000"/>
      </font>
    </dxf>
    <dxf>
      <font>
        <b/>
        <i val="0"/>
      </font>
    </dxf>
    <dxf>
      <font>
        <color rgb="FFFF0000"/>
      </font>
    </dxf>
    <dxf>
      <font>
        <b/>
        <i val="0"/>
      </font>
    </dxf>
    <dxf>
      <font>
        <color rgb="FFFF0000"/>
      </font>
    </dxf>
    <dxf>
      <font>
        <b/>
        <i val="0"/>
      </font>
    </dxf>
    <dxf>
      <font>
        <b/>
        <i val="0"/>
      </font>
    </dxf>
    <dxf>
      <font>
        <b/>
        <i val="0"/>
        <color rgb="FFFF0000"/>
      </font>
    </dxf>
    <dxf>
      <font>
        <b/>
        <i val="0"/>
      </font>
    </dxf>
    <dxf>
      <font>
        <color rgb="FF9C0006"/>
      </font>
      <fill>
        <patternFill>
          <bgColor rgb="FFFFC7CE"/>
        </patternFill>
      </fill>
    </dxf>
    <dxf>
      <font>
        <b/>
        <i val="0"/>
      </font>
    </dxf>
    <dxf>
      <font>
        <color rgb="FFFF0000"/>
      </font>
    </dxf>
    <dxf>
      <font>
        <b/>
        <i val="0"/>
        <color rgb="FFFF0000"/>
      </font>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FF000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ont>
        <b/>
        <i val="0"/>
      </font>
    </dxf>
    <dxf>
      <fill>
        <patternFill>
          <bgColor theme="0" tint="-4.9989318521683403E-2"/>
        </patternFill>
      </fill>
    </dxf>
    <dxf>
      <fill>
        <patternFill patternType="none">
          <bgColor auto="1"/>
        </patternFill>
      </fill>
    </dxf>
    <dxf>
      <font>
        <b/>
        <i val="0"/>
        <color rgb="FFFF0000"/>
      </font>
    </dxf>
    <dxf>
      <font>
        <color rgb="FF00B050"/>
      </font>
    </dxf>
    <dxf>
      <font>
        <b/>
        <i val="0"/>
        <color rgb="FFFF0000"/>
      </font>
    </dxf>
    <dxf>
      <fill>
        <patternFill>
          <bgColor rgb="FFFFCC99"/>
        </patternFill>
      </fill>
    </dxf>
    <dxf>
      <fill>
        <patternFill>
          <bgColor theme="0" tint="-0.14996795556505021"/>
        </patternFill>
      </fill>
    </dxf>
    <dxf>
      <fill>
        <patternFill>
          <bgColor rgb="FFFFFF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b/>
        <i val="0"/>
      </font>
    </dxf>
    <dxf>
      <font>
        <b/>
        <i val="0"/>
      </font>
    </dxf>
    <dxf>
      <fill>
        <patternFill>
          <bgColor rgb="FFFFCCCC"/>
        </patternFill>
      </fill>
    </dxf>
    <dxf>
      <fill>
        <patternFill>
          <bgColor rgb="FFCCFFCC"/>
        </patternFill>
      </fill>
    </dxf>
    <dxf>
      <font>
        <color rgb="FF9C0006"/>
      </font>
      <fill>
        <patternFill>
          <bgColor rgb="FFFFC7CE"/>
        </patternFill>
      </fill>
    </dxf>
    <dxf>
      <font>
        <color rgb="FF0070C0"/>
      </font>
      <fill>
        <patternFill patternType="none">
          <bgColor auto="1"/>
        </patternFill>
      </fill>
    </dxf>
    <dxf>
      <font>
        <strike/>
        <color rgb="FF00B0F0"/>
      </font>
    </dxf>
    <dxf>
      <font>
        <strike/>
        <color rgb="FF00B0F0"/>
      </font>
    </dxf>
    <dxf>
      <font>
        <color rgb="FF9C0006"/>
      </font>
      <fill>
        <patternFill>
          <bgColor rgb="FFFFC7CE"/>
        </patternFill>
      </fill>
    </dxf>
    <dxf>
      <font>
        <color rgb="FFCC0000"/>
      </font>
    </dxf>
    <dxf>
      <fill>
        <patternFill>
          <bgColor rgb="FFCCFFCC"/>
        </patternFill>
      </fill>
    </dxf>
    <dxf>
      <font>
        <b/>
        <i val="0"/>
      </font>
    </dxf>
    <dxf>
      <font>
        <b val="0"/>
        <i/>
      </font>
    </dxf>
    <dxf>
      <font>
        <color rgb="FF0070C0"/>
      </font>
    </dxf>
    <dxf>
      <fill>
        <patternFill>
          <bgColor theme="2" tint="-9.9948118533890809E-2"/>
        </patternFill>
      </fill>
    </dxf>
    <dxf>
      <fill>
        <patternFill>
          <bgColor theme="7" tint="0.79998168889431442"/>
        </patternFill>
      </fill>
    </dxf>
    <dxf>
      <font>
        <color theme="0" tint="-0.14996795556505021"/>
      </font>
    </dxf>
    <dxf>
      <font>
        <color theme="9" tint="0.39994506668294322"/>
      </font>
    </dxf>
    <dxf>
      <font>
        <color theme="9" tint="0.39994506668294322"/>
      </font>
    </dxf>
    <dxf>
      <font>
        <color theme="9" tint="0.39994506668294322"/>
      </font>
    </dxf>
    <dxf>
      <font>
        <color rgb="FF0070C0"/>
      </font>
    </dxf>
    <dxf>
      <font>
        <b/>
        <i val="0"/>
        <color rgb="FFCC0000"/>
      </font>
    </dxf>
    <dxf>
      <font>
        <b/>
        <i val="0"/>
      </font>
    </dxf>
    <dxf>
      <font>
        <b/>
        <i val="0"/>
      </font>
    </dxf>
    <dxf>
      <font>
        <b/>
        <i val="0"/>
      </font>
    </dxf>
    <dxf>
      <font>
        <color theme="9" tint="0.39994506668294322"/>
      </font>
    </dxf>
    <dxf>
      <font>
        <color theme="0"/>
      </font>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ont>
        <b/>
        <i val="0"/>
      </font>
    </dxf>
    <dxf>
      <font>
        <color theme="9" tint="0.39994506668294322"/>
      </font>
    </dxf>
    <dxf>
      <font>
        <color theme="0"/>
      </font>
    </dxf>
    <dxf>
      <font>
        <b/>
        <i val="0"/>
        <color rgb="FFFF0000"/>
      </font>
    </dxf>
  </dxfs>
  <tableStyles count="0" defaultTableStyle="TableStyleMedium2" defaultPivotStyle="PivotStyleLight16"/>
  <colors>
    <mruColors>
      <color rgb="FFFFCC99"/>
      <color rgb="FFFFFF99"/>
      <color rgb="FFCC0000"/>
      <color rgb="FFFFFFCC"/>
      <color rgb="FFFFCCCC"/>
      <color rgb="FFCCFFCC"/>
      <color rgb="FF99CCFF"/>
      <color rgb="FFFF99FF"/>
      <color rgb="FF66FF66"/>
      <color rgb="FFE1F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121060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621462"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87685"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811584"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535484"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363007"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2"/>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40" name="Group 39"/>
        <xdr:cNvGrpSpPr>
          <a:grpSpLocks noChangeAspect="1"/>
        </xdr:cNvGrpSpPr>
      </xdr:nvGrpSpPr>
      <xdr:grpSpPr>
        <a:xfrm>
          <a:off x="1552611" y="905095"/>
          <a:ext cx="707187" cy="576000"/>
          <a:chOff x="1546061" y="855808"/>
          <a:chExt cx="601200" cy="648000"/>
        </a:xfrm>
      </xdr:grpSpPr>
      <xdr:sp macro="" textlink="">
        <xdr:nvSpPr>
          <xdr:cNvPr id="41"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2"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43" name="Group 42"/>
        <xdr:cNvGrpSpPr>
          <a:grpSpLocks noChangeAspect="1"/>
        </xdr:cNvGrpSpPr>
      </xdr:nvGrpSpPr>
      <xdr:grpSpPr>
        <a:xfrm>
          <a:off x="3173410" y="904318"/>
          <a:ext cx="535737" cy="576000"/>
          <a:chOff x="2989845" y="855809"/>
          <a:chExt cx="601200" cy="648000"/>
        </a:xfrm>
      </xdr:grpSpPr>
      <xdr:sp macro="" textlink="">
        <xdr:nvSpPr>
          <xdr:cNvPr id="44"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45"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46"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47"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48" name="Group 47"/>
        <xdr:cNvGrpSpPr>
          <a:grpSpLocks noChangeAspect="1"/>
        </xdr:cNvGrpSpPr>
      </xdr:nvGrpSpPr>
      <xdr:grpSpPr>
        <a:xfrm>
          <a:off x="3897309" y="904318"/>
          <a:ext cx="535737" cy="576000"/>
          <a:chOff x="3711740" y="855809"/>
          <a:chExt cx="601200" cy="648000"/>
        </a:xfrm>
      </xdr:grpSpPr>
      <xdr:sp macro="" textlink="">
        <xdr:nvSpPr>
          <xdr:cNvPr id="49"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50"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51"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52" name="Group 51"/>
        <xdr:cNvGrpSpPr>
          <a:grpSpLocks noChangeAspect="1"/>
        </xdr:cNvGrpSpPr>
      </xdr:nvGrpSpPr>
      <xdr:grpSpPr>
        <a:xfrm>
          <a:off x="4621209" y="904318"/>
          <a:ext cx="535737" cy="576000"/>
          <a:chOff x="4433634" y="855809"/>
          <a:chExt cx="601200" cy="648000"/>
        </a:xfrm>
      </xdr:grpSpPr>
      <xdr:sp macro="" textlink="">
        <xdr:nvSpPr>
          <xdr:cNvPr id="53"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54"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55" name="Group 54"/>
        <xdr:cNvGrpSpPr>
          <a:grpSpLocks noChangeAspect="1"/>
        </xdr:cNvGrpSpPr>
      </xdr:nvGrpSpPr>
      <xdr:grpSpPr>
        <a:xfrm>
          <a:off x="2448732" y="904319"/>
          <a:ext cx="535737" cy="576000"/>
          <a:chOff x="2267951" y="852923"/>
          <a:chExt cx="601200" cy="648000"/>
        </a:xfrm>
      </xdr:grpSpPr>
      <xdr:sp macro="" textlink="">
        <xdr:nvSpPr>
          <xdr:cNvPr id="56"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57"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58"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95250</xdr:colOff>
      <xdr:row>0</xdr:row>
      <xdr:rowOff>0</xdr:rowOff>
    </xdr:from>
    <xdr:to>
      <xdr:col>5</xdr:col>
      <xdr:colOff>190500</xdr:colOff>
      <xdr:row>1</xdr:row>
      <xdr:rowOff>157203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0"/>
          <a:ext cx="466725" cy="319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esti-reiting-201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end"/>
      <sheetName val="Üldreiting"/>
      <sheetName val="1"/>
      <sheetName val="2"/>
      <sheetName val="3"/>
      <sheetName val="4"/>
      <sheetName val="5"/>
      <sheetName val="6"/>
      <sheetName val="Kl-S"/>
      <sheetName val="7"/>
      <sheetName val="8"/>
      <sheetName val="9"/>
      <sheetName val="9b"/>
      <sheetName val="10"/>
      <sheetName val="11"/>
      <sheetName val="nalja"/>
      <sheetName val="Reg-Fin"/>
      <sheetName val="Juhend"/>
      <sheetName val="Üldjuhend"/>
      <sheetName val="Reg. karikas"/>
      <sheetName val="Klubide sari"/>
      <sheetName val="Klubide karikas"/>
      <sheetName val="6-8"/>
      <sheetName val="9-10"/>
      <sheetName val=".11"/>
      <sheetName val="12-16"/>
      <sheetName val="17-32"/>
      <sheetName val="ETAPP"/>
      <sheetName val="PUNKTID"/>
      <sheetName val="P-EV"/>
      <sheetName val="val"/>
    </sheetNames>
    <sheetDataSet>
      <sheetData sheetId="0" refreshError="1"/>
      <sheetData sheetId="1">
        <row r="4">
          <cell r="K4" t="str">
            <v xml:space="preserve"> </v>
          </cell>
          <cell r="L4" t="str">
            <v xml:space="preserve">vasak täht on </v>
          </cell>
        </row>
        <row r="5">
          <cell r="K5" t="str">
            <v xml:space="preserve"> </v>
          </cell>
          <cell r="L5" t="str">
            <v xml:space="preserve">25 punkti, </v>
          </cell>
        </row>
        <row r="6">
          <cell r="K6" t="str">
            <v xml:space="preserve"> </v>
          </cell>
          <cell r="L6" t="str">
            <v xml:space="preserve">järgmine </v>
          </cell>
        </row>
        <row r="7">
          <cell r="L7" t="str">
            <v>20 punkti jne</v>
          </cell>
        </row>
        <row r="8">
          <cell r="K8" t="str">
            <v>val1</v>
          </cell>
          <cell r="L8" t="str">
            <v>val 2</v>
          </cell>
        </row>
        <row r="9">
          <cell r="K9">
            <v>108</v>
          </cell>
          <cell r="L9" t="str">
            <v>0DAA000000000E</v>
          </cell>
        </row>
        <row r="10">
          <cell r="K10">
            <v>107</v>
          </cell>
          <cell r="L10" t="str">
            <v>0BCA0A0A00000C</v>
          </cell>
        </row>
        <row r="11">
          <cell r="K11">
            <v>102</v>
          </cell>
          <cell r="L11" t="str">
            <v>0B0D0B0A00000B</v>
          </cell>
        </row>
        <row r="12">
          <cell r="K12">
            <v>97</v>
          </cell>
          <cell r="L12" t="str">
            <v>0B0CAAC000000A</v>
          </cell>
        </row>
        <row r="13">
          <cell r="K13">
            <v>94.5</v>
          </cell>
          <cell r="L13" t="str">
            <v>C0A000000AA00E</v>
          </cell>
        </row>
        <row r="14">
          <cell r="K14">
            <v>92.5</v>
          </cell>
          <cell r="L14" t="str">
            <v>0BBA0A0000A00D</v>
          </cell>
        </row>
        <row r="15">
          <cell r="K15">
            <v>79.5</v>
          </cell>
          <cell r="L15" t="str">
            <v>0ABA0AA00AA00C</v>
          </cell>
        </row>
        <row r="16">
          <cell r="K16">
            <v>78</v>
          </cell>
          <cell r="L16" t="str">
            <v>0CA000000A000F</v>
          </cell>
        </row>
        <row r="17">
          <cell r="K17">
            <v>78</v>
          </cell>
          <cell r="L17" t="str">
            <v>00BBAAA0000B0B</v>
          </cell>
        </row>
        <row r="18">
          <cell r="K18">
            <v>76.5</v>
          </cell>
          <cell r="L18" t="str">
            <v>C000000000A00G</v>
          </cell>
        </row>
        <row r="19">
          <cell r="K19">
            <v>73</v>
          </cell>
          <cell r="L19" t="str">
            <v>0AB00B0A0A0B0B</v>
          </cell>
        </row>
        <row r="20">
          <cell r="K20">
            <v>61</v>
          </cell>
          <cell r="L20" t="str">
            <v>AA0A00000B000F</v>
          </cell>
        </row>
        <row r="21">
          <cell r="K21">
            <v>59</v>
          </cell>
          <cell r="L21" t="str">
            <v>0A0AA0B0BA000C</v>
          </cell>
        </row>
        <row r="22">
          <cell r="K22">
            <v>58</v>
          </cell>
          <cell r="L22" t="str">
            <v>00AAAAB00BA00B</v>
          </cell>
        </row>
        <row r="23">
          <cell r="K23">
            <v>58</v>
          </cell>
          <cell r="L23" t="str">
            <v>00AAAAB00BA00B</v>
          </cell>
        </row>
        <row r="24">
          <cell r="K24">
            <v>53</v>
          </cell>
          <cell r="L24" t="str">
            <v>00B00B0A0A0B0C</v>
          </cell>
        </row>
        <row r="25">
          <cell r="K25">
            <v>49</v>
          </cell>
          <cell r="L25" t="str">
            <v>AA00000A0000AG</v>
          </cell>
        </row>
        <row r="26">
          <cell r="K26">
            <v>49</v>
          </cell>
          <cell r="L26" t="str">
            <v>AA00000A0000AG</v>
          </cell>
        </row>
        <row r="27">
          <cell r="K27">
            <v>49</v>
          </cell>
          <cell r="L27" t="str">
            <v>00A0B0A0BB0A0B</v>
          </cell>
        </row>
        <row r="28">
          <cell r="K28">
            <v>49</v>
          </cell>
          <cell r="L28" t="str">
            <v>00A0B0A0BB0A0B</v>
          </cell>
        </row>
        <row r="29">
          <cell r="K29">
            <v>48</v>
          </cell>
          <cell r="L29" t="str">
            <v>00A0B0A0BA0C0A</v>
          </cell>
        </row>
        <row r="30">
          <cell r="K30">
            <v>44</v>
          </cell>
          <cell r="L30" t="str">
            <v>00AAA0A00A000F</v>
          </cell>
        </row>
        <row r="31">
          <cell r="K31">
            <v>43</v>
          </cell>
          <cell r="L31" t="str">
            <v>A000000C0C000D</v>
          </cell>
        </row>
        <row r="32">
          <cell r="K32">
            <v>37</v>
          </cell>
          <cell r="L32" t="str">
            <v>0000BB000B0A0D</v>
          </cell>
        </row>
        <row r="33">
          <cell r="K33">
            <v>37</v>
          </cell>
          <cell r="L33" t="str">
            <v>0000BB000B0A0D</v>
          </cell>
        </row>
        <row r="34">
          <cell r="K34">
            <v>36</v>
          </cell>
          <cell r="L34" t="str">
            <v>0AA0000000000D</v>
          </cell>
        </row>
        <row r="35">
          <cell r="K35">
            <v>32</v>
          </cell>
          <cell r="L35" t="str">
            <v>0A0A000000000D</v>
          </cell>
        </row>
        <row r="36">
          <cell r="K36">
            <v>32</v>
          </cell>
          <cell r="L36" t="str">
            <v>0A00A0000A0A0G</v>
          </cell>
        </row>
        <row r="37">
          <cell r="K37">
            <v>29</v>
          </cell>
          <cell r="L37" t="str">
            <v>A000000A00000D</v>
          </cell>
        </row>
        <row r="38">
          <cell r="K38">
            <v>25</v>
          </cell>
          <cell r="L38" t="str">
            <v>0000B0000C0A0E</v>
          </cell>
        </row>
        <row r="39">
          <cell r="K39">
            <v>25</v>
          </cell>
          <cell r="L39" t="str">
            <v>0000B0000C0A0E</v>
          </cell>
        </row>
        <row r="40">
          <cell r="K40">
            <v>23</v>
          </cell>
          <cell r="L40" t="str">
            <v>000A0A00A00A0G</v>
          </cell>
        </row>
        <row r="41">
          <cell r="K41">
            <v>23</v>
          </cell>
          <cell r="L41" t="str">
            <v>000000D00A0A0E</v>
          </cell>
        </row>
        <row r="42">
          <cell r="K42">
            <v>22</v>
          </cell>
          <cell r="L42" t="str">
            <v>0A0000000A000D</v>
          </cell>
        </row>
        <row r="43">
          <cell r="K43">
            <v>22</v>
          </cell>
          <cell r="L43" t="str">
            <v>000A0A000A0A0G</v>
          </cell>
        </row>
        <row r="44">
          <cell r="K44">
            <v>22</v>
          </cell>
          <cell r="L44" t="str">
            <v>000A000B0A000G</v>
          </cell>
        </row>
        <row r="45">
          <cell r="K45">
            <v>21</v>
          </cell>
          <cell r="L45" t="str">
            <v>0000A0AA0A0A0F</v>
          </cell>
        </row>
        <row r="46">
          <cell r="K46">
            <v>20</v>
          </cell>
          <cell r="L46" t="str">
            <v>0A00000000000E</v>
          </cell>
        </row>
        <row r="47">
          <cell r="K47">
            <v>20</v>
          </cell>
          <cell r="L47" t="str">
            <v>00A0000A00000D</v>
          </cell>
        </row>
        <row r="48">
          <cell r="K48">
            <v>20</v>
          </cell>
          <cell r="L48" t="str">
            <v>000A000B00000C</v>
          </cell>
        </row>
        <row r="49">
          <cell r="K49">
            <v>19</v>
          </cell>
          <cell r="L49" t="str">
            <v>0000000C0C0A0D</v>
          </cell>
        </row>
        <row r="50">
          <cell r="K50">
            <v>18</v>
          </cell>
          <cell r="L50" t="str">
            <v>000A000A0A000C</v>
          </cell>
        </row>
        <row r="51">
          <cell r="K51">
            <v>18</v>
          </cell>
          <cell r="L51" t="str">
            <v>0000AA000A000C</v>
          </cell>
        </row>
        <row r="52">
          <cell r="K52">
            <v>18</v>
          </cell>
          <cell r="L52" t="str">
            <v>0000AA000A000C</v>
          </cell>
        </row>
        <row r="53">
          <cell r="K53">
            <v>17</v>
          </cell>
          <cell r="L53" t="str">
            <v>000000BA0A0A0F</v>
          </cell>
        </row>
        <row r="54">
          <cell r="K54">
            <v>17</v>
          </cell>
          <cell r="L54" t="str">
            <v>000000B00B0C0D</v>
          </cell>
        </row>
        <row r="55">
          <cell r="K55">
            <v>16</v>
          </cell>
          <cell r="L55" t="str">
            <v>00A0000000000E</v>
          </cell>
        </row>
        <row r="56">
          <cell r="K56">
            <v>16</v>
          </cell>
          <cell r="L56" t="str">
            <v>00A0000000000E</v>
          </cell>
        </row>
        <row r="57">
          <cell r="K57">
            <v>16</v>
          </cell>
          <cell r="L57" t="str">
            <v>000A000A00000D</v>
          </cell>
        </row>
        <row r="58">
          <cell r="K58">
            <v>15</v>
          </cell>
          <cell r="L58" t="str">
            <v>00000AA00A0A0G</v>
          </cell>
        </row>
        <row r="59">
          <cell r="K59">
            <v>14</v>
          </cell>
          <cell r="L59" t="str">
            <v>000A00000A000D</v>
          </cell>
        </row>
        <row r="60">
          <cell r="K60">
            <v>13</v>
          </cell>
          <cell r="L60" t="str">
            <v>0000A00A00000D</v>
          </cell>
        </row>
        <row r="61">
          <cell r="K61">
            <v>13</v>
          </cell>
          <cell r="L61" t="str">
            <v>00000000BC0A0E</v>
          </cell>
        </row>
        <row r="62">
          <cell r="K62">
            <v>12</v>
          </cell>
          <cell r="L62" t="str">
            <v>000A000000000E</v>
          </cell>
        </row>
        <row r="63">
          <cell r="K63">
            <v>11</v>
          </cell>
          <cell r="L63" t="str">
            <v>0000A0000A000D</v>
          </cell>
        </row>
        <row r="64">
          <cell r="K64">
            <v>10</v>
          </cell>
          <cell r="L64" t="str">
            <v>00000A000A0A0C</v>
          </cell>
        </row>
        <row r="65">
          <cell r="K65">
            <v>10</v>
          </cell>
          <cell r="L65" t="str">
            <v>00000A000A0A0C</v>
          </cell>
        </row>
        <row r="66">
          <cell r="K66">
            <v>10</v>
          </cell>
          <cell r="L66" t="str">
            <v>00000000BB000G</v>
          </cell>
        </row>
        <row r="67">
          <cell r="K67">
            <v>9</v>
          </cell>
          <cell r="L67" t="str">
            <v>00000A000A000D</v>
          </cell>
        </row>
        <row r="68">
          <cell r="K68">
            <v>7.5</v>
          </cell>
          <cell r="L68" t="str">
            <v>0000000A0AA00C</v>
          </cell>
        </row>
        <row r="69">
          <cell r="K69">
            <v>7</v>
          </cell>
          <cell r="L69" t="str">
            <v>00000A0000000E</v>
          </cell>
        </row>
        <row r="70">
          <cell r="K70">
            <v>6</v>
          </cell>
          <cell r="L70" t="str">
            <v>000000000B0B0G</v>
          </cell>
        </row>
        <row r="71">
          <cell r="K71">
            <v>6</v>
          </cell>
          <cell r="L71" t="str">
            <v>000000000A0D0F</v>
          </cell>
        </row>
        <row r="72">
          <cell r="K72">
            <v>5</v>
          </cell>
          <cell r="L72" t="str">
            <v>000000A000000E</v>
          </cell>
        </row>
        <row r="73">
          <cell r="K73">
            <v>5</v>
          </cell>
          <cell r="L73" t="str">
            <v>0000000A000A0D</v>
          </cell>
        </row>
        <row r="74">
          <cell r="K74">
            <v>5</v>
          </cell>
          <cell r="L74" t="str">
            <v>000000000B0A0C</v>
          </cell>
        </row>
        <row r="75">
          <cell r="K75">
            <v>5</v>
          </cell>
          <cell r="L75" t="str">
            <v>000000000B0A0C</v>
          </cell>
        </row>
        <row r="76">
          <cell r="K76">
            <v>5</v>
          </cell>
          <cell r="L76" t="str">
            <v>000000000B0A0C</v>
          </cell>
        </row>
        <row r="77">
          <cell r="K77">
            <v>5</v>
          </cell>
          <cell r="L77" t="str">
            <v>000000000B0A0C</v>
          </cell>
        </row>
        <row r="78">
          <cell r="K78">
            <v>5</v>
          </cell>
          <cell r="L78" t="str">
            <v>000000000A0C0G</v>
          </cell>
        </row>
        <row r="79">
          <cell r="K79">
            <v>4</v>
          </cell>
          <cell r="L79" t="str">
            <v>0000000A00000E</v>
          </cell>
        </row>
        <row r="80">
          <cell r="K80">
            <v>4</v>
          </cell>
          <cell r="L80" t="str">
            <v>000000000B000D</v>
          </cell>
        </row>
        <row r="81">
          <cell r="K81">
            <v>4</v>
          </cell>
          <cell r="L81" t="str">
            <v>000000000B000D</v>
          </cell>
        </row>
        <row r="82">
          <cell r="K82">
            <v>4</v>
          </cell>
          <cell r="L82" t="str">
            <v>000000000B000D</v>
          </cell>
        </row>
        <row r="83">
          <cell r="K83">
            <v>3.5</v>
          </cell>
          <cell r="L83" t="str">
            <v>000000000AA00D</v>
          </cell>
        </row>
        <row r="84">
          <cell r="K84">
            <v>3</v>
          </cell>
          <cell r="L84" t="str">
            <v>000000000A0A0D</v>
          </cell>
        </row>
        <row r="85">
          <cell r="K85">
            <v>3</v>
          </cell>
          <cell r="L85" t="str">
            <v>000000000A0A0D</v>
          </cell>
        </row>
        <row r="86">
          <cell r="K86">
            <v>3</v>
          </cell>
          <cell r="L86" t="str">
            <v>000000000A0A0D</v>
          </cell>
        </row>
        <row r="87">
          <cell r="K87">
            <v>3</v>
          </cell>
          <cell r="L87" t="str">
            <v>000000000A0A0D</v>
          </cell>
        </row>
        <row r="88">
          <cell r="K88">
            <v>3</v>
          </cell>
          <cell r="L88" t="str">
            <v>000000000A0A0D</v>
          </cell>
        </row>
        <row r="89">
          <cell r="K89">
            <v>3</v>
          </cell>
          <cell r="L89" t="str">
            <v>000000000A0A0D</v>
          </cell>
        </row>
        <row r="90">
          <cell r="K90">
            <v>3</v>
          </cell>
          <cell r="L90" t="str">
            <v>00000000000C0C</v>
          </cell>
        </row>
        <row r="91">
          <cell r="K91">
            <v>2</v>
          </cell>
          <cell r="L91" t="str">
            <v>000000000A000E</v>
          </cell>
        </row>
        <row r="92">
          <cell r="K92">
            <v>2</v>
          </cell>
          <cell r="L92" t="str">
            <v>000000000A000E</v>
          </cell>
        </row>
        <row r="93">
          <cell r="K93">
            <v>2</v>
          </cell>
          <cell r="L93" t="str">
            <v>000000000A000E</v>
          </cell>
        </row>
        <row r="94">
          <cell r="K94">
            <v>2</v>
          </cell>
          <cell r="L94" t="str">
            <v>000000000A000E</v>
          </cell>
        </row>
        <row r="95">
          <cell r="K95">
            <v>2</v>
          </cell>
          <cell r="L95" t="str">
            <v>000000000A000E</v>
          </cell>
        </row>
        <row r="96">
          <cell r="K96">
            <v>2</v>
          </cell>
          <cell r="L96" t="str">
            <v>000000000A000E</v>
          </cell>
        </row>
        <row r="97">
          <cell r="K97">
            <v>2</v>
          </cell>
          <cell r="L97" t="str">
            <v>000000000A000E</v>
          </cell>
        </row>
        <row r="98">
          <cell r="K98">
            <v>2</v>
          </cell>
          <cell r="L98" t="str">
            <v>000000000A000E</v>
          </cell>
        </row>
        <row r="99">
          <cell r="K99">
            <v>2</v>
          </cell>
          <cell r="L99" t="str">
            <v>000000000A000E</v>
          </cell>
        </row>
        <row r="100">
          <cell r="K100">
            <v>2</v>
          </cell>
          <cell r="L100" t="str">
            <v>000000000A000E</v>
          </cell>
        </row>
        <row r="101">
          <cell r="K101">
            <v>2</v>
          </cell>
          <cell r="L101" t="str">
            <v>000000000A000E</v>
          </cell>
        </row>
        <row r="102">
          <cell r="K102">
            <v>1</v>
          </cell>
          <cell r="L102" t="str">
            <v>00000000000A0E</v>
          </cell>
        </row>
        <row r="103">
          <cell r="K103">
            <v>1</v>
          </cell>
          <cell r="L103" t="str">
            <v>00000000000A0E</v>
          </cell>
        </row>
        <row r="104">
          <cell r="K104">
            <v>1</v>
          </cell>
          <cell r="L104" t="str">
            <v>00000000000A0E</v>
          </cell>
        </row>
        <row r="105">
          <cell r="K105">
            <v>1</v>
          </cell>
          <cell r="L105" t="str">
            <v>00000000000A0E</v>
          </cell>
        </row>
        <row r="106">
          <cell r="K106">
            <v>1</v>
          </cell>
          <cell r="L106" t="str">
            <v>00000000000A0E</v>
          </cell>
        </row>
        <row r="107">
          <cell r="K107">
            <v>1</v>
          </cell>
          <cell r="L107" t="str">
            <v>00000000000A0E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35"/>
  <sheetViews>
    <sheetView showGridLines="0" showRowColHeaders="0" tabSelected="1" workbookViewId="0">
      <pane ySplit="4" topLeftCell="A5" activePane="bottomLeft" state="frozen"/>
      <selection activeCell="I1" sqref="I1"/>
      <selection pane="bottomLeft" activeCell="K1" sqref="K1"/>
    </sheetView>
  </sheetViews>
  <sheetFormatPr defaultRowHeight="12.75" x14ac:dyDescent="0.2"/>
  <cols>
    <col min="1" max="1" width="12.5703125" style="56" customWidth="1"/>
    <col min="2" max="2" width="6.5703125" style="56" customWidth="1"/>
    <col min="3" max="3" width="34.85546875" style="56" customWidth="1"/>
    <col min="4" max="4" width="14.140625" style="56" customWidth="1"/>
    <col min="5" max="5" width="4.7109375" style="56" customWidth="1"/>
    <col min="6" max="6" width="3.28515625" style="56" bestFit="1" customWidth="1"/>
    <col min="7" max="7" width="3.28515625" style="56" hidden="1" customWidth="1"/>
    <col min="8" max="8" width="30.140625" style="56" bestFit="1" customWidth="1"/>
    <col min="9" max="9" width="19.5703125" style="56" bestFit="1" customWidth="1"/>
    <col min="10" max="10" width="6.7109375" style="56" customWidth="1"/>
    <col min="11" max="11" width="5" style="56" bestFit="1" customWidth="1"/>
    <col min="12" max="16384" width="9.140625" style="56"/>
  </cols>
  <sheetData>
    <row r="1" spans="1:13" x14ac:dyDescent="0.2">
      <c r="B1" s="55" t="s">
        <v>708</v>
      </c>
      <c r="H1" s="915" t="s">
        <v>709</v>
      </c>
      <c r="I1" s="914" t="s">
        <v>960</v>
      </c>
    </row>
    <row r="2" spans="1:13" x14ac:dyDescent="0.2">
      <c r="A2" s="55"/>
      <c r="H2" s="73"/>
    </row>
    <row r="4" spans="1:13" x14ac:dyDescent="0.2">
      <c r="A4" s="57" t="s">
        <v>180</v>
      </c>
      <c r="B4" s="57" t="s">
        <v>181</v>
      </c>
      <c r="C4" s="57" t="s">
        <v>182</v>
      </c>
      <c r="D4" s="57" t="s">
        <v>183</v>
      </c>
      <c r="E4" s="57" t="s">
        <v>184</v>
      </c>
      <c r="F4" s="57"/>
      <c r="G4" s="57"/>
      <c r="H4" s="57" t="s">
        <v>185</v>
      </c>
      <c r="I4" s="57" t="s">
        <v>186</v>
      </c>
      <c r="J4" s="57" t="s">
        <v>509</v>
      </c>
      <c r="K4" s="57" t="s">
        <v>187</v>
      </c>
    </row>
    <row r="5" spans="1:13" x14ac:dyDescent="0.2">
      <c r="A5" s="135" t="s">
        <v>946</v>
      </c>
      <c r="B5" s="136"/>
      <c r="J5" s="58"/>
    </row>
    <row r="6" spans="1:13" s="59" customFormat="1" x14ac:dyDescent="0.2">
      <c r="A6" s="864" t="s">
        <v>710</v>
      </c>
      <c r="B6" s="865" t="s">
        <v>492</v>
      </c>
      <c r="C6" s="866" t="str">
        <f>HYPERLINK("http://www.petanque.ee/index.php?id=103777&amp;cid=551","14. Klubide karikas")</f>
        <v>14. Klubide karikas</v>
      </c>
      <c r="D6" s="867" t="s">
        <v>293</v>
      </c>
      <c r="E6" s="601"/>
      <c r="F6" s="601"/>
      <c r="G6" s="601"/>
      <c r="H6" s="543" t="str">
        <f>HYPERLINK("https://kaart.delfi.ee/?bookmark=b689229ade4d451c8b163ba93d860b0b","Voka")</f>
        <v>Voka</v>
      </c>
      <c r="I6" s="542" t="s">
        <v>191</v>
      </c>
      <c r="J6" s="479"/>
      <c r="K6" s="480">
        <v>84</v>
      </c>
    </row>
    <row r="7" spans="1:13" s="59" customFormat="1" x14ac:dyDescent="0.2">
      <c r="A7" s="864" t="s">
        <v>711</v>
      </c>
      <c r="B7" s="865" t="s">
        <v>492</v>
      </c>
      <c r="C7" s="866" t="str">
        <f>HYPERLINK("http://www.petanque.ee/index.php?id=103777&amp;cid=552","14. Klubide karikas")</f>
        <v>14. Klubide karikas</v>
      </c>
      <c r="D7" s="867" t="s">
        <v>293</v>
      </c>
      <c r="E7" s="601"/>
      <c r="F7" s="601"/>
      <c r="G7" s="601"/>
      <c r="H7" s="543" t="str">
        <f>HYPERLINK("https://kaart.delfi.ee/?bookmark=b689229ade4d451c8b163ba93d860b0b","Voka")</f>
        <v>Voka</v>
      </c>
      <c r="I7" s="542" t="s">
        <v>191</v>
      </c>
      <c r="J7" s="479"/>
      <c r="K7" s="480"/>
    </row>
    <row r="8" spans="1:13" x14ac:dyDescent="0.2">
      <c r="A8" s="868" t="s">
        <v>712</v>
      </c>
      <c r="B8" s="869" t="s">
        <v>492</v>
      </c>
      <c r="C8" s="870" t="str">
        <f>HYPERLINK("http://www.petanque.ee/index.php?id=103777&amp;cid=564","EM, MM katsevõistlused")</f>
        <v>EM, MM katsevõistlused</v>
      </c>
      <c r="D8" s="184" t="s">
        <v>190</v>
      </c>
      <c r="E8" s="544"/>
      <c r="F8" s="544"/>
      <c r="G8" s="544"/>
      <c r="H8" s="458" t="str">
        <f>HYPERLINK("http://kaart.delfi.ee//?bookmark=6e5907b77a1b1d76882ff264066d1116","Saku, Tallinna mnt 2")</f>
        <v>Saku, Tallinna mnt 2</v>
      </c>
      <c r="I8" s="184" t="s">
        <v>191</v>
      </c>
      <c r="J8" s="186">
        <v>30</v>
      </c>
      <c r="K8" s="187">
        <v>22</v>
      </c>
    </row>
    <row r="9" spans="1:13" x14ac:dyDescent="0.2">
      <c r="A9" s="868" t="s">
        <v>713</v>
      </c>
      <c r="B9" s="869" t="s">
        <v>492</v>
      </c>
      <c r="C9" s="870" t="str">
        <f>HYPERLINK("http://www.petanque.ee/index.php?id=103777&amp;cid=565","EM, MM katsevõistlused")</f>
        <v>EM, MM katsevõistlused</v>
      </c>
      <c r="D9" s="184"/>
      <c r="E9" s="544"/>
      <c r="F9" s="544"/>
      <c r="G9" s="544"/>
      <c r="H9" s="185" t="s">
        <v>7</v>
      </c>
      <c r="I9" s="184" t="s">
        <v>191</v>
      </c>
      <c r="J9" s="186">
        <v>30</v>
      </c>
      <c r="K9" s="187">
        <v>12</v>
      </c>
    </row>
    <row r="10" spans="1:13" x14ac:dyDescent="0.2">
      <c r="A10" s="878" t="s">
        <v>714</v>
      </c>
      <c r="B10" s="879" t="s">
        <v>493</v>
      </c>
      <c r="C10" s="880" t="str">
        <f>HYPERLINK("https://webzone.ee/petankt/tabelid/esl-2018.xlsx","ESVL veteranide (35+) MV")</f>
        <v>ESVL veteranide (35+) MV</v>
      </c>
      <c r="D10" s="443" t="s">
        <v>188</v>
      </c>
      <c r="E10" s="602"/>
      <c r="F10" s="602"/>
      <c r="G10" s="602"/>
      <c r="H10" s="545" t="str">
        <f>HYPERLINK("https://kaart.delfi.ee/?bookmark=b689229ade4d451c8b163ba93d860b0b","Voka")</f>
        <v>Voka</v>
      </c>
      <c r="I10" s="443" t="s">
        <v>195</v>
      </c>
      <c r="J10" s="444">
        <v>8</v>
      </c>
      <c r="K10" s="445">
        <v>79</v>
      </c>
      <c r="M10" s="59"/>
    </row>
    <row r="11" spans="1:13" x14ac:dyDescent="0.2">
      <c r="A11" s="135" t="s">
        <v>947</v>
      </c>
      <c r="B11" s="136"/>
      <c r="E11" s="212"/>
      <c r="F11" s="212"/>
      <c r="G11" s="212"/>
      <c r="J11" s="58"/>
      <c r="K11" s="60"/>
    </row>
    <row r="12" spans="1:13" x14ac:dyDescent="0.2">
      <c r="A12" s="501" t="s">
        <v>696</v>
      </c>
      <c r="B12" s="871" t="s">
        <v>492</v>
      </c>
      <c r="C12" s="872" t="str">
        <f>HYPERLINK("http://www.petanque.ee/index.php?id=103777&amp;cid=566","21. Eesti MV")</f>
        <v>21. Eesti MV</v>
      </c>
      <c r="D12" s="502" t="s">
        <v>198</v>
      </c>
      <c r="E12" s="503" t="str">
        <f>HYPERLINK("#1!G1","1")</f>
        <v>1</v>
      </c>
      <c r="F12" s="504"/>
      <c r="G12" s="505"/>
      <c r="H12" s="523" t="str">
        <f>HYPERLINK("http://kaart.delfi.ee/?bookmark=c3bc2d791932456b66ad8adb604010c1","Uuskalda (Läänemaa, Kärbla küla)")</f>
        <v>Uuskalda (Läänemaa, Kärbla küla)</v>
      </c>
      <c r="I12" s="502" t="s">
        <v>491</v>
      </c>
      <c r="J12" s="506">
        <v>8</v>
      </c>
      <c r="K12" s="507">
        <f>Üldreiting!U202</f>
        <v>36</v>
      </c>
    </row>
    <row r="13" spans="1:13" x14ac:dyDescent="0.2">
      <c r="A13" s="501" t="s">
        <v>697</v>
      </c>
      <c r="B13" s="871" t="s">
        <v>492</v>
      </c>
      <c r="C13" s="872" t="str">
        <f>HYPERLINK("http://www.petanque.ee/index.php?id=103777&amp;cid=567","Eesti reitinguvõistlus")</f>
        <v>Eesti reitinguvõistlus</v>
      </c>
      <c r="D13" s="501" t="s">
        <v>190</v>
      </c>
      <c r="E13" s="520" t="str">
        <f>HYPERLINK("#2!I1","2")</f>
        <v>2</v>
      </c>
      <c r="F13" s="521"/>
      <c r="G13" s="522"/>
      <c r="H13" s="523" t="str">
        <f>HYPERLINK("http://kaart.delfi.ee/?bookmark=c3bc2d791932456b66ad8adb604010c1","Uuskalda (Läänemaa, Kärbla küla)")</f>
        <v>Uuskalda (Läänemaa, Kärbla küla)</v>
      </c>
      <c r="I13" s="501" t="s">
        <v>491</v>
      </c>
      <c r="J13" s="506">
        <v>8</v>
      </c>
      <c r="K13" s="507">
        <f>Üldreiting!V202</f>
        <v>36</v>
      </c>
    </row>
    <row r="14" spans="1:13" x14ac:dyDescent="0.2">
      <c r="A14" s="512" t="s">
        <v>698</v>
      </c>
      <c r="B14" s="877" t="s">
        <v>492</v>
      </c>
      <c r="C14" s="876" t="str">
        <f>HYPERLINK("http://www.petanque.ee/index.php?id=103777&amp;cid=570","18. Eesti MV")</f>
        <v>18. Eesti MV</v>
      </c>
      <c r="D14" s="512" t="s">
        <v>193</v>
      </c>
      <c r="E14" s="528" t="str">
        <f>HYPERLINK("#3M!W1","3M")</f>
        <v>3M</v>
      </c>
      <c r="F14" s="529" t="str">
        <f>HYPERLINK("#3N!W1","3N")</f>
        <v>3N</v>
      </c>
      <c r="G14" s="529"/>
      <c r="H14" s="538" t="s">
        <v>699</v>
      </c>
      <c r="I14" s="517"/>
      <c r="J14" s="518">
        <v>8</v>
      </c>
      <c r="K14" s="519">
        <f ca="1">Üldreiting!W202</f>
        <v>28</v>
      </c>
    </row>
    <row r="15" spans="1:13" x14ac:dyDescent="0.2">
      <c r="A15" s="868" t="s">
        <v>715</v>
      </c>
      <c r="B15" s="869"/>
      <c r="C15" s="870" t="str">
        <f>HYPERLINK("http://www.petanque.ee/index.php?id=103777&amp;cid=568","EM, MM katsevõistlused")</f>
        <v>EM, MM katsevõistlused</v>
      </c>
      <c r="D15" s="184" t="s">
        <v>190</v>
      </c>
      <c r="E15" s="210"/>
      <c r="F15" s="214"/>
      <c r="G15" s="211"/>
      <c r="H15" s="185" t="s">
        <v>7</v>
      </c>
      <c r="I15" s="184" t="s">
        <v>191</v>
      </c>
      <c r="J15" s="186">
        <v>0</v>
      </c>
      <c r="K15" s="187"/>
      <c r="M15" s="59"/>
    </row>
    <row r="16" spans="1:13" x14ac:dyDescent="0.2">
      <c r="A16" s="868" t="s">
        <v>716</v>
      </c>
      <c r="B16" s="869"/>
      <c r="C16" s="870" t="str">
        <f>HYPERLINK("http://www.petanque.ee/index.php?id=103777&amp;cid=569","EM, MM katsevõistlused")</f>
        <v>EM, MM katsevõistlused</v>
      </c>
      <c r="D16" s="184" t="s">
        <v>190</v>
      </c>
      <c r="E16" s="210"/>
      <c r="F16" s="214"/>
      <c r="G16" s="211"/>
      <c r="H16" s="185" t="s">
        <v>7</v>
      </c>
      <c r="I16" s="184" t="s">
        <v>191</v>
      </c>
      <c r="J16" s="186">
        <v>0</v>
      </c>
      <c r="K16" s="187"/>
    </row>
    <row r="17" spans="1:13" x14ac:dyDescent="0.2">
      <c r="A17" s="135" t="s">
        <v>948</v>
      </c>
      <c r="B17" s="136"/>
      <c r="C17" s="61"/>
      <c r="D17" s="61"/>
      <c r="E17" s="62"/>
      <c r="F17" s="62"/>
      <c r="G17" s="62"/>
      <c r="H17" s="61"/>
      <c r="I17" s="61"/>
      <c r="J17" s="63"/>
      <c r="K17" s="60"/>
      <c r="M17" s="61"/>
    </row>
    <row r="18" spans="1:13" s="59" customFormat="1" x14ac:dyDescent="0.2">
      <c r="A18" s="501" t="s">
        <v>700</v>
      </c>
      <c r="B18" s="873" t="s">
        <v>492</v>
      </c>
      <c r="C18" s="913" t="str">
        <f>HYPERLINK("http://www.petanque.ee/index.php?id=103777&amp;cid=571","Eesti reitinguvõistlus")</f>
        <v>Eesti reitinguvõistlus</v>
      </c>
      <c r="D18" s="501" t="s">
        <v>190</v>
      </c>
      <c r="E18" s="540" t="str">
        <f>HYPERLINK("#4!G1","4")</f>
        <v>4</v>
      </c>
      <c r="F18" s="504"/>
      <c r="G18" s="505"/>
      <c r="H18" s="539" t="s">
        <v>699</v>
      </c>
      <c r="I18" s="501"/>
      <c r="J18" s="506">
        <v>8</v>
      </c>
      <c r="K18" s="507">
        <f>Üldreiting!AA202</f>
        <v>44</v>
      </c>
      <c r="M18" s="56"/>
    </row>
    <row r="19" spans="1:13" s="59" customFormat="1" x14ac:dyDescent="0.2">
      <c r="A19" s="517" t="s">
        <v>705</v>
      </c>
      <c r="B19" s="875" t="s">
        <v>492</v>
      </c>
      <c r="C19" s="876" t="str">
        <f>HYPERLINK("http://www.petanque.ee/index.php?id=103777&amp;cid=573","28. Eesti MV")</f>
        <v>28. Eesti MV</v>
      </c>
      <c r="D19" s="512" t="s">
        <v>189</v>
      </c>
      <c r="E19" s="524" t="str">
        <f>HYPERLINK("#5!G1","5")</f>
        <v>5</v>
      </c>
      <c r="F19" s="514"/>
      <c r="G19" s="515"/>
      <c r="H19" s="516" t="str">
        <f>HYPERLINK("http://kaart.delfi.ee/?bookmark=037591353bf9698628b723dab6c5e799","Valga, Metsa")</f>
        <v>Valga, Metsa</v>
      </c>
      <c r="I19" s="512"/>
      <c r="J19" s="518">
        <v>8</v>
      </c>
      <c r="K19" s="519">
        <f>Üldreiting!AB202</f>
        <v>50</v>
      </c>
      <c r="M19" s="56"/>
    </row>
    <row r="20" spans="1:13" x14ac:dyDescent="0.2">
      <c r="A20" s="512" t="s">
        <v>701</v>
      </c>
      <c r="B20" s="877" t="s">
        <v>492</v>
      </c>
      <c r="C20" s="876" t="str">
        <f>HYPERLINK("http://www.petanque.ee/index.php?id=103777&amp;cid=574","13. Eesti MV")</f>
        <v>13. Eesti MV</v>
      </c>
      <c r="D20" s="512" t="s">
        <v>197</v>
      </c>
      <c r="E20" s="524" t="str">
        <f>HYPERLINK("#6!G1","6")</f>
        <v>6</v>
      </c>
      <c r="F20" s="514"/>
      <c r="G20" s="515"/>
      <c r="H20" s="516" t="str">
        <f>HYPERLINK("http://kaart.delfi.ee//?bookmark=686832392e49d2a003b52e6ed2157288","Tallinn, Rummu tee 3")</f>
        <v>Tallinn, Rummu tee 3</v>
      </c>
      <c r="I20" s="512" t="s">
        <v>194</v>
      </c>
      <c r="J20" s="518">
        <v>8</v>
      </c>
      <c r="K20" s="519">
        <f>Üldreiting!AC202</f>
        <v>33</v>
      </c>
      <c r="L20" s="59"/>
    </row>
    <row r="21" spans="1:13" s="59" customFormat="1" x14ac:dyDescent="0.2">
      <c r="A21" s="501" t="s">
        <v>702</v>
      </c>
      <c r="B21" s="873" t="s">
        <v>492</v>
      </c>
      <c r="C21" s="872" t="str">
        <f>HYPERLINK("http://www.petanque.ee/index.php?id=103777&amp;cid=575","Eesti reitinguvõistlus")</f>
        <v>Eesti reitinguvõistlus</v>
      </c>
      <c r="D21" s="502" t="s">
        <v>189</v>
      </c>
      <c r="E21" s="541" t="str">
        <f>HYPERLINK("#7!G1","7")</f>
        <v>7</v>
      </c>
      <c r="F21" s="521"/>
      <c r="G21" s="522"/>
      <c r="H21" s="523" t="str">
        <f>HYPERLINK("http://kaart.delfi.ee//?bookmark=686832392e49d2a003b52e6ed2157288","Tallinn, Rummu tee 3")</f>
        <v>Tallinn, Rummu tee 3</v>
      </c>
      <c r="I21" s="501" t="s">
        <v>194</v>
      </c>
      <c r="J21" s="506">
        <v>8</v>
      </c>
      <c r="K21" s="507">
        <f>Üldreiting!AD202</f>
        <v>31</v>
      </c>
      <c r="M21" s="56"/>
    </row>
    <row r="22" spans="1:13" x14ac:dyDescent="0.2">
      <c r="A22" s="135" t="s">
        <v>949</v>
      </c>
      <c r="B22" s="136"/>
      <c r="E22" s="212"/>
      <c r="F22" s="212"/>
      <c r="G22" s="212"/>
      <c r="J22" s="58"/>
      <c r="K22" s="60"/>
    </row>
    <row r="23" spans="1:13" s="59" customFormat="1" x14ac:dyDescent="0.2">
      <c r="A23" s="874" t="s">
        <v>703</v>
      </c>
      <c r="B23" s="873" t="s">
        <v>561</v>
      </c>
      <c r="C23" s="872" t="str">
        <f>HYPERLINK("http://www.petanque.ee/index.php?id=103777&amp;cid=580","28. Eesti MV")</f>
        <v>28. Eesti MV</v>
      </c>
      <c r="D23" s="501" t="s">
        <v>188</v>
      </c>
      <c r="E23" s="524" t="str">
        <f>HYPERLINK("#8M!G1","8M")</f>
        <v>8M</v>
      </c>
      <c r="F23" s="525" t="str">
        <f>HYPERLINK("#8N!G1","8N")</f>
        <v>8N</v>
      </c>
      <c r="G23" s="526"/>
      <c r="H23" s="527" t="str">
        <f>HYPERLINK("http://kaart.delfi.ee/?bookmark=4c0b1b0c24ff9f4919899a9546bf50f1","Jõhvi, Neptun")</f>
        <v>Jõhvi, Neptun</v>
      </c>
      <c r="I23" s="517" t="s">
        <v>632</v>
      </c>
      <c r="J23" s="518">
        <v>8</v>
      </c>
      <c r="K23" s="519">
        <f>Üldreiting!AE202</f>
        <v>35</v>
      </c>
      <c r="M23" s="56"/>
    </row>
    <row r="24" spans="1:13" s="59" customFormat="1" x14ac:dyDescent="0.2">
      <c r="A24" s="501" t="s">
        <v>704</v>
      </c>
      <c r="B24" s="873" t="s">
        <v>492</v>
      </c>
      <c r="C24" s="872" t="str">
        <f>HYPERLINK("http://www.petanque.ee/index.php?id=103777&amp;cid=581","Eesti reitinguvõistlus, 4. Viru karikas")</f>
        <v>Eesti reitinguvõistlus, 4. Viru karikas</v>
      </c>
      <c r="D24" s="502" t="s">
        <v>189</v>
      </c>
      <c r="E24" s="541" t="str">
        <f>HYPERLINK("#9!G1","9")</f>
        <v>9</v>
      </c>
      <c r="F24" s="521"/>
      <c r="G24" s="522"/>
      <c r="H24" s="523" t="str">
        <f>HYPERLINK("http://kaart.delfi.ee/?bookmark=521b80d6ceeefbe3e5d227267242b576","Kohtla-Järve, Järveküla tee 44")</f>
        <v>Kohtla-Järve, Järveküla tee 44</v>
      </c>
      <c r="I24" s="501" t="s">
        <v>632</v>
      </c>
      <c r="J24" s="506">
        <v>8</v>
      </c>
      <c r="K24" s="507">
        <f>Üldreiting!AI202</f>
        <v>36</v>
      </c>
    </row>
    <row r="25" spans="1:13" x14ac:dyDescent="0.2">
      <c r="A25" s="501" t="s">
        <v>706</v>
      </c>
      <c r="B25" s="873" t="s">
        <v>492</v>
      </c>
      <c r="C25" s="872" t="str">
        <f>HYPERLINK("http://www.petanque.ee/index.php?id=103777&amp;cid=587","Eesti reitinguvõistlus")</f>
        <v>Eesti reitinguvõistlus</v>
      </c>
      <c r="D25" s="502" t="s">
        <v>190</v>
      </c>
      <c r="E25" s="540" t="str">
        <f>HYPERLINK("#10!G1","10")</f>
        <v>10</v>
      </c>
      <c r="F25" s="504"/>
      <c r="G25" s="505"/>
      <c r="H25" s="501" t="s">
        <v>707</v>
      </c>
      <c r="I25" s="501"/>
      <c r="J25" s="506">
        <v>8</v>
      </c>
      <c r="K25" s="507">
        <f>Üldreiting!AJ202</f>
        <v>39</v>
      </c>
      <c r="L25" s="59"/>
    </row>
    <row r="26" spans="1:13" x14ac:dyDescent="0.2">
      <c r="A26" s="135" t="s">
        <v>950</v>
      </c>
      <c r="B26" s="508"/>
      <c r="C26" s="55"/>
      <c r="D26" s="55"/>
      <c r="E26" s="509"/>
      <c r="F26" s="509"/>
      <c r="G26" s="509"/>
      <c r="H26" s="55"/>
      <c r="I26" s="55"/>
      <c r="J26" s="510"/>
      <c r="K26" s="511"/>
      <c r="L26" s="59"/>
    </row>
    <row r="27" spans="1:13" x14ac:dyDescent="0.2">
      <c r="A27" s="881" t="s">
        <v>944</v>
      </c>
      <c r="B27" s="882"/>
      <c r="C27" s="870" t="str">
        <f>HYPERLINK("http://www.petanque.ee/index.php?id=103777&amp;cid=621","25. Eesti-Soome maavõistlus")</f>
        <v>25. Eesti-Soome maavõistlus</v>
      </c>
      <c r="D27" s="881" t="s">
        <v>687</v>
      </c>
      <c r="E27" s="210"/>
      <c r="F27" s="215"/>
      <c r="G27" s="213"/>
      <c r="H27" s="458" t="s">
        <v>945</v>
      </c>
      <c r="I27" s="184"/>
      <c r="J27" s="186"/>
      <c r="K27" s="187"/>
      <c r="L27" s="59"/>
    </row>
    <row r="28" spans="1:13" s="59" customFormat="1" x14ac:dyDescent="0.2">
      <c r="A28" s="501" t="s">
        <v>735</v>
      </c>
      <c r="B28" s="873" t="s">
        <v>492</v>
      </c>
      <c r="C28" s="872" t="str">
        <f>HYPERLINK("http://www.petanque.ee/index.php?id=103777&amp;cid=622","27. Eesti MV")</f>
        <v>27. Eesti MV</v>
      </c>
      <c r="D28" s="501" t="s">
        <v>190</v>
      </c>
      <c r="E28" s="513" t="str">
        <f>HYPERLINK("#11!G1","11")</f>
        <v>11</v>
      </c>
      <c r="F28" s="514"/>
      <c r="G28" s="515"/>
      <c r="H28" s="516" t="str">
        <f>HYPERLINK("http://kaart.delfi.ee//?bookmark=36ee67ba7cba151859305c222805d114","Saku, Teaduse 2")</f>
        <v>Saku, Teaduse 2</v>
      </c>
      <c r="I28" s="517" t="s">
        <v>490</v>
      </c>
      <c r="J28" s="518">
        <v>8</v>
      </c>
      <c r="K28" s="519">
        <f>Üldreiting!AK202</f>
        <v>57</v>
      </c>
    </row>
    <row r="29" spans="1:13" x14ac:dyDescent="0.2">
      <c r="A29" s="501" t="s">
        <v>736</v>
      </c>
      <c r="B29" s="873" t="s">
        <v>492</v>
      </c>
      <c r="C29" s="872" t="str">
        <f>HYPERLINK("http://www.petanque.ee/index.php?id=103777&amp;cid=623","Eesti reitinguvõistlus")</f>
        <v>Eesti reitinguvõistlus</v>
      </c>
      <c r="D29" s="502" t="s">
        <v>189</v>
      </c>
      <c r="E29" s="540" t="str">
        <f>HYPERLINK("#12!G1","12")</f>
        <v>12</v>
      </c>
      <c r="F29" s="504"/>
      <c r="G29" s="505"/>
      <c r="H29" s="523" t="str">
        <f>HYPERLINK("http://kaart.delfi.ee//?bookmark=36ee67ba7cba151859305c222805d114","Saku, Teaduse 2")</f>
        <v>Saku, Teaduse 2</v>
      </c>
      <c r="I29" s="502" t="s">
        <v>490</v>
      </c>
      <c r="J29" s="506">
        <v>8</v>
      </c>
      <c r="K29" s="507">
        <f>Üldreiting!AL202</f>
        <v>56</v>
      </c>
      <c r="L29" s="59"/>
    </row>
    <row r="30" spans="1:13" x14ac:dyDescent="0.2">
      <c r="L30" s="59"/>
    </row>
    <row r="31" spans="1:13" s="59" customFormat="1" x14ac:dyDescent="0.2">
      <c r="A31" s="2" t="s">
        <v>489</v>
      </c>
      <c r="B31" s="66"/>
      <c r="C31" s="66"/>
      <c r="J31" s="64"/>
    </row>
    <row r="32" spans="1:13" x14ac:dyDescent="0.2">
      <c r="A32" s="65" t="s">
        <v>192</v>
      </c>
      <c r="K32" s="197" t="s">
        <v>317</v>
      </c>
      <c r="L32" s="59"/>
    </row>
    <row r="33" spans="12:12" x14ac:dyDescent="0.2">
      <c r="L33" s="59"/>
    </row>
    <row r="34" spans="12:12" x14ac:dyDescent="0.2">
      <c r="L34" s="59"/>
    </row>
    <row r="35" spans="12:12" x14ac:dyDescent="0.2">
      <c r="L35" s="55"/>
    </row>
  </sheetData>
  <autoFilter ref="A4:J26"/>
  <conditionalFormatting sqref="K6:K29">
    <cfRule type="top10" dxfId="1869" priority="15376" rank="1"/>
  </conditionalFormatting>
  <printOptions horizontalCentered="1"/>
  <pageMargins left="0.39370078740157483" right="0.39370078740157483" top="0.98425196850393704" bottom="0.39370078740157483" header="0.78740157480314965" footer="0"/>
  <pageSetup paperSize="9" fitToHeight="0" orientation="landscape"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R204"/>
  <sheetViews>
    <sheetView showGridLines="0" showRowColHeaders="0" zoomScaleNormal="100" workbookViewId="0">
      <pane ySplit="8" topLeftCell="A9" activePane="bottomLeft" state="frozen"/>
      <selection pane="bottomLeft" activeCell="T1" sqref="T1"/>
    </sheetView>
  </sheetViews>
  <sheetFormatPr defaultRowHeight="12.75" x14ac:dyDescent="0.2"/>
  <cols>
    <col min="1" max="1" width="4" style="4" customWidth="1"/>
    <col min="2" max="2" width="6.7109375" style="4" hidden="1" customWidth="1"/>
    <col min="3" max="3" width="3" style="4" customWidth="1"/>
    <col min="4" max="4" width="6.7109375" style="4" hidden="1" customWidth="1"/>
    <col min="5" max="5" width="3" style="4" customWidth="1"/>
    <col min="6" max="6" width="6.7109375" style="4" hidden="1" customWidth="1"/>
    <col min="7" max="7" width="4" style="4" customWidth="1"/>
    <col min="8" max="8" width="18.5703125" style="4" customWidth="1"/>
    <col min="9" max="9" width="2.28515625" style="4" hidden="1" customWidth="1"/>
    <col min="10" max="12" width="1.85546875" style="4" hidden="1" customWidth="1"/>
    <col min="13" max="14" width="5.7109375" style="2" customWidth="1"/>
    <col min="15" max="15" width="4" style="2" bestFit="1" customWidth="1"/>
    <col min="16" max="16" width="7" style="887" hidden="1" customWidth="1"/>
    <col min="17" max="17" width="7.140625" style="887" hidden="1" customWidth="1"/>
    <col min="18" max="18" width="11.7109375" style="887" hidden="1" customWidth="1"/>
    <col min="19" max="19" width="11" style="887" hidden="1" customWidth="1"/>
    <col min="20" max="20" width="4.7109375" style="4" customWidth="1"/>
    <col min="21" max="22" width="4.5703125" style="3" customWidth="1"/>
    <col min="23" max="25" width="4" style="4" customWidth="1"/>
    <col min="26" max="26" width="3.7109375" style="4" hidden="1" customWidth="1"/>
    <col min="27" max="28" width="4.5703125" style="3" customWidth="1"/>
    <col min="29" max="29" width="4.5703125" style="4" customWidth="1"/>
    <col min="30" max="30" width="4.5703125" style="3" customWidth="1"/>
    <col min="31" max="33" width="4" style="3" customWidth="1"/>
    <col min="34" max="34" width="3.7109375" style="3" hidden="1" customWidth="1"/>
    <col min="35" max="35" width="4.5703125" style="3" customWidth="1"/>
    <col min="36" max="36" width="4.5703125" style="4" customWidth="1"/>
    <col min="37" max="37" width="4.5703125" style="3" customWidth="1"/>
    <col min="38" max="38" width="4.5703125" style="4" customWidth="1"/>
    <col min="39" max="39" width="3" style="4" customWidth="1"/>
    <col min="40" max="41" width="3.42578125" style="4" customWidth="1"/>
    <col min="42" max="42" width="5" style="4" customWidth="1"/>
    <col min="43" max="43" width="13.140625" style="4" hidden="1" customWidth="1"/>
    <col min="44" max="44" width="12.7109375" style="4" hidden="1" customWidth="1"/>
    <col min="45" max="45" width="14.42578125" style="4" bestFit="1" customWidth="1"/>
    <col min="46" max="16384" width="9.140625" style="4"/>
  </cols>
  <sheetData>
    <row r="1" spans="1:44" x14ac:dyDescent="0.2">
      <c r="A1" s="1"/>
      <c r="B1" s="594"/>
      <c r="C1" s="1"/>
      <c r="D1" s="594"/>
      <c r="E1" s="1" t="s">
        <v>717</v>
      </c>
      <c r="F1" s="594"/>
      <c r="I1" s="32"/>
      <c r="J1" s="32"/>
      <c r="K1" s="32"/>
      <c r="L1" s="32"/>
      <c r="M1"/>
      <c r="N1" s="846"/>
      <c r="O1" s="846"/>
      <c r="P1" s="883"/>
      <c r="Q1" s="883"/>
      <c r="R1" s="883"/>
      <c r="S1" s="883"/>
      <c r="T1" s="2"/>
      <c r="U1" s="914" t="s">
        <v>1066</v>
      </c>
      <c r="AB1" s="569" t="s">
        <v>0</v>
      </c>
      <c r="AC1" s="570"/>
      <c r="AD1" s="812"/>
      <c r="AE1" s="813" t="s">
        <v>223</v>
      </c>
      <c r="AF1" s="571"/>
      <c r="AG1" s="909" t="s">
        <v>224</v>
      </c>
      <c r="AH1" s="910"/>
      <c r="AI1" s="814"/>
      <c r="AJ1" s="815" t="s">
        <v>225</v>
      </c>
      <c r="AK1" s="573"/>
      <c r="AL1" s="574" t="s">
        <v>226</v>
      </c>
      <c r="AM1" s="5"/>
      <c r="AN1" s="6" t="s">
        <v>3</v>
      </c>
      <c r="AO1" s="6"/>
      <c r="AQ1" s="683" t="s">
        <v>774</v>
      </c>
      <c r="AR1" s="32"/>
    </row>
    <row r="2" spans="1:44" x14ac:dyDescent="0.2">
      <c r="A2" s="7"/>
      <c r="B2" s="7"/>
      <c r="C2" s="7"/>
      <c r="D2" s="7"/>
      <c r="E2" s="7" t="s">
        <v>489</v>
      </c>
      <c r="F2" s="7"/>
      <c r="I2" s="2"/>
      <c r="J2" s="2"/>
      <c r="K2" s="2"/>
      <c r="L2" s="2"/>
      <c r="P2" s="884"/>
      <c r="Q2" s="884"/>
      <c r="R2" s="884"/>
      <c r="S2" s="884"/>
      <c r="T2" s="2"/>
      <c r="U2" s="8"/>
      <c r="V2" s="8"/>
      <c r="Z2" s="3"/>
      <c r="AB2" s="575" t="s">
        <v>611</v>
      </c>
      <c r="AC2" s="572"/>
      <c r="AD2" s="576" t="s">
        <v>610</v>
      </c>
      <c r="AE2" s="576"/>
      <c r="AF2" s="571"/>
      <c r="AG2" s="911" t="s">
        <v>612</v>
      </c>
      <c r="AH2" s="910"/>
      <c r="AI2" s="912"/>
      <c r="AJ2" s="911" t="s">
        <v>852</v>
      </c>
      <c r="AK2" s="572"/>
      <c r="AL2" s="577"/>
      <c r="AM2" s="5"/>
      <c r="AN2" s="10" t="s">
        <v>4</v>
      </c>
      <c r="AO2" s="10"/>
      <c r="AQ2" s="130"/>
      <c r="AR2" s="130"/>
    </row>
    <row r="3" spans="1:44" x14ac:dyDescent="0.2">
      <c r="A3" s="2"/>
      <c r="B3" s="2"/>
      <c r="C3" s="2"/>
      <c r="D3" s="2"/>
      <c r="E3" s="2"/>
      <c r="F3" s="2"/>
      <c r="G3" s="2"/>
      <c r="H3" s="71" t="s">
        <v>686</v>
      </c>
      <c r="I3" s="9"/>
      <c r="J3" s="2"/>
      <c r="K3" s="2"/>
      <c r="L3" s="2"/>
      <c r="M3" s="216"/>
      <c r="N3" s="9"/>
      <c r="O3" s="9"/>
      <c r="P3" s="884"/>
      <c r="Q3" s="884"/>
      <c r="R3" s="884"/>
      <c r="S3" s="884"/>
      <c r="T3" s="2"/>
      <c r="W3" s="3"/>
      <c r="X3" s="3"/>
      <c r="Y3" s="3"/>
      <c r="AC3" s="3"/>
      <c r="AM3" s="5"/>
      <c r="AN3" s="11" t="s">
        <v>5</v>
      </c>
      <c r="AO3" s="11"/>
      <c r="AQ3" s="225" t="s">
        <v>1060</v>
      </c>
      <c r="AR3" s="130"/>
    </row>
    <row r="4" spans="1:44" x14ac:dyDescent="0.2">
      <c r="A4" s="177" t="s">
        <v>6</v>
      </c>
      <c r="B4" s="177" t="s">
        <v>6</v>
      </c>
      <c r="C4" s="177" t="s">
        <v>6</v>
      </c>
      <c r="D4" s="177" t="s">
        <v>6</v>
      </c>
      <c r="E4" s="177" t="s">
        <v>6</v>
      </c>
      <c r="F4" s="901" t="s">
        <v>6</v>
      </c>
      <c r="G4" s="221" t="s">
        <v>6</v>
      </c>
      <c r="H4" s="134" t="s">
        <v>6</v>
      </c>
      <c r="I4" s="12"/>
      <c r="J4" s="12"/>
      <c r="K4" s="12"/>
      <c r="L4" s="12"/>
      <c r="M4" s="12" t="s">
        <v>6</v>
      </c>
      <c r="N4" s="12" t="s">
        <v>6</v>
      </c>
      <c r="O4" s="12" t="s">
        <v>6</v>
      </c>
      <c r="P4" s="893" t="s">
        <v>951</v>
      </c>
      <c r="Q4" s="894" t="s">
        <v>956</v>
      </c>
      <c r="R4" s="894" t="s">
        <v>952</v>
      </c>
      <c r="S4" s="895" t="s">
        <v>954</v>
      </c>
      <c r="T4" s="927" t="s">
        <v>6</v>
      </c>
      <c r="U4" s="194" t="str">
        <f>HYPERLINK("http://kaart.delfi.ee/?bookmark=c3bc2d791932456b66ad8adb604010c1","Uuskalda")</f>
        <v>Uuskalda</v>
      </c>
      <c r="V4" s="193" t="str">
        <f>HYPERLINK("http://kaart.delfi.ee/?bookmark=c3bc2d791932456b66ad8adb604010c1","Uuskalda")</f>
        <v>Uuskalda</v>
      </c>
      <c r="W4" s="603" t="str">
        <f>HYPERLINK("http://kaart.delfi.ee//?bookmark=bee81632cfb73aa0d24153a91307e1bb","Tartu, Raadi")</f>
        <v>Tartu, Raadi</v>
      </c>
      <c r="X4" s="581"/>
      <c r="Y4" s="582"/>
      <c r="Z4" s="562"/>
      <c r="AA4" s="604" t="str">
        <f>HYPERLINK("http://kaart.delfi.ee//?bookmark=bee81632cfb73aa0d24153a91307e1bb","Tartu, Raadi")</f>
        <v>Tartu, Raadi</v>
      </c>
      <c r="AB4" s="194" t="str">
        <f>HYPERLINK("http://kaart.delfi.ee/?bookmark=037591353bf9698628b723dab6c5e799","Valga")</f>
        <v>Valga</v>
      </c>
      <c r="AC4" s="194" t="str">
        <f>HYPERLINK("http://kaart.delfi.ee//?bookmark=686832392e49d2a003b52e6ed2157288","Pirita")</f>
        <v>Pirita</v>
      </c>
      <c r="AD4" s="193" t="str">
        <f>HYPERLINK("http://kaart.delfi.ee//?bookmark=686832392e49d2a003b52e6ed2157288","Pirita")</f>
        <v>Pirita</v>
      </c>
      <c r="AE4" s="558" t="str">
        <f>HYPERLINK("http://kaart.delfi.ee/?bookmark=4c0b1b0c24ff9f4919899a9546bf50f1","Jõhvi")</f>
        <v>Jõhvi</v>
      </c>
      <c r="AF4" s="559"/>
      <c r="AG4" s="560"/>
      <c r="AH4" s="561"/>
      <c r="AI4" s="193" t="str">
        <f t="shared" ref="AI4" si="0">HYPERLINK("http://kaart.delfi.ee/?bookmark=521b80d6ceeefbe3e5d227267242b576","K-Järve")</f>
        <v>K-Järve</v>
      </c>
      <c r="AJ4" s="557" t="s">
        <v>707</v>
      </c>
      <c r="AK4" s="194" t="str">
        <f t="shared" ref="AK4:AL4" si="1">HYPERLINK("http://kaart.delfi.ee//?bookmark=36ee67ba7cba151859305c222805d114","Saku")</f>
        <v>Saku</v>
      </c>
      <c r="AL4" s="442" t="str">
        <f t="shared" si="1"/>
        <v>Saku</v>
      </c>
      <c r="AM4" s="13" t="s">
        <v>8</v>
      </c>
      <c r="AN4" s="14"/>
      <c r="AO4" s="15"/>
      <c r="AP4" s="598"/>
      <c r="AQ4" s="225" t="s">
        <v>1061</v>
      </c>
      <c r="AR4" s="930"/>
    </row>
    <row r="5" spans="1:44" ht="13.5" thickBot="1" x14ac:dyDescent="0.25">
      <c r="A5" s="177" t="s">
        <v>6</v>
      </c>
      <c r="B5" s="177" t="s">
        <v>6</v>
      </c>
      <c r="C5" s="177" t="s">
        <v>6</v>
      </c>
      <c r="D5" s="177" t="s">
        <v>6</v>
      </c>
      <c r="E5" s="177" t="s">
        <v>6</v>
      </c>
      <c r="F5" s="901" t="s">
        <v>6</v>
      </c>
      <c r="G5" s="221" t="s">
        <v>6</v>
      </c>
      <c r="H5" s="134" t="s">
        <v>6</v>
      </c>
      <c r="I5" s="12"/>
      <c r="J5" s="12"/>
      <c r="K5" s="12"/>
      <c r="L5" s="12"/>
      <c r="M5" s="12" t="s">
        <v>6</v>
      </c>
      <c r="N5" s="12" t="s">
        <v>6</v>
      </c>
      <c r="O5" s="12" t="s">
        <v>6</v>
      </c>
      <c r="P5" s="885"/>
      <c r="Q5" s="885"/>
      <c r="R5" s="885"/>
      <c r="S5" s="885"/>
      <c r="T5" s="928" t="s">
        <v>9</v>
      </c>
      <c r="U5" s="549" t="s">
        <v>1</v>
      </c>
      <c r="V5" s="191" t="s">
        <v>2</v>
      </c>
      <c r="W5" s="554" t="s">
        <v>223</v>
      </c>
      <c r="X5" s="555"/>
      <c r="Y5" s="566"/>
      <c r="Z5" s="556"/>
      <c r="AA5" s="192" t="s">
        <v>2</v>
      </c>
      <c r="AB5" s="565" t="s">
        <v>1</v>
      </c>
      <c r="AC5" s="546" t="s">
        <v>1</v>
      </c>
      <c r="AD5" s="192" t="s">
        <v>2</v>
      </c>
      <c r="AE5" s="563" t="s">
        <v>1</v>
      </c>
      <c r="AF5" s="564"/>
      <c r="AG5" s="567"/>
      <c r="AH5" s="568"/>
      <c r="AI5" s="191" t="s">
        <v>733</v>
      </c>
      <c r="AJ5" s="192" t="s">
        <v>2</v>
      </c>
      <c r="AK5" s="565" t="s">
        <v>1</v>
      </c>
      <c r="AL5" s="191" t="s">
        <v>734</v>
      </c>
      <c r="AM5" s="16" t="s">
        <v>6</v>
      </c>
      <c r="AN5" s="13" t="s">
        <v>10</v>
      </c>
      <c r="AO5" s="15"/>
      <c r="AP5" s="599" t="s">
        <v>11</v>
      </c>
      <c r="AQ5" s="931" t="s">
        <v>1062</v>
      </c>
      <c r="AR5" s="930"/>
    </row>
    <row r="6" spans="1:44" x14ac:dyDescent="0.2">
      <c r="A6" s="206" t="s">
        <v>6</v>
      </c>
      <c r="B6" s="900" t="s">
        <v>6</v>
      </c>
      <c r="C6" s="196" t="s">
        <v>6</v>
      </c>
      <c r="D6" s="900" t="s">
        <v>6</v>
      </c>
      <c r="E6" s="196"/>
      <c r="F6" s="900" t="s">
        <v>6</v>
      </c>
      <c r="G6" s="441" t="s">
        <v>943</v>
      </c>
      <c r="H6" s="75" t="s">
        <v>6</v>
      </c>
      <c r="I6" s="12"/>
      <c r="J6" s="12"/>
      <c r="K6" s="583"/>
      <c r="L6" s="12"/>
      <c r="M6" s="206" t="s">
        <v>227</v>
      </c>
      <c r="N6" s="891"/>
      <c r="O6" s="892"/>
      <c r="P6" s="896"/>
      <c r="Q6" s="896"/>
      <c r="R6" s="896"/>
      <c r="S6" s="896"/>
      <c r="T6" s="928" t="s">
        <v>12</v>
      </c>
      <c r="U6" s="547" t="str">
        <f>HYPERLINK("http://www.petanque.ee/index.php?id=103777&amp;cid=566",MID(Kalend!A12,4,5))</f>
        <v>09.06</v>
      </c>
      <c r="V6" s="548" t="str">
        <f>HYPERLINK("http://www.petanque.ee/index.php?id=103777&amp;cid=567",MID(Kalend!A13,4,5))</f>
        <v>10.06</v>
      </c>
      <c r="W6" s="550" t="str">
        <f>HYPERLINK("http://www.petanque.ee/index.php?id=103777&amp;cid=570",MID(Kalend!A14,4,5))</f>
        <v>30.06</v>
      </c>
      <c r="X6" s="551"/>
      <c r="Y6" s="552"/>
      <c r="Z6" s="553"/>
      <c r="AA6" s="548" t="str">
        <f>HYPERLINK("http://www.petanque.ee/index.php?id=103777&amp;cid=571",MID(Kalend!A18,4,5))</f>
        <v>01.07</v>
      </c>
      <c r="AB6" s="547" t="str">
        <f>HYPERLINK("http://www.petanque.ee/index.php?id=103777&amp;cid=573",MID(Kalend!A19,4,5))</f>
        <v>15.07</v>
      </c>
      <c r="AC6" s="547" t="str">
        <f>HYPERLINK("http://www.petanque.ee/index.php?id=103777&amp;cid=574",MID(Kalend!A20,4,5))</f>
        <v>21.07</v>
      </c>
      <c r="AD6" s="548" t="str">
        <f>HYPERLINK("http://www.petanque.ee/index.php?id=103777&amp;cid=575",MID(Kalend!A21,4,5))</f>
        <v>22.07</v>
      </c>
      <c r="AE6" s="550" t="str">
        <f>HYPERLINK("http://www.petanque.ee/index.php?id=103777&amp;cid=580",MID(Kalend!A23,4,5))</f>
        <v>04.08</v>
      </c>
      <c r="AF6" s="551"/>
      <c r="AG6" s="552"/>
      <c r="AH6" s="553"/>
      <c r="AI6" s="548" t="str">
        <f>HYPERLINK("http://www.petanque.ee/index.php?id=103777&amp;cid=581",MID(Kalend!A24,4,5))</f>
        <v>05.08</v>
      </c>
      <c r="AJ6" s="548" t="str">
        <f>HYPERLINK("http://www.petanque.ee/index.php?id=103777&amp;cid=587",MID(Kalend!A25,4,5))</f>
        <v>19.08</v>
      </c>
      <c r="AK6" s="194" t="str">
        <f>HYPERLINK("http://www.petanque.ee/index.php?id=103777&amp;cid=622",MID(Kalend!A28,4,5))</f>
        <v>08.09</v>
      </c>
      <c r="AL6" s="193" t="str">
        <f>HYPERLINK("http://www.petanque.ee/index.php?id=103777&amp;cid=623",MID(Kalend!A29,4,5))</f>
        <v>09.09</v>
      </c>
      <c r="AM6" s="18"/>
      <c r="AN6" s="16" t="s">
        <v>13</v>
      </c>
      <c r="AO6" s="19" t="s">
        <v>14</v>
      </c>
      <c r="AP6" s="599" t="s">
        <v>15</v>
      </c>
      <c r="AQ6" s="931" t="s">
        <v>1063</v>
      </c>
      <c r="AR6" s="930"/>
    </row>
    <row r="7" spans="1:44" x14ac:dyDescent="0.2">
      <c r="A7" s="904" t="s">
        <v>149</v>
      </c>
      <c r="B7" s="37" t="s">
        <v>149</v>
      </c>
      <c r="C7" s="905" t="s">
        <v>28</v>
      </c>
      <c r="D7" s="209" t="s">
        <v>28</v>
      </c>
      <c r="E7" s="906" t="s">
        <v>29</v>
      </c>
      <c r="F7" s="235" t="s">
        <v>29</v>
      </c>
      <c r="G7" s="897" t="s">
        <v>209</v>
      </c>
      <c r="H7" s="75" t="s">
        <v>6</v>
      </c>
      <c r="I7" s="209" t="s">
        <v>28</v>
      </c>
      <c r="J7" s="590" t="s">
        <v>29</v>
      </c>
      <c r="K7" s="591" t="s">
        <v>153</v>
      </c>
      <c r="L7" s="592" t="s">
        <v>512</v>
      </c>
      <c r="M7" s="897" t="s">
        <v>209</v>
      </c>
      <c r="N7" s="860" t="s">
        <v>28</v>
      </c>
      <c r="O7" s="861" t="s">
        <v>29</v>
      </c>
      <c r="P7" s="896"/>
      <c r="Q7" s="896"/>
      <c r="R7" s="896"/>
      <c r="S7" s="896"/>
      <c r="T7" s="929" t="s">
        <v>16</v>
      </c>
      <c r="U7" s="21" t="s">
        <v>21</v>
      </c>
      <c r="V7" s="20" t="s">
        <v>17</v>
      </c>
      <c r="W7" s="424" t="s">
        <v>22</v>
      </c>
      <c r="X7" s="422" t="s">
        <v>650</v>
      </c>
      <c r="Y7" s="423" t="s">
        <v>651</v>
      </c>
      <c r="Z7" s="597" t="s">
        <v>652</v>
      </c>
      <c r="AA7" s="147" t="s">
        <v>17</v>
      </c>
      <c r="AB7" s="146" t="s">
        <v>18</v>
      </c>
      <c r="AC7" s="21" t="s">
        <v>20</v>
      </c>
      <c r="AD7" s="20" t="s">
        <v>18</v>
      </c>
      <c r="AE7" s="421" t="s">
        <v>19</v>
      </c>
      <c r="AF7" s="195" t="s">
        <v>592</v>
      </c>
      <c r="AG7" s="72" t="s">
        <v>207</v>
      </c>
      <c r="AH7" s="596" t="s">
        <v>208</v>
      </c>
      <c r="AI7" s="20" t="s">
        <v>18</v>
      </c>
      <c r="AJ7" s="147" t="s">
        <v>17</v>
      </c>
      <c r="AK7" s="148" t="s">
        <v>17</v>
      </c>
      <c r="AL7" s="147" t="s">
        <v>18</v>
      </c>
      <c r="AM7" s="18"/>
      <c r="AN7" s="16"/>
      <c r="AO7" s="16" t="s">
        <v>23</v>
      </c>
      <c r="AP7" s="599" t="s">
        <v>24</v>
      </c>
      <c r="AQ7" s="930"/>
      <c r="AR7" s="930"/>
    </row>
    <row r="8" spans="1:44" x14ac:dyDescent="0.2">
      <c r="A8" s="850" t="s">
        <v>6</v>
      </c>
      <c r="B8" s="217" t="s">
        <v>6</v>
      </c>
      <c r="C8" s="852" t="s">
        <v>6</v>
      </c>
      <c r="D8" s="217" t="s">
        <v>6</v>
      </c>
      <c r="E8" s="854" t="s">
        <v>6</v>
      </c>
      <c r="F8" s="220" t="s">
        <v>6</v>
      </c>
      <c r="G8" s="218" t="s">
        <v>6</v>
      </c>
      <c r="H8" s="134" t="s">
        <v>26</v>
      </c>
      <c r="I8" s="17"/>
      <c r="J8" s="17"/>
      <c r="K8" s="17"/>
      <c r="L8" s="678"/>
      <c r="M8" s="898" t="s">
        <v>959</v>
      </c>
      <c r="N8" s="858" t="s">
        <v>6</v>
      </c>
      <c r="O8" s="859" t="s">
        <v>6</v>
      </c>
      <c r="P8" s="888" t="s">
        <v>958</v>
      </c>
      <c r="Q8" s="888" t="s">
        <v>957</v>
      </c>
      <c r="R8" s="888" t="s">
        <v>953</v>
      </c>
      <c r="S8" s="888" t="s">
        <v>955</v>
      </c>
      <c r="T8" s="903" t="s">
        <v>6</v>
      </c>
      <c r="U8" s="34" t="str">
        <f>HYPERLINK("#1!I1","1 ")</f>
        <v xml:space="preserve">1 </v>
      </c>
      <c r="V8" s="33" t="str">
        <f>HYPERLINK("#2!G1","2 ")</f>
        <v xml:space="preserve">2 </v>
      </c>
      <c r="W8" s="34" t="str">
        <f>HYPERLINK("","3 ")</f>
        <v xml:space="preserve">3 </v>
      </c>
      <c r="X8" s="34" t="str">
        <f>HYPERLINK("#'3M'!G1","3M")</f>
        <v>3M</v>
      </c>
      <c r="Y8" s="34" t="str">
        <f>HYPERLINK("#'3N'!G1","3N")</f>
        <v>3N</v>
      </c>
      <c r="Z8" s="34" t="str">
        <f>HYPERLINK("#'3 J'!G1","3J")</f>
        <v>3J</v>
      </c>
      <c r="AA8" s="544" t="str">
        <f>HYPERLINK("#4 M!H1","4 ")</f>
        <v xml:space="preserve">4 </v>
      </c>
      <c r="AB8" s="34" t="str">
        <f>HYPERLINK("#5!G1","5 ")</f>
        <v xml:space="preserve">5 </v>
      </c>
      <c r="AC8" s="34" t="str">
        <f>HYPERLINK("#6!G1","6 ")</f>
        <v xml:space="preserve">6 </v>
      </c>
      <c r="AD8" s="33" t="str">
        <f>HYPERLINK("#7!G1","7 ")</f>
        <v xml:space="preserve">7 </v>
      </c>
      <c r="AE8" s="34" t="str">
        <f>HYPERLINK("","8 ")</f>
        <v xml:space="preserve">8 </v>
      </c>
      <c r="AF8" s="34" t="str">
        <f>HYPERLINK("#'8M'!G1","8M")</f>
        <v>8M</v>
      </c>
      <c r="AG8" s="34" t="str">
        <f>HYPERLINK("#'8N'!G1","8N")</f>
        <v>8N</v>
      </c>
      <c r="AH8" s="34" t="str">
        <f>HYPERLINK("#'8J'!G1","8J")</f>
        <v>8J</v>
      </c>
      <c r="AI8" s="33" t="str">
        <f>HYPERLINK("#9!G1","9 ")</f>
        <v xml:space="preserve">9 </v>
      </c>
      <c r="AJ8" s="33" t="str">
        <f>HYPERLINK("#10!G1","10 ")</f>
        <v xml:space="preserve">10 </v>
      </c>
      <c r="AK8" s="137" t="str">
        <f>HYPERLINK("#11!G1","11 ")</f>
        <v xml:space="preserve">11 </v>
      </c>
      <c r="AL8" s="138" t="str">
        <f>HYPERLINK("#12!G1","12 ")</f>
        <v xml:space="preserve">12 </v>
      </c>
      <c r="AM8" s="23"/>
      <c r="AN8" s="24"/>
      <c r="AO8" s="24"/>
      <c r="AP8" s="600"/>
      <c r="AQ8" s="932" t="s">
        <v>1064</v>
      </c>
      <c r="AR8" s="932" t="s">
        <v>1065</v>
      </c>
    </row>
    <row r="9" spans="1:44" x14ac:dyDescent="0.2">
      <c r="A9" s="918">
        <f t="shared" ref="A9:A40" ca="1" si="2">IF(M9=0,"",IF(I9="n","",RANK(B9,B$9:B$201,0)))</f>
        <v>1</v>
      </c>
      <c r="B9" s="77">
        <f t="shared" ref="B9:B40" ca="1" si="3">IF(I9="n",0,M9+10000)</f>
        <v>11136</v>
      </c>
      <c r="C9" s="853" t="str">
        <f ca="1">IF(M9=0,"",IF(I9="n",RANK(D9,D$9:D$201,0),""))</f>
        <v/>
      </c>
      <c r="D9" s="76">
        <f t="shared" ref="D9:D40" si="4">IF(AND((J9="j"),(I9="n")),M9+10000,IF((I9="n"),N9+10000,0))</f>
        <v>0</v>
      </c>
      <c r="E9" s="855" t="str">
        <f ca="1">IF(M9=0,"",IF(J9="j",RANK(F9,F$9:F$201,0),""))</f>
        <v/>
      </c>
      <c r="F9" s="899">
        <f t="shared" ref="F9:F40" si="5">IF((J9="j"),O9+10000,0)</f>
        <v>0</v>
      </c>
      <c r="G9" s="897">
        <f t="shared" ref="G9:G72" ca="1" si="6">IF(M9=0,"",RANK(M9,$M$9:$M$201,0))</f>
        <v>1</v>
      </c>
      <c r="H9" s="139" t="s">
        <v>179</v>
      </c>
      <c r="I9" s="38"/>
      <c r="J9" s="585"/>
      <c r="K9" s="586"/>
      <c r="L9" s="587"/>
      <c r="M9" s="857">
        <f ca="1">(IF(COUNT(V9,AA9,AD9,AI9,AJ9,AL9)&lt;5,SUM(V9,AA9,AD9,AI9,AJ9,AL9),SUM(LARGE((V9,AA9,AD9,AI9,AJ9,AL9),{1;2;3;4;5}))))+(IF(COUNT(U9,W9,AB9,AC9,AE9,AK9)&lt;5,SUM(U9,W9,AB9,AC9,AE9,AK9),SUM(LARGE((U9,W9,AB9,AC9,AE9,AK9),{1;2;3;4;5}))))+T9</f>
        <v>1136</v>
      </c>
      <c r="N9" s="862">
        <f>IF(I9="n",((IF(COUNT(V9,AA9,AD9,AI9,AJ9,AL9)&lt;5,SUM(V9,AA9,AD9,AI9,AJ9,AL9),SUM(LARGE((V9,AA9,AD9,AI9,AJ9,AL9),{1;2;3;4;5}))))+(IF(COUNT(U9,Y9,AB9,AC9,AG9,AK9)&lt;5,SUM(U9,Y9,AB9,AC9,AG9,AK9),SUM(LARGE((U9,Y9,AB9,AC9,AG9,AK9),{1;2;3;4;5}))))+T9),0)</f>
        <v>0</v>
      </c>
      <c r="O9" s="863">
        <f>IF(J9="j",((IF(COUNT(V9,AA9,AD9,AI9,AJ9,AL9)&lt;5,SUM(V9,AA9,AD9,AI9,AJ9,AL9),SUM(LARGE((V9,AA9,AD9,AI9,AJ9,AL9),{1;2;3;4;5}))))+(IF(COUNT(U9,W9,AB9,AC9,AE9,AK9)&lt;5,SUM(U9,W9,AB9,AC9,AE9,AK9),SUM(LARGE((U9,W9,AB9,AC9,AE9,AK9),{1;2;3;4;5}))))+T9),0)</f>
        <v>0</v>
      </c>
      <c r="P9" s="886" t="str">
        <f t="shared" ref="P9:P40" ca="1" si="7">TEXT(M9,"000,0")</f>
        <v>1136,0</v>
      </c>
      <c r="Q9" s="890">
        <f t="shared" ref="Q9:Q40" si="8">COUNTIF(H$9:H$201,"&gt;="&amp;H9)</f>
        <v>18</v>
      </c>
      <c r="R9" s="886" t="str">
        <f t="shared" ref="R9:R40" ca="1" si="9">TEXT(M9,"0000,0")&amp;"-"&amp;TEXT(Q9,"000")</f>
        <v>1136,0-018</v>
      </c>
      <c r="S9" s="889">
        <f t="shared" ref="S9:S40" ca="1" si="10">COUNTIF(R$9:R$201,"&lt;="&amp;R9)</f>
        <v>193</v>
      </c>
      <c r="T9" s="847">
        <v>1</v>
      </c>
      <c r="U9" s="75">
        <f>IFERROR(INDEX('1'!C$300:C$400,MATCH("*"&amp;H9&amp;"*",'1'!B$300:B$400,0)),"  ")</f>
        <v>146</v>
      </c>
      <c r="V9" s="199">
        <f>IFERROR(INDEX('2'!C$300:C$400,MATCH("*"&amp;H9&amp;"*",'2'!B$300:B$400,0)),"  ")</f>
        <v>97</v>
      </c>
      <c r="W9" s="199">
        <f ca="1">IF(I9="",IFERROR(INDEX('3M'!C$300:C$400,MATCH("*"&amp;H9&amp;"*",'3M'!B$300:B$400,0)),"  "),IFERROR(INDEX('3N'!D$300:D$400,MATCH("*"&amp;H9&amp;"*",'3N'!B$300:B$400,0)),"  "))</f>
        <v>104</v>
      </c>
      <c r="X9" s="908">
        <f ca="1">IFERROR(INDEX('3M'!C$300:C$400,MATCH("*"&amp;H9&amp;"*",'3M'!B$300:B$400,0)),"  ")</f>
        <v>104</v>
      </c>
      <c r="Y9" s="907" t="str">
        <f ca="1">IFERROR(INDEX('3N'!C$300:C$400,MATCH("*"&amp;H9&amp;"*",'3N'!B$300:B$400,0)),"  ")</f>
        <v xml:space="preserve">  </v>
      </c>
      <c r="Z9" s="440"/>
      <c r="AA9" s="75">
        <f>IFERROR(INDEX('4'!C$300:C$400,MATCH("*"&amp;H9&amp;"*",'4'!B$300:B$400,0)),"  ")</f>
        <v>90</v>
      </c>
      <c r="AB9" s="75">
        <f>IFERROR(INDEX('5'!C$300:C$400,MATCH("*"&amp;H9&amp;"*",'5'!B$300:B$400,0)),"  ")</f>
        <v>158</v>
      </c>
      <c r="AC9" s="75">
        <f>IFERROR(INDEX('6'!C$300:C$400,MATCH("*"&amp;H9&amp;"*",'6'!B$300:B$400,0)),"  ")</f>
        <v>146</v>
      </c>
      <c r="AD9" s="75">
        <f>IFERROR(INDEX('7'!C$300:C$400,MATCH("*"&amp;H9&amp;"*",'7'!B$300:B$400,0)),"  ")</f>
        <v>84</v>
      </c>
      <c r="AE9" s="75">
        <f>IF(I9="",IFERROR(INDEX('8M'!C$300:C$400,MATCH("*"&amp;H9&amp;"*",'8M'!B$300:B$400,0)),"  "),IFERROR(INDEX('8N'!D$300:D$400,MATCH("*"&amp;H9&amp;"*",'8N'!B$300:B$400,0)),"  "))</f>
        <v>119</v>
      </c>
      <c r="AF9" s="908">
        <f>IFERROR(INDEX('8M'!C$300:C$400,MATCH("*"&amp;H9&amp;"*",'8M'!B$300:B$400,0)),"  ")</f>
        <v>119</v>
      </c>
      <c r="AG9" s="907" t="str">
        <f>IFERROR(INDEX('8N'!C$300:C$400,MATCH("*"&amp;H9&amp;"*",'8N'!B$300:B$400,0)),"  ")</f>
        <v xml:space="preserve">  </v>
      </c>
      <c r="AH9" s="440"/>
      <c r="AI9" s="75">
        <f>IFERROR(INDEX('9'!C$300:C$400,MATCH("*"&amp;H9&amp;"*",'9'!B$300:B$400,0)),"  ")</f>
        <v>79</v>
      </c>
      <c r="AJ9" s="830">
        <f>IFERROR(INDEX('10'!C$300:C$400,MATCH("*"&amp;H9&amp;"*",'10'!B$300:B$400,0)),"  ")</f>
        <v>105</v>
      </c>
      <c r="AK9" s="75">
        <f>IFERROR(INDEX('11'!C$300:C$400,MATCH("*"&amp;H9&amp;"*",'11'!B$300:B$400,0)),"  ")</f>
        <v>111</v>
      </c>
      <c r="AL9" s="75">
        <f>IFERROR(INDEX('12'!C$300:C$400,MATCH("*"&amp;H9&amp;"*",'12'!B$300:B$400,0)),"  ")</f>
        <v>40</v>
      </c>
      <c r="AM9" s="25">
        <f t="shared" ref="AM9:AM40" ca="1" si="11">COUNTIF(U9:W9,"&gt;=0")+COUNTIF(AA9:AE9,"&gt;=0")+COUNTIF(AI9:AL9,"&gt;=0")</f>
        <v>12</v>
      </c>
      <c r="AN9" s="595">
        <f t="shared" ref="AN9:AN40" ca="1" si="12">COUNTIF(V9,"&gt;=97")+COUNTIF(AA9,"&gt;=97")+COUNTIF(AI9,"&gt;=97")+COUNTIF(AJ9,"&gt;=97")+COUNTIF(AD9,"&gt;=97")+COUNTIF(AL9,"&gt;=97")+COUNTIF(U9,"&gt;=146")+COUNTIF(AE9,"&gt;=146")+COUNTIF(W9,"&gt;=146")+COUNTIF(AB9,"&gt;=146")+COUNTIF(AC9,"&gt;=146")+COUNTIF(AK9,"&gt;=146")+IF((I9="n"),(COUNTIF(AE9,"=83")+COUNTIF(AE9,"=93")+COUNTIF(AE9,"=105")+COUNTIF(W9,"=83")+COUNTIF(W9,"=93")+COUNTIF(W9,"=105")))+IF((J9="j"),(COUNTIF(AE9,"=33")+COUNTIF(AE9,"=42")+COUNTIF(AE9,"=53")+COUNTIF(W9,"=33")+COUNTIF(W9,"=42")+COUNTIF(W9,"=53")))</f>
        <v>5</v>
      </c>
      <c r="AO9" s="578">
        <f t="shared" ref="AO9:AO40" ca="1" si="13">COUNTIF(V9,"=115")+COUNTIF(AA9,"=115")+COUNTIF(AD9,"=115")+COUNTIF(AI9,"=115")+COUNTIF(AJ9,"=115")+COUNTIF(AL9,"=115")+COUNTIF(U9:AL9,"=173")</f>
        <v>0</v>
      </c>
      <c r="AP9" s="129">
        <f t="shared" ref="AP9:AP40" ca="1" si="14">COUNTIF(U9:V9,"=173")+COUNTIF(X9:AD9,"=173")+COUNTIF(AF9:AL9,"=173")</f>
        <v>0</v>
      </c>
      <c r="AQ9" s="933">
        <f>MIN(IF($V9="  ",FALSE,$V9)+$V$8/10000,IF($AA9="  ",FALSE,$AA9)+$AA$8/10000,IF($AD9="  ",FALSE,$AD9)+$AD$8/10000,IF($AI9="  ",FALSE,$AI9)+$AI$8/10000,IF($AJ9="  ",FALSE,$AJ9)+$AJ$8/10000,IF($AL9="  ",FALSE,$AL9)+$AL$8/10000)</f>
        <v>40.001199999999997</v>
      </c>
      <c r="AR9" s="933">
        <f ca="1">MIN(IF($U9="  ",FALSE,$U9)+$U$8/10000,IF($W9="  ",FALSE,$W9)+$W$8/10000,IF($AB9="  ",FALSE,$AB9)+$AB$8/10000,IF($AC9="  ",FALSE,$AC9)+$AC$8/10000,IF($AE9="  ",FALSE,$AE9)+$AE$8/10000,IF($AK9="  ",FALSE,$AK9)+$AK$8/10000)</f>
        <v>104.0003</v>
      </c>
    </row>
    <row r="10" spans="1:44" x14ac:dyDescent="0.2">
      <c r="A10" s="921">
        <f t="shared" ca="1" si="2"/>
        <v>2</v>
      </c>
      <c r="B10" s="77">
        <f t="shared" ca="1" si="3"/>
        <v>11081</v>
      </c>
      <c r="C10" s="853" t="str">
        <f t="shared" ref="C10:C73" ca="1" si="15">IF(M10=0,"",IF(I10="n",RANK(D10,D$9:D$201,0),""))</f>
        <v/>
      </c>
      <c r="D10" s="76">
        <f t="shared" si="4"/>
        <v>0</v>
      </c>
      <c r="E10" s="855" t="str">
        <f t="shared" ref="E10:E73" ca="1" si="16">IF(M10=0,"",IF(J10="j",RANK(F10,F$9:F$201,0),""))</f>
        <v/>
      </c>
      <c r="F10" s="899">
        <f t="shared" si="5"/>
        <v>0</v>
      </c>
      <c r="G10" s="897">
        <f t="shared" ca="1" si="6"/>
        <v>2</v>
      </c>
      <c r="H10" s="133" t="s">
        <v>33</v>
      </c>
      <c r="I10" s="38"/>
      <c r="J10" s="585"/>
      <c r="K10" s="586"/>
      <c r="L10" s="587"/>
      <c r="M10" s="857">
        <f ca="1">(IF(COUNT(V10,AA10,AD10,AI10,AJ10,AL10)&lt;5,SUM(V10,AA10,AD10,AI10,AJ10,AL10),SUM(LARGE((V10,AA10,AD10,AI10,AJ10,AL10),{1;2;3;4;5}))))+(IF(COUNT(U10,W10,AB10,AC10,AE10,AK10)&lt;5,SUM(U10,W10,AB10,AC10,AE10,AK10),SUM(LARGE((U10,W10,AB10,AC10,AE10,AK10),{1;2;3;4;5}))))+T10</f>
        <v>1081</v>
      </c>
      <c r="N10" s="862">
        <f>IF(I10="n",((IF(COUNT(V10,AA10,AD10,AI10,AJ10,AL10)&lt;5,SUM(V10,AA10,AD10,AI10,AJ10,AL10),SUM(LARGE((V10,AA10,AD10,AI10,AJ10,AL10),{1;2;3;4;5}))))+(IF(COUNT(U10,Y10,AB10,AC10,AG10,AK10)&lt;5,SUM(U10,Y10,AB10,AC10,AG10,AK10),SUM(LARGE((U10,Y10,AB10,AC10,AG10,AK10),{1;2;3;4;5}))))+T10),0)</f>
        <v>0</v>
      </c>
      <c r="O10" s="863">
        <f>IF(J10="j",((IF(COUNT(V10,AA10,AD10,AI10,AJ10,AL10)&lt;5,SUM(V10,AA10,AD10,AI10,AJ10,AL10),SUM(LARGE((V10,AA10,AD10,AI10,AJ10,AL10),{1;2;3;4;5}))))+(IF(COUNT(U10,W10,AB10,AC10,AE10,AK10)&lt;5,SUM(U10,W10,AB10,AC10,AE10,AK10),SUM(LARGE((U10,W10,AB10,AC10,AE10,AK10),{1;2;3;4;5}))))+T10),0)</f>
        <v>0</v>
      </c>
      <c r="P10" s="886" t="str">
        <f t="shared" ca="1" si="7"/>
        <v>1081,0</v>
      </c>
      <c r="Q10" s="890">
        <f t="shared" si="8"/>
        <v>95</v>
      </c>
      <c r="R10" s="886" t="str">
        <f t="shared" ca="1" si="9"/>
        <v>1081,0-095</v>
      </c>
      <c r="S10" s="889">
        <f t="shared" ca="1" si="10"/>
        <v>192</v>
      </c>
      <c r="T10" s="847">
        <v>1</v>
      </c>
      <c r="U10" s="75">
        <f>IFERROR(INDEX('1'!C$300:C$400,MATCH("*"&amp;H10&amp;"*",'1'!B$300:B$400,0)),"  ")</f>
        <v>111</v>
      </c>
      <c r="V10" s="199">
        <f>IFERROR(INDEX('2'!C$300:C$400,MATCH("*"&amp;H10&amp;"*",'2'!B$300:B$400,0)),"  ")</f>
        <v>97</v>
      </c>
      <c r="W10" s="199">
        <f ca="1">IF(I10="",IFERROR(INDEX('3M'!C$300:C$400,MATCH("*"&amp;H10&amp;"*",'3M'!B$300:B$400,0)),"  "),IFERROR(INDEX('3N'!D$300:D$400,MATCH("*"&amp;H10&amp;"*",'3N'!B$300:B$400,0)),"  "))</f>
        <v>65</v>
      </c>
      <c r="X10" s="908">
        <f ca="1">IFERROR(INDEX('3M'!C$300:C$400,MATCH("*"&amp;H10&amp;"*",'3M'!B$300:B$400,0)),"  ")</f>
        <v>65</v>
      </c>
      <c r="Y10" s="907" t="str">
        <f ca="1">IFERROR(INDEX('3N'!C$300:C$400,MATCH("*"&amp;H10&amp;"*",'3N'!B$300:B$400,0)),"  ")</f>
        <v xml:space="preserve">  </v>
      </c>
      <c r="Z10" s="440"/>
      <c r="AA10" s="75">
        <f>IFERROR(INDEX('4'!C$300:C$400,MATCH("*"&amp;H10&amp;"*",'4'!B$300:B$400,0)),"  ")</f>
        <v>115</v>
      </c>
      <c r="AB10" s="75">
        <f>IFERROR(INDEX('5'!C$300:C$400,MATCH("*"&amp;H10&amp;"*",'5'!B$300:B$400,0)),"  ")</f>
        <v>90</v>
      </c>
      <c r="AC10" s="75">
        <f>IFERROR(INDEX('6'!C$300:C$400,MATCH("*"&amp;H10&amp;"*",'6'!B$300:B$400,0)),"  ")</f>
        <v>135</v>
      </c>
      <c r="AD10" s="75">
        <f>IFERROR(INDEX('7'!C$300:C$400,MATCH("*"&amp;H10&amp;"*",'7'!B$300:B$400,0)),"  ")</f>
        <v>84</v>
      </c>
      <c r="AE10" s="75">
        <f>IF(I10="",IFERROR(INDEX('8M'!C$300:C$400,MATCH("*"&amp;H10&amp;"*",'8M'!B$300:B$400,0)),"  "),IFERROR(INDEX('8N'!D$300:D$400,MATCH("*"&amp;H10&amp;"*",'8N'!B$300:B$400,0)),"  "))</f>
        <v>126</v>
      </c>
      <c r="AF10" s="908">
        <f>IFERROR(INDEX('8M'!C$300:C$400,MATCH("*"&amp;H10&amp;"*",'8M'!B$300:B$400,0)),"  ")</f>
        <v>126</v>
      </c>
      <c r="AG10" s="907" t="str">
        <f>IFERROR(INDEX('8N'!C$300:C$400,MATCH("*"&amp;H10&amp;"*",'8N'!B$300:B$400,0)),"  ")</f>
        <v xml:space="preserve">  </v>
      </c>
      <c r="AH10" s="440"/>
      <c r="AI10" s="75">
        <f>IFERROR(INDEX('9'!C$300:C$400,MATCH("*"&amp;H10&amp;"*",'9'!B$300:B$400,0)),"  ")</f>
        <v>79</v>
      </c>
      <c r="AJ10" s="830">
        <f>IFERROR(INDEX('10'!C$300:C$400,MATCH("*"&amp;H10&amp;"*",'10'!B$300:B$400,0)),"  ")</f>
        <v>97</v>
      </c>
      <c r="AK10" s="75">
        <f>IFERROR(INDEX('11'!C$300:C$400,MATCH("*"&amp;H10&amp;"*",'11'!B$300:B$400,0)),"  ")</f>
        <v>146</v>
      </c>
      <c r="AL10" s="75">
        <f>IFERROR(INDEX('12'!C$300:C$400,MATCH("*"&amp;H10&amp;"*",'12'!B$300:B$400,0)),"  ")</f>
        <v>64</v>
      </c>
      <c r="AM10" s="26">
        <f t="shared" ca="1" si="11"/>
        <v>12</v>
      </c>
      <c r="AN10" s="579">
        <f t="shared" ca="1" si="12"/>
        <v>4</v>
      </c>
      <c r="AO10" s="580">
        <f t="shared" ca="1" si="13"/>
        <v>1</v>
      </c>
      <c r="AP10" s="27">
        <f t="shared" ca="1" si="14"/>
        <v>0</v>
      </c>
      <c r="AQ10" s="933">
        <f t="shared" ref="AQ10:AQ73" si="17">MIN(IF($V10="  ",FALSE,$V10)+$V$8/10000,IF($AA10="  ",FALSE,$AA10)+$AA$8/10000,IF($AD10="  ",FALSE,$AD10)+$AD$8/10000,IF($AI10="  ",FALSE,$AI10)+$AI$8/10000,IF($AJ10="  ",FALSE,$AJ10)+$AJ$8/10000,IF($AL10="  ",FALSE,$AL10)+$AL$8/10000)</f>
        <v>64.001199999999997</v>
      </c>
      <c r="AR10" s="933">
        <f t="shared" ref="AR10:AR73" ca="1" si="18">MIN(IF($U10="  ",FALSE,$U10)+$U$8/10000,IF($W10="  ",FALSE,$W10)+$W$8/10000,IF($AB10="  ",FALSE,$AB10)+$AB$8/10000,IF($AC10="  ",FALSE,$AC10)+$AC$8/10000,IF($AE10="  ",FALSE,$AE10)+$AE$8/10000,IF($AK10="  ",FALSE,$AK10)+$AK$8/10000)</f>
        <v>65.000299999999996</v>
      </c>
    </row>
    <row r="11" spans="1:44" x14ac:dyDescent="0.2">
      <c r="A11" s="851" t="str">
        <f t="shared" ca="1" si="2"/>
        <v/>
      </c>
      <c r="B11" s="77">
        <f t="shared" si="3"/>
        <v>0</v>
      </c>
      <c r="C11" s="919">
        <f t="shared" ca="1" si="15"/>
        <v>1</v>
      </c>
      <c r="D11" s="76">
        <f t="shared" ca="1" si="4"/>
        <v>11147</v>
      </c>
      <c r="E11" s="855" t="str">
        <f t="shared" ca="1" si="16"/>
        <v/>
      </c>
      <c r="F11" s="899">
        <f t="shared" si="5"/>
        <v>0</v>
      </c>
      <c r="G11" s="897">
        <f t="shared" ca="1" si="6"/>
        <v>3</v>
      </c>
      <c r="H11" s="265" t="s">
        <v>721</v>
      </c>
      <c r="I11" s="38" t="s">
        <v>32</v>
      </c>
      <c r="J11" s="585"/>
      <c r="K11" s="586"/>
      <c r="L11" s="587"/>
      <c r="M11" s="857">
        <f ca="1">(IF(COUNT(V11,AA11,AD11,AI11,AJ11,AL11)&lt;5,SUM(V11,AA11,AD11,AI11,AJ11,AL11),SUM(LARGE((V11,AA11,AD11,AI11,AJ11,AL11),{1;2;3;4;5}))))+(IF(COUNT(U11,W11,AB11,AC11,AE11,AK11)&lt;5,SUM(U11,W11,AB11,AC11,AE11,AK11),SUM(LARGE((U11,W11,AB11,AC11,AE11,AK11),{1;2;3;4;5}))))+T11</f>
        <v>1079</v>
      </c>
      <c r="N11" s="862">
        <f ca="1">IF(I11="n",((IF(COUNT(V11,AA11,AD11,AI11,AJ11,AL11)&lt;5,SUM(V11,AA11,AD11,AI11,AJ11,AL11),SUM(LARGE((V11,AA11,AD11,AI11,AJ11,AL11),{1;2;3;4;5}))))+(IF(COUNT(U11,Y11,AB11,AC11,AG11,AK11)&lt;5,SUM(U11,Y11,AB11,AC11,AG11,AK11),SUM(LARGE((U11,Y11,AB11,AC11,AG11,AK11),{1;2;3;4;5}))))+T11),0)</f>
        <v>1147</v>
      </c>
      <c r="O11" s="863">
        <f>IF(J11="j",((IF(COUNT(V11,AA11,AD11,AI11,AJ11,AL11)&lt;5,SUM(V11,AA11,AD11,AI11,AJ11,AL11),SUM(LARGE((V11,AA11,AD11,AI11,AJ11,AL11),{1;2;3;4;5}))))+(IF(COUNT(U11,W11,AB11,AC11,AE11,AK11)&lt;5,SUM(U11,W11,AB11,AC11,AE11,AK11),SUM(LARGE((U11,W11,AB11,AC11,AE11,AK11),{1;2;3;4;5}))))+T11),0)</f>
        <v>0</v>
      </c>
      <c r="P11" s="886" t="str">
        <f t="shared" ca="1" si="7"/>
        <v>1079,0</v>
      </c>
      <c r="Q11" s="890">
        <f t="shared" si="8"/>
        <v>114</v>
      </c>
      <c r="R11" s="886" t="str">
        <f t="shared" ca="1" si="9"/>
        <v>1079,0-114</v>
      </c>
      <c r="S11" s="889">
        <f t="shared" ca="1" si="10"/>
        <v>191</v>
      </c>
      <c r="T11" s="847">
        <v>52</v>
      </c>
      <c r="U11" s="75">
        <f>IFERROR(INDEX('1'!C$300:C$400,MATCH("*"&amp;H11&amp;"*",'1'!B$300:B$400,0)),"  ")</f>
        <v>173</v>
      </c>
      <c r="V11" s="199" t="str">
        <f>IFERROR(INDEX('2'!C$300:C$400,MATCH("*"&amp;H11&amp;"*",'2'!B$300:B$400,0)),"  ")</f>
        <v xml:space="preserve">  </v>
      </c>
      <c r="W11" s="199" t="str">
        <f ca="1">IF(I11="",IFERROR(INDEX('3M'!C$300:C$400,MATCH("*"&amp;H11&amp;"*",'3M'!B$300:B$400,0)),"  "),IFERROR(INDEX('3N'!D$300:D$400,MATCH("*"&amp;H11&amp;"*",'3N'!B$300:B$400,0)),"  "))</f>
        <v xml:space="preserve">  </v>
      </c>
      <c r="X11" s="908" t="str">
        <f ca="1">IFERROR(INDEX('3M'!C$300:C$400,MATCH("*"&amp;H11&amp;"*",'3M'!B$300:B$400,0)),"  ")</f>
        <v xml:space="preserve">  </v>
      </c>
      <c r="Y11" s="907" t="str">
        <f ca="1">IFERROR(INDEX('3N'!C$300:C$400,MATCH("*"&amp;H11&amp;"*",'3N'!B$300:B$400,0)),"  ")</f>
        <v xml:space="preserve">  </v>
      </c>
      <c r="Z11" s="440"/>
      <c r="AA11" s="75" t="str">
        <f>IFERROR(INDEX('4'!C$300:C$400,MATCH("*"&amp;H11&amp;"*",'4'!B$300:B$400,0)),"  ")</f>
        <v xml:space="preserve">  </v>
      </c>
      <c r="AB11" s="75">
        <f>IFERROR(INDEX('5'!C$300:C$400,MATCH("*"&amp;H11&amp;"*",'5'!B$300:B$400,0)),"  ")</f>
        <v>146</v>
      </c>
      <c r="AC11" s="75">
        <f>IFERROR(INDEX('6'!C$300:C$400,MATCH("*"&amp;H11&amp;"*",'6'!B$300:B$400,0)),"  ")</f>
        <v>173</v>
      </c>
      <c r="AD11" s="75">
        <f>IFERROR(INDEX('7'!C$300:C$400,MATCH("*"&amp;H11&amp;"*",'7'!B$300:B$400,0)),"  ")</f>
        <v>97</v>
      </c>
      <c r="AE11" s="75">
        <f>IF(I11="",IFERROR(INDEX('8M'!C$300:C$400,MATCH("*"&amp;H11&amp;"*",'8M'!B$300:B$400,0)),"  "),IFERROR(INDEX('8N'!D$300:D$400,MATCH("*"&amp;H11&amp;"*",'8N'!B$300:B$400,0)),"  "))</f>
        <v>105</v>
      </c>
      <c r="AF11" s="908" t="str">
        <f>IFERROR(INDEX('8M'!C$300:C$400,MATCH("*"&amp;H11&amp;"*",'8M'!B$300:B$400,0)),"  ")</f>
        <v xml:space="preserve">  </v>
      </c>
      <c r="AG11" s="907">
        <f>IFERROR(INDEX('8N'!C$300:C$400,MATCH("*"&amp;H11&amp;"*",'8N'!B$300:B$400,0)),"  ")</f>
        <v>173</v>
      </c>
      <c r="AH11" s="440"/>
      <c r="AI11" s="75">
        <f>IFERROR(INDEX('9'!C$300:C$400,MATCH("*"&amp;H11&amp;"*",'9'!B$300:B$400,0)),"  ")</f>
        <v>56</v>
      </c>
      <c r="AJ11" s="830">
        <f>IFERROR(INDEX('10'!C$300:C$400,MATCH("*"&amp;H11&amp;"*",'10'!B$300:B$400,0)),"  ")</f>
        <v>90</v>
      </c>
      <c r="AK11" s="75">
        <f>IFERROR(INDEX('11'!C$300:C$400,MATCH("*"&amp;H11&amp;"*",'11'!B$300:B$400,0)),"  ")</f>
        <v>90</v>
      </c>
      <c r="AL11" s="75">
        <f>IFERROR(INDEX('12'!C$300:C$400,MATCH("*"&amp;H11&amp;"*",'12'!B$300:B$400,0)),"  ")</f>
        <v>97</v>
      </c>
      <c r="AM11" s="26">
        <f t="shared" ca="1" si="11"/>
        <v>9</v>
      </c>
      <c r="AN11" s="579">
        <f t="shared" ca="1" si="12"/>
        <v>6</v>
      </c>
      <c r="AO11" s="580">
        <f t="shared" ca="1" si="13"/>
        <v>3</v>
      </c>
      <c r="AP11" s="27">
        <f t="shared" ca="1" si="14"/>
        <v>3</v>
      </c>
      <c r="AQ11" s="933">
        <f t="shared" si="17"/>
        <v>2.0000000000000001E-4</v>
      </c>
      <c r="AR11" s="933">
        <f t="shared" ca="1" si="18"/>
        <v>2.9999999999999997E-4</v>
      </c>
    </row>
    <row r="12" spans="1:44" x14ac:dyDescent="0.2">
      <c r="A12" s="924">
        <f t="shared" ca="1" si="2"/>
        <v>3</v>
      </c>
      <c r="B12" s="77">
        <f t="shared" ca="1" si="3"/>
        <v>10972</v>
      </c>
      <c r="C12" s="853" t="str">
        <f t="shared" ca="1" si="15"/>
        <v/>
      </c>
      <c r="D12" s="76">
        <f t="shared" si="4"/>
        <v>0</v>
      </c>
      <c r="E12" s="855" t="str">
        <f t="shared" ca="1" si="16"/>
        <v/>
      </c>
      <c r="F12" s="899">
        <f t="shared" si="5"/>
        <v>0</v>
      </c>
      <c r="G12" s="897">
        <f t="shared" ca="1" si="6"/>
        <v>4</v>
      </c>
      <c r="H12" s="133" t="s">
        <v>633</v>
      </c>
      <c r="I12" s="38"/>
      <c r="J12" s="585"/>
      <c r="K12" s="586"/>
      <c r="L12" s="587"/>
      <c r="M12" s="857">
        <f ca="1">(IF(COUNT(V12,AA12,AD12,AI12,AJ12,AL12)&lt;5,SUM(V12,AA12,AD12,AI12,AJ12,AL12),SUM(LARGE((V12,AA12,AD12,AI12,AJ12,AL12),{1;2;3;4;5}))))+(IF(COUNT(U12,W12,AB12,AC12,AE12,AK12)&lt;5,SUM(U12,W12,AB12,AC12,AE12,AK12),SUM(LARGE((U12,W12,AB12,AC12,AE12,AK12),{1;2;3;4;5}))))+T12</f>
        <v>972</v>
      </c>
      <c r="N12" s="862">
        <f>IF(I12="n",((IF(COUNT(V12,AA12,AD12,AI12,AJ12,AL12)&lt;5,SUM(V12,AA12,AD12,AI12,AJ12,AL12),SUM(LARGE((V12,AA12,AD12,AI12,AJ12,AL12),{1;2;3;4;5}))))+(IF(COUNT(U12,Y12,AB12,AC12,AG12,AK12)&lt;5,SUM(U12,Y12,AB12,AC12,AG12,AK12),SUM(LARGE((U12,Y12,AB12,AC12,AG12,AK12),{1;2;3;4;5}))))+T12),0)</f>
        <v>0</v>
      </c>
      <c r="O12" s="863">
        <f>IF(J12="j",((IF(COUNT(V12,AA12,AD12,AI12,AJ12,AL12)&lt;5,SUM(V12,AA12,AD12,AI12,AJ12,AL12),SUM(LARGE((V12,AA12,AD12,AI12,AJ12,AL12),{1;2;3;4;5}))))+(IF(COUNT(U12,W12,AB12,AC12,AE12,AK12)&lt;5,SUM(U12,W12,AB12,AC12,AE12,AK12),SUM(LARGE((U12,W12,AB12,AC12,AE12,AK12),{1;2;3;4;5}))))+T12),0)</f>
        <v>0</v>
      </c>
      <c r="P12" s="886" t="str">
        <f t="shared" ca="1" si="7"/>
        <v>972,0</v>
      </c>
      <c r="Q12" s="890">
        <f t="shared" si="8"/>
        <v>45</v>
      </c>
      <c r="R12" s="886" t="str">
        <f t="shared" ca="1" si="9"/>
        <v>0972,0-045</v>
      </c>
      <c r="S12" s="889">
        <f t="shared" ca="1" si="10"/>
        <v>190</v>
      </c>
      <c r="T12" s="847">
        <v>1</v>
      </c>
      <c r="U12" s="75">
        <f>IFERROR(INDEX('1'!C$300:C$400,MATCH("*"&amp;H12&amp;"*",'1'!B$300:B$400,0)),"  ")</f>
        <v>158</v>
      </c>
      <c r="V12" s="199">
        <f>IFERROR(INDEX('2'!C$300:C$400,MATCH("*"&amp;H12&amp;"*",'2'!B$300:B$400,0)),"  ")</f>
        <v>105</v>
      </c>
      <c r="W12" s="199">
        <f ca="1">IF(I12="",IFERROR(INDEX('3M'!C$300:C$400,MATCH("*"&amp;H12&amp;"*",'3M'!B$300:B$400,0)),"  "),IFERROR(INDEX('3N'!D$300:D$400,MATCH("*"&amp;H12&amp;"*",'3N'!B$300:B$400,0)),"  "))</f>
        <v>90</v>
      </c>
      <c r="X12" s="908">
        <f ca="1">IFERROR(INDEX('3M'!C$300:C$400,MATCH("*"&amp;H12&amp;"*",'3M'!B$300:B$400,0)),"  ")</f>
        <v>90</v>
      </c>
      <c r="Y12" s="907" t="str">
        <f ca="1">IFERROR(INDEX('3N'!C$300:C$400,MATCH("*"&amp;H12&amp;"*",'3N'!B$300:B$400,0)),"  ")</f>
        <v xml:space="preserve">  </v>
      </c>
      <c r="Z12" s="440"/>
      <c r="AA12" s="75">
        <f>IFERROR(INDEX('4'!C$300:C$400,MATCH("*"&amp;H12&amp;"*",'4'!B$300:B$400,0)),"  ")</f>
        <v>84</v>
      </c>
      <c r="AB12" s="75">
        <f>IFERROR(INDEX('5'!C$300:C$400,MATCH("*"&amp;H12&amp;"*",'5'!B$300:B$400,0)),"  ")</f>
        <v>96</v>
      </c>
      <c r="AC12" s="75">
        <f>IFERROR(INDEX('6'!C$300:C$400,MATCH("*"&amp;H12&amp;"*",'6'!B$300:B$400,0)),"  ")</f>
        <v>90</v>
      </c>
      <c r="AD12" s="75">
        <f>IFERROR(INDEX('7'!C$300:C$400,MATCH("*"&amp;H12&amp;"*",'7'!B$300:B$400,0)),"  ")</f>
        <v>90</v>
      </c>
      <c r="AE12" s="75">
        <f>IF(I12="",IFERROR(INDEX('8M'!C$300:C$400,MATCH("*"&amp;H12&amp;"*",'8M'!B$300:B$400,0)),"  "),IFERROR(INDEX('8N'!D$300:D$400,MATCH("*"&amp;H12&amp;"*",'8N'!B$300:B$400,0)),"  "))</f>
        <v>74</v>
      </c>
      <c r="AF12" s="908">
        <f>IFERROR(INDEX('8M'!C$300:C$400,MATCH("*"&amp;H12&amp;"*",'8M'!B$300:B$400,0)),"  ")</f>
        <v>74</v>
      </c>
      <c r="AG12" s="907" t="str">
        <f>IFERROR(INDEX('8N'!C$300:C$400,MATCH("*"&amp;H12&amp;"*",'8N'!B$300:B$400,0)),"  ")</f>
        <v xml:space="preserve">  </v>
      </c>
      <c r="AH12" s="440"/>
      <c r="AI12" s="75">
        <f>IFERROR(INDEX('9'!C$300:C$400,MATCH("*"&amp;H12&amp;"*",'9'!B$300:B$400,0)),"  ")</f>
        <v>105</v>
      </c>
      <c r="AJ12" s="830" t="str">
        <f>IFERROR(INDEX('10'!C$300:C$400,MATCH("*"&amp;H12&amp;"*",'10'!B$300:B$400,0)),"  ")</f>
        <v xml:space="preserve">  </v>
      </c>
      <c r="AK12" s="75">
        <f>IFERROR(INDEX('11'!C$300:C$400,MATCH("*"&amp;H12&amp;"*",'11'!B$300:B$400,0)),"  ")</f>
        <v>69</v>
      </c>
      <c r="AL12" s="75">
        <f>IFERROR(INDEX('12'!C$300:C$400,MATCH("*"&amp;H12&amp;"*",'12'!B$300:B$400,0)),"  ")</f>
        <v>79</v>
      </c>
      <c r="AM12" s="26">
        <f t="shared" ca="1" si="11"/>
        <v>11</v>
      </c>
      <c r="AN12" s="579">
        <f t="shared" ca="1" si="12"/>
        <v>3</v>
      </c>
      <c r="AO12" s="580">
        <f t="shared" ca="1" si="13"/>
        <v>0</v>
      </c>
      <c r="AP12" s="27">
        <f t="shared" ca="1" si="14"/>
        <v>0</v>
      </c>
      <c r="AQ12" s="933">
        <f t="shared" si="17"/>
        <v>1E-3</v>
      </c>
      <c r="AR12" s="933">
        <f t="shared" ca="1" si="18"/>
        <v>69.001099999999994</v>
      </c>
    </row>
    <row r="13" spans="1:44" x14ac:dyDescent="0.2">
      <c r="A13" s="851" t="str">
        <f t="shared" ca="1" si="2"/>
        <v/>
      </c>
      <c r="B13" s="77">
        <f t="shared" si="3"/>
        <v>0</v>
      </c>
      <c r="C13" s="922">
        <f t="shared" ca="1" si="15"/>
        <v>2</v>
      </c>
      <c r="D13" s="76">
        <f t="shared" ca="1" si="4"/>
        <v>10979.5</v>
      </c>
      <c r="E13" s="855" t="str">
        <f t="shared" ca="1" si="16"/>
        <v/>
      </c>
      <c r="F13" s="899">
        <f t="shared" si="5"/>
        <v>0</v>
      </c>
      <c r="G13" s="897">
        <f t="shared" ca="1" si="6"/>
        <v>5</v>
      </c>
      <c r="H13" s="133" t="s">
        <v>85</v>
      </c>
      <c r="I13" s="38" t="s">
        <v>32</v>
      </c>
      <c r="J13" s="585"/>
      <c r="K13" s="586" t="s">
        <v>718</v>
      </c>
      <c r="L13" s="587"/>
      <c r="M13" s="857">
        <f ca="1">(IF(COUNT(V13,AA13,AD13,AI13,AJ13,AL13)&lt;5,SUM(V13,AA13,AD13,AI13,AJ13,AL13),SUM(LARGE((V13,AA13,AD13,AI13,AJ13,AL13),{1;2;3;4;5}))))+(IF(COUNT(U13,W13,AB13,AC13,AE13,AK13)&lt;5,SUM(U13,W13,AB13,AC13,AE13,AK13),SUM(LARGE((U13,W13,AB13,AC13,AE13,AK13),{1;2;3;4;5}))))+T13</f>
        <v>918.5</v>
      </c>
      <c r="N13" s="862">
        <f ca="1">IF(I13="n",((IF(COUNT(V13,AA13,AD13,AI13,AJ13,AL13)&lt;5,SUM(V13,AA13,AD13,AI13,AJ13,AL13),SUM(LARGE((V13,AA13,AD13,AI13,AJ13,AL13),{1;2;3;4;5}))))+(IF(COUNT(U13,Y13,AB13,AC13,AG13,AK13)&lt;5,SUM(U13,Y13,AB13,AC13,AG13,AK13),SUM(LARGE((U13,Y13,AB13,AC13,AG13,AK13),{1;2;3;4;5}))))+T13),0)</f>
        <v>979.5</v>
      </c>
      <c r="O13" s="863">
        <f>IF(J13="j",((IF(COUNT(V13,AA13,AD13,AI13,AJ13,AL13)&lt;5,SUM(V13,AA13,AD13,AI13,AJ13,AL13),SUM(LARGE((V13,AA13,AD13,AI13,AJ13,AL13),{1;2;3;4;5}))))+(IF(COUNT(U13,W13,AB13,AC13,AE13,AK13)&lt;5,SUM(U13,W13,AB13,AC13,AE13,AK13),SUM(LARGE((U13,W13,AB13,AC13,AE13,AK13),{1;2;3;4;5}))))+T13),0)</f>
        <v>0</v>
      </c>
      <c r="P13" s="886" t="str">
        <f t="shared" ca="1" si="7"/>
        <v>918,5</v>
      </c>
      <c r="Q13" s="890">
        <f t="shared" si="8"/>
        <v>190</v>
      </c>
      <c r="R13" s="886" t="str">
        <f t="shared" ca="1" si="9"/>
        <v>0918,5-190</v>
      </c>
      <c r="S13" s="889">
        <f t="shared" ca="1" si="10"/>
        <v>189</v>
      </c>
      <c r="T13" s="849">
        <v>44.5</v>
      </c>
      <c r="U13" s="75">
        <f>IFERROR(INDEX('1'!C$300:C$400,MATCH("*"&amp;H13&amp;"*",'1'!B$300:B$400,0)),"  ")</f>
        <v>126</v>
      </c>
      <c r="V13" s="199">
        <f>IFERROR(INDEX('2'!C$300:C$400,MATCH("*"&amp;H13&amp;"*",'2'!B$300:B$400,0)),"  ")</f>
        <v>74</v>
      </c>
      <c r="W13" s="199" t="str">
        <f ca="1">IF(I13="",IFERROR(INDEX('3M'!C$300:C$400,MATCH("*"&amp;H13&amp;"*",'3M'!B$300:B$400,0)),"  "),IFERROR(INDEX('3N'!D$300:D$400,MATCH("*"&amp;H13&amp;"*",'3N'!B$300:B$400,0)),"  "))</f>
        <v xml:space="preserve">  </v>
      </c>
      <c r="X13" s="908" t="str">
        <f ca="1">IFERROR(INDEX('3M'!C$300:C$400,MATCH("*"&amp;H13&amp;"*",'3M'!B$300:B$400,0)),"  ")</f>
        <v xml:space="preserve">  </v>
      </c>
      <c r="Y13" s="907" t="str">
        <f ca="1">IFERROR(INDEX('3N'!C$300:C$400,MATCH("*"&amp;H13&amp;"*",'3N'!B$300:B$400,0)),"  ")</f>
        <v xml:space="preserve">  </v>
      </c>
      <c r="Z13" s="440"/>
      <c r="AA13" s="75">
        <f>IFERROR(INDEX('4'!C$300:C$400,MATCH("*"&amp;H13&amp;"*",'4'!B$300:B$400,0)),"  ")</f>
        <v>56</v>
      </c>
      <c r="AB13" s="75">
        <f>IFERROR(INDEX('5'!C$300:C$400,MATCH("*"&amp;H13&amp;"*",'5'!B$300:B$400,0)),"  ")</f>
        <v>111</v>
      </c>
      <c r="AC13" s="75">
        <f>IFERROR(INDEX('6'!C$300:C$400,MATCH("*"&amp;H13&amp;"*",'6'!B$300:B$400,0)),"  ")</f>
        <v>158</v>
      </c>
      <c r="AD13" s="75" t="str">
        <f>IFERROR(INDEX('7'!C$300:C$400,MATCH("*"&amp;H13&amp;"*",'7'!B$300:B$400,0)),"  ")</f>
        <v xml:space="preserve">  </v>
      </c>
      <c r="AE13" s="75">
        <f>IF(I13="",IFERROR(INDEX('8M'!C$300:C$400,MATCH("*"&amp;H13&amp;"*",'8M'!B$300:B$400,0)),"  "),IFERROR(INDEX('8N'!D$300:D$400,MATCH("*"&amp;H13&amp;"*",'8N'!B$300:B$400,0)),"  "))</f>
        <v>65</v>
      </c>
      <c r="AF13" s="908" t="str">
        <f>IFERROR(INDEX('8M'!C$300:C$400,MATCH("*"&amp;H13&amp;"*",'8M'!B$300:B$400,0)),"  ")</f>
        <v xml:space="preserve">  </v>
      </c>
      <c r="AG13" s="907">
        <f>IFERROR(INDEX('8N'!C$300:C$400,MATCH("*"&amp;H13&amp;"*",'8N'!B$300:B$400,0)),"  ")</f>
        <v>126</v>
      </c>
      <c r="AH13" s="440"/>
      <c r="AI13" s="75">
        <f>IFERROR(INDEX('9'!C$300:C$400,MATCH("*"&amp;H13&amp;"*",'9'!B$300:B$400,0)),"  ")</f>
        <v>84</v>
      </c>
      <c r="AJ13" s="830">
        <f>IFERROR(INDEX('10'!C$300:C$400,MATCH("*"&amp;H13&amp;"*",'10'!B$300:B$400,0)),"  ")</f>
        <v>79</v>
      </c>
      <c r="AK13" s="75">
        <f>IFERROR(INDEX('11'!C$300:C$400,MATCH("*"&amp;H13&amp;"*",'11'!B$300:B$400,0)),"  ")</f>
        <v>84</v>
      </c>
      <c r="AL13" s="75">
        <f>IFERROR(INDEX('12'!C$300:C$400,MATCH("*"&amp;H13&amp;"*",'12'!B$300:B$400,0)),"  ")</f>
        <v>37</v>
      </c>
      <c r="AM13" s="26">
        <f t="shared" ca="1" si="11"/>
        <v>10</v>
      </c>
      <c r="AN13" s="579">
        <f t="shared" ca="1" si="12"/>
        <v>1</v>
      </c>
      <c r="AO13" s="580">
        <f t="shared" ca="1" si="13"/>
        <v>0</v>
      </c>
      <c r="AP13" s="27">
        <f t="shared" ca="1" si="14"/>
        <v>0</v>
      </c>
      <c r="AQ13" s="933">
        <f t="shared" si="17"/>
        <v>6.9999999999999999E-4</v>
      </c>
      <c r="AR13" s="933">
        <f t="shared" ca="1" si="18"/>
        <v>2.9999999999999997E-4</v>
      </c>
    </row>
    <row r="14" spans="1:44" x14ac:dyDescent="0.2">
      <c r="A14" s="851">
        <f t="shared" ca="1" si="2"/>
        <v>4</v>
      </c>
      <c r="B14" s="77">
        <f t="shared" ca="1" si="3"/>
        <v>10918.5</v>
      </c>
      <c r="C14" s="853" t="str">
        <f t="shared" ca="1" si="15"/>
        <v/>
      </c>
      <c r="D14" s="76">
        <f t="shared" si="4"/>
        <v>0</v>
      </c>
      <c r="E14" s="855" t="str">
        <f t="shared" ca="1" si="16"/>
        <v/>
      </c>
      <c r="F14" s="899">
        <f t="shared" si="5"/>
        <v>0</v>
      </c>
      <c r="G14" s="897">
        <f t="shared" ca="1" si="6"/>
        <v>5</v>
      </c>
      <c r="H14" s="133" t="s">
        <v>146</v>
      </c>
      <c r="I14" s="38"/>
      <c r="J14" s="585"/>
      <c r="K14" s="586" t="s">
        <v>718</v>
      </c>
      <c r="L14" s="587"/>
      <c r="M14" s="857">
        <f ca="1">(IF(COUNT(V14,AA14,AD14,AI14,AJ14,AL14)&lt;5,SUM(V14,AA14,AD14,AI14,AJ14,AL14),SUM(LARGE((V14,AA14,AD14,AI14,AJ14,AL14),{1;2;3;4;5}))))+(IF(COUNT(U14,W14,AB14,AC14,AE14,AK14)&lt;5,SUM(U14,W14,AB14,AC14,AE14,AK14),SUM(LARGE((U14,W14,AB14,AC14,AE14,AK14),{1;2;3;4;5}))))+T14</f>
        <v>918.5</v>
      </c>
      <c r="N14" s="862">
        <f>IF(I14="n",((IF(COUNT(V14,AA14,AD14,AI14,AJ14,AL14)&lt;5,SUM(V14,AA14,AD14,AI14,AJ14,AL14),SUM(LARGE((V14,AA14,AD14,AI14,AJ14,AL14),{1;2;3;4;5}))))+(IF(COUNT(U14,Y14,AB14,AC14,AG14,AK14)&lt;5,SUM(U14,Y14,AB14,AC14,AG14,AK14),SUM(LARGE((U14,Y14,AB14,AC14,AG14,AK14),{1;2;3;4;5}))))+T14),0)</f>
        <v>0</v>
      </c>
      <c r="O14" s="863">
        <f>IF(J14="j",((IF(COUNT(V14,AA14,AD14,AI14,AJ14,AL14)&lt;5,SUM(V14,AA14,AD14,AI14,AJ14,AL14),SUM(LARGE((V14,AA14,AD14,AI14,AJ14,AL14),{1;2;3;4;5}))))+(IF(COUNT(U14,W14,AB14,AC14,AE14,AK14)&lt;5,SUM(U14,W14,AB14,AC14,AE14,AK14),SUM(LARGE((U14,W14,AB14,AC14,AE14,AK14),{1;2;3;4;5}))))+T14),0)</f>
        <v>0</v>
      </c>
      <c r="P14" s="886" t="str">
        <f t="shared" ca="1" si="7"/>
        <v>918,5</v>
      </c>
      <c r="Q14" s="890">
        <f t="shared" si="8"/>
        <v>117</v>
      </c>
      <c r="R14" s="886" t="str">
        <f t="shared" ca="1" si="9"/>
        <v>0918,5-117</v>
      </c>
      <c r="S14" s="889">
        <f t="shared" ca="1" si="10"/>
        <v>188</v>
      </c>
      <c r="T14" s="849">
        <v>44.5</v>
      </c>
      <c r="U14" s="75">
        <f>IFERROR(INDEX('1'!C$300:C$400,MATCH("*"&amp;H14&amp;"*",'1'!B$300:B$400,0)),"  ")</f>
        <v>126</v>
      </c>
      <c r="V14" s="199">
        <f>IFERROR(INDEX('2'!C$300:C$400,MATCH("*"&amp;H14&amp;"*",'2'!B$300:B$400,0)),"  ")</f>
        <v>74</v>
      </c>
      <c r="W14" s="199" t="str">
        <f ca="1">IF(I14="",IFERROR(INDEX('3M'!C$300:C$400,MATCH("*"&amp;H14&amp;"*",'3M'!B$300:B$400,0)),"  "),IFERROR(INDEX('3N'!D$300:D$400,MATCH("*"&amp;H14&amp;"*",'3N'!B$300:B$400,0)),"  "))</f>
        <v xml:space="preserve">  </v>
      </c>
      <c r="X14" s="908" t="str">
        <f ca="1">IFERROR(INDEX('3M'!C$300:C$400,MATCH("*"&amp;H14&amp;"*",'3M'!B$300:B$400,0)),"  ")</f>
        <v xml:space="preserve">  </v>
      </c>
      <c r="Y14" s="907" t="str">
        <f ca="1">IFERROR(INDEX('3N'!C$300:C$400,MATCH("*"&amp;H14&amp;"*",'3N'!B$300:B$400,0)),"  ")</f>
        <v xml:space="preserve">  </v>
      </c>
      <c r="Z14" s="440"/>
      <c r="AA14" s="75">
        <f>IFERROR(INDEX('4'!C$300:C$400,MATCH("*"&amp;H14&amp;"*",'4'!B$300:B$400,0)),"  ")</f>
        <v>56</v>
      </c>
      <c r="AB14" s="75">
        <f>IFERROR(INDEX('5'!C$300:C$400,MATCH("*"&amp;H14&amp;"*",'5'!B$300:B$400,0)),"  ")</f>
        <v>111</v>
      </c>
      <c r="AC14" s="75">
        <f>IFERROR(INDEX('6'!C$300:C$400,MATCH("*"&amp;H14&amp;"*",'6'!B$300:B$400,0)),"  ")</f>
        <v>158</v>
      </c>
      <c r="AD14" s="75" t="str">
        <f>IFERROR(INDEX('7'!C$300:C$400,MATCH("*"&amp;H14&amp;"*",'7'!B$300:B$400,0)),"  ")</f>
        <v xml:space="preserve">  </v>
      </c>
      <c r="AE14" s="75">
        <f>IF(I14="",IFERROR(INDEX('8M'!C$300:C$400,MATCH("*"&amp;H14&amp;"*",'8M'!B$300:B$400,0)),"  "),IFERROR(INDEX('8N'!D$300:D$400,MATCH("*"&amp;H14&amp;"*",'8N'!B$300:B$400,0)),"  "))</f>
        <v>65</v>
      </c>
      <c r="AF14" s="908">
        <f>IFERROR(INDEX('8M'!C$300:C$400,MATCH("*"&amp;H14&amp;"*",'8M'!B$300:B$400,0)),"  ")</f>
        <v>65</v>
      </c>
      <c r="AG14" s="907" t="str">
        <f>IFERROR(INDEX('8N'!C$300:C$400,MATCH("*"&amp;H14&amp;"*",'8N'!B$300:B$400,0)),"  ")</f>
        <v xml:space="preserve">  </v>
      </c>
      <c r="AH14" s="440"/>
      <c r="AI14" s="75">
        <f>IFERROR(INDEX('9'!C$300:C$400,MATCH("*"&amp;H14&amp;"*",'9'!B$300:B$400,0)),"  ")</f>
        <v>84</v>
      </c>
      <c r="AJ14" s="830">
        <f>IFERROR(INDEX('10'!C$300:C$400,MATCH("*"&amp;H14&amp;"*",'10'!B$300:B$400,0)),"  ")</f>
        <v>79</v>
      </c>
      <c r="AK14" s="75">
        <f>IFERROR(INDEX('11'!C$300:C$400,MATCH("*"&amp;H14&amp;"*",'11'!B$300:B$400,0)),"  ")</f>
        <v>84</v>
      </c>
      <c r="AL14" s="75">
        <f>IFERROR(INDEX('12'!C$300:C$400,MATCH("*"&amp;H14&amp;"*",'12'!B$300:B$400,0)),"  ")</f>
        <v>37</v>
      </c>
      <c r="AM14" s="26">
        <f t="shared" ca="1" si="11"/>
        <v>10</v>
      </c>
      <c r="AN14" s="579">
        <f t="shared" ca="1" si="12"/>
        <v>1</v>
      </c>
      <c r="AO14" s="580">
        <f t="shared" ca="1" si="13"/>
        <v>0</v>
      </c>
      <c r="AP14" s="27">
        <f t="shared" ca="1" si="14"/>
        <v>0</v>
      </c>
      <c r="AQ14" s="933">
        <f t="shared" si="17"/>
        <v>6.9999999999999999E-4</v>
      </c>
      <c r="AR14" s="933">
        <f t="shared" ca="1" si="18"/>
        <v>2.9999999999999997E-4</v>
      </c>
    </row>
    <row r="15" spans="1:44" x14ac:dyDescent="0.2">
      <c r="A15" s="851">
        <f t="shared" ca="1" si="2"/>
        <v>5</v>
      </c>
      <c r="B15" s="77">
        <f t="shared" ca="1" si="3"/>
        <v>10863.5</v>
      </c>
      <c r="C15" s="853" t="str">
        <f t="shared" ca="1" si="15"/>
        <v/>
      </c>
      <c r="D15" s="76">
        <f t="shared" si="4"/>
        <v>0</v>
      </c>
      <c r="E15" s="855" t="str">
        <f t="shared" ca="1" si="16"/>
        <v/>
      </c>
      <c r="F15" s="899">
        <f t="shared" si="5"/>
        <v>0</v>
      </c>
      <c r="G15" s="897">
        <f t="shared" ca="1" si="6"/>
        <v>7</v>
      </c>
      <c r="H15" s="133" t="s">
        <v>64</v>
      </c>
      <c r="I15" s="38"/>
      <c r="J15" s="585"/>
      <c r="K15" s="586"/>
      <c r="L15" s="587"/>
      <c r="M15" s="857">
        <f ca="1">(IF(COUNT(V15,AA15,AD15,AI15,AJ15,AL15)&lt;5,SUM(V15,AA15,AD15,AI15,AJ15,AL15),SUM(LARGE((V15,AA15,AD15,AI15,AJ15,AL15),{1;2;3;4;5}))))+(IF(COUNT(U15,W15,AB15,AC15,AE15,AK15)&lt;5,SUM(U15,W15,AB15,AC15,AE15,AK15),SUM(LARGE((U15,W15,AB15,AC15,AE15,AK15),{1;2;3;4;5}))))+T15</f>
        <v>863.5</v>
      </c>
      <c r="N15" s="862">
        <f>IF(I15="n",((IF(COUNT(V15,AA15,AD15,AI15,AJ15,AL15)&lt;5,SUM(V15,AA15,AD15,AI15,AJ15,AL15),SUM(LARGE((V15,AA15,AD15,AI15,AJ15,AL15),{1;2;3;4;5}))))+(IF(COUNT(U15,Y15,AB15,AC15,AG15,AK15)&lt;5,SUM(U15,Y15,AB15,AC15,AG15,AK15),SUM(LARGE((U15,Y15,AB15,AC15,AG15,AK15),{1;2;3;4;5}))))+T15),0)</f>
        <v>0</v>
      </c>
      <c r="O15" s="863">
        <f>IF(J15="j",((IF(COUNT(V15,AA15,AD15,AI15,AJ15,AL15)&lt;5,SUM(V15,AA15,AD15,AI15,AJ15,AL15),SUM(LARGE((V15,AA15,AD15,AI15,AJ15,AL15),{1;2;3;4;5}))))+(IF(COUNT(U15,W15,AB15,AC15,AE15,AK15)&lt;5,SUM(U15,W15,AB15,AC15,AE15,AK15),SUM(LARGE((U15,W15,AB15,AC15,AE15,AK15),{1;2;3;4;5}))))+T15),0)</f>
        <v>0</v>
      </c>
      <c r="P15" s="886" t="str">
        <f t="shared" ca="1" si="7"/>
        <v>863,5</v>
      </c>
      <c r="Q15" s="890">
        <f t="shared" si="8"/>
        <v>129</v>
      </c>
      <c r="R15" s="886" t="str">
        <f t="shared" ca="1" si="9"/>
        <v>0863,5-129</v>
      </c>
      <c r="S15" s="889">
        <f t="shared" ca="1" si="10"/>
        <v>187</v>
      </c>
      <c r="T15" s="849">
        <v>29.5</v>
      </c>
      <c r="U15" s="75">
        <f>IFERROR(INDEX('1'!C$300:C$400,MATCH("*"&amp;H15&amp;"*",'1'!B$300:B$400,0)),"  ")</f>
        <v>56</v>
      </c>
      <c r="V15" s="199">
        <f>IFERROR(INDEX('2'!C$300:C$400,MATCH("*"&amp;H15&amp;"*",'2'!B$300:B$400,0)),"  ")</f>
        <v>105</v>
      </c>
      <c r="W15" s="199">
        <f ca="1">IF(I15="",IFERROR(INDEX('3M'!C$300:C$400,MATCH("*"&amp;H15&amp;"*",'3M'!B$300:B$400,0)),"  "),IFERROR(INDEX('3N'!D$300:D$400,MATCH("*"&amp;H15&amp;"*",'3N'!B$300:B$400,0)),"  "))</f>
        <v>96</v>
      </c>
      <c r="X15" s="908">
        <f ca="1">IFERROR(INDEX('3M'!C$300:C$400,MATCH("*"&amp;H15&amp;"*",'3M'!B$300:B$400,0)),"  ")</f>
        <v>96</v>
      </c>
      <c r="Y15" s="907" t="str">
        <f ca="1">IFERROR(INDEX('3N'!C$300:C$400,MATCH("*"&amp;H15&amp;"*",'3N'!B$300:B$400,0)),"  ")</f>
        <v xml:space="preserve">  </v>
      </c>
      <c r="Z15" s="440"/>
      <c r="AA15" s="75">
        <f>IFERROR(INDEX('4'!C$300:C$400,MATCH("*"&amp;H15&amp;"*",'4'!B$300:B$400,0)),"  ")</f>
        <v>84</v>
      </c>
      <c r="AB15" s="75">
        <f>IFERROR(INDEX('5'!C$300:C$400,MATCH("*"&amp;H15&amp;"*",'5'!B$300:B$400,0)),"  ")</f>
        <v>38</v>
      </c>
      <c r="AC15" s="75">
        <f>IFERROR(INDEX('6'!C$300:C$400,MATCH("*"&amp;H15&amp;"*",'6'!B$300:B$400,0)),"  ")</f>
        <v>96</v>
      </c>
      <c r="AD15" s="75">
        <f>IFERROR(INDEX('7'!C$300:C$400,MATCH("*"&amp;H15&amp;"*",'7'!B$300:B$400,0)),"  ")</f>
        <v>90</v>
      </c>
      <c r="AE15" s="75">
        <f>IF(I15="",IFERROR(INDEX('8M'!C$300:C$400,MATCH("*"&amp;H15&amp;"*",'8M'!B$300:B$400,0)),"  "),IFERROR(INDEX('8N'!D$300:D$400,MATCH("*"&amp;H15&amp;"*",'8N'!B$300:B$400,0)),"  "))</f>
        <v>84</v>
      </c>
      <c r="AF15" s="908">
        <f>IFERROR(INDEX('8M'!C$300:C$400,MATCH("*"&amp;H15&amp;"*",'8M'!B$300:B$400,0)),"  ")</f>
        <v>84</v>
      </c>
      <c r="AG15" s="907" t="str">
        <f>IFERROR(INDEX('8N'!C$300:C$400,MATCH("*"&amp;H15&amp;"*",'8N'!B$300:B$400,0)),"  ")</f>
        <v xml:space="preserve">  </v>
      </c>
      <c r="AH15" s="440"/>
      <c r="AI15" s="75">
        <f>IFERROR(INDEX('9'!C$300:C$400,MATCH("*"&amp;H15&amp;"*",'9'!B$300:B$400,0)),"  ")</f>
        <v>105</v>
      </c>
      <c r="AJ15" s="830" t="str">
        <f>IFERROR(INDEX('10'!C$300:C$400,MATCH("*"&amp;H15&amp;"*",'10'!B$300:B$400,0)),"  ")</f>
        <v xml:space="preserve">  </v>
      </c>
      <c r="AK15" s="75">
        <f>IFERROR(INDEX('11'!C$300:C$400,MATCH("*"&amp;H15&amp;"*",'11'!B$300:B$400,0)),"  ")</f>
        <v>69</v>
      </c>
      <c r="AL15" s="75">
        <f>IFERROR(INDEX('12'!C$300:C$400,MATCH("*"&amp;H15&amp;"*",'12'!B$300:B$400,0)),"  ")</f>
        <v>49</v>
      </c>
      <c r="AM15" s="26">
        <f t="shared" ca="1" si="11"/>
        <v>11</v>
      </c>
      <c r="AN15" s="579">
        <f t="shared" ca="1" si="12"/>
        <v>2</v>
      </c>
      <c r="AO15" s="580">
        <f t="shared" ca="1" si="13"/>
        <v>0</v>
      </c>
      <c r="AP15" s="27">
        <f t="shared" ca="1" si="14"/>
        <v>0</v>
      </c>
      <c r="AQ15" s="933">
        <f t="shared" si="17"/>
        <v>1E-3</v>
      </c>
      <c r="AR15" s="933">
        <f t="shared" ca="1" si="18"/>
        <v>38.000500000000002</v>
      </c>
    </row>
    <row r="16" spans="1:44" x14ac:dyDescent="0.2">
      <c r="A16" s="851" t="str">
        <f t="shared" ca="1" si="2"/>
        <v/>
      </c>
      <c r="B16" s="77">
        <f t="shared" si="3"/>
        <v>0</v>
      </c>
      <c r="C16" s="925">
        <f t="shared" ca="1" si="15"/>
        <v>3</v>
      </c>
      <c r="D16" s="76">
        <f t="shared" ca="1" si="4"/>
        <v>10971</v>
      </c>
      <c r="E16" s="855" t="str">
        <f t="shared" ca="1" si="16"/>
        <v/>
      </c>
      <c r="F16" s="899">
        <f t="shared" si="5"/>
        <v>0</v>
      </c>
      <c r="G16" s="897">
        <f t="shared" ca="1" si="6"/>
        <v>8</v>
      </c>
      <c r="H16" s="133" t="s">
        <v>54</v>
      </c>
      <c r="I16" s="38" t="s">
        <v>32</v>
      </c>
      <c r="J16" s="585"/>
      <c r="K16" s="586"/>
      <c r="L16" s="587"/>
      <c r="M16" s="857">
        <f ca="1">(IF(COUNT(V16,AA16,AD16,AI16,AJ16,AL16)&lt;5,SUM(V16,AA16,AD16,AI16,AJ16,AL16),SUM(LARGE((V16,AA16,AD16,AI16,AJ16,AL16),{1;2;3;4;5}))))+(IF(COUNT(U16,W16,AB16,AC16,AE16,AK16)&lt;5,SUM(U16,W16,AB16,AC16,AE16,AK16),SUM(LARGE((U16,W16,AB16,AC16,AE16,AK16),{1;2;3;4;5}))))+T16</f>
        <v>841</v>
      </c>
      <c r="N16" s="862">
        <f ca="1">IF(I16="n",((IF(COUNT(V16,AA16,AD16,AI16,AJ16,AL16)&lt;5,SUM(V16,AA16,AD16,AI16,AJ16,AL16),SUM(LARGE((V16,AA16,AD16,AI16,AJ16,AL16),{1;2;3;4;5}))))+(IF(COUNT(U16,Y16,AB16,AC16,AG16,AK16)&lt;5,SUM(U16,Y16,AB16,AC16,AG16,AK16),SUM(LARGE((U16,Y16,AB16,AC16,AG16,AK16),{1;2;3;4;5}))))+T16),0)</f>
        <v>971</v>
      </c>
      <c r="O16" s="863">
        <f>IF(J16="j",((IF(COUNT(V16,AA16,AD16,AI16,AJ16,AL16)&lt;5,SUM(V16,AA16,AD16,AI16,AJ16,AL16),SUM(LARGE((V16,AA16,AD16,AI16,AJ16,AL16),{1;2;3;4;5}))))+(IF(COUNT(U16,W16,AB16,AC16,AE16,AK16)&lt;5,SUM(U16,W16,AB16,AC16,AE16,AK16),SUM(LARGE((U16,W16,AB16,AC16,AE16,AK16),{1;2;3;4;5}))))+T16),0)</f>
        <v>0</v>
      </c>
      <c r="P16" s="886" t="str">
        <f t="shared" ca="1" si="7"/>
        <v>841,0</v>
      </c>
      <c r="Q16" s="890">
        <f t="shared" si="8"/>
        <v>12</v>
      </c>
      <c r="R16" s="886" t="str">
        <f t="shared" ca="1" si="9"/>
        <v>0841,0-012</v>
      </c>
      <c r="S16" s="889">
        <f t="shared" ca="1" si="10"/>
        <v>186</v>
      </c>
      <c r="T16" s="847">
        <v>1</v>
      </c>
      <c r="U16" s="75">
        <f>IFERROR(INDEX('1'!C$300:C$400,MATCH("*"&amp;H16&amp;"*",'1'!B$300:B$400,0)),"  ")</f>
        <v>69</v>
      </c>
      <c r="V16" s="199">
        <f>IFERROR(INDEX('2'!C$300:C$400,MATCH("*"&amp;H16&amp;"*",'2'!B$300:B$400,0)),"  ")</f>
        <v>115</v>
      </c>
      <c r="W16" s="199">
        <f ca="1">IF(I16="",IFERROR(INDEX('3M'!C$300:C$400,MATCH("*"&amp;H16&amp;"*",'3M'!B$300:B$400,0)),"  "),IFERROR(INDEX('3N'!D$300:D$400,MATCH("*"&amp;H16&amp;"*",'3N'!B$300:B$400,0)),"  "))</f>
        <v>93</v>
      </c>
      <c r="X16" s="908" t="str">
        <f ca="1">IFERROR(INDEX('3M'!C$300:C$400,MATCH("*"&amp;H16&amp;"*",'3M'!B$300:B$400,0)),"  ")</f>
        <v xml:space="preserve">  </v>
      </c>
      <c r="Y16" s="907">
        <f ca="1">IFERROR(INDEX('3N'!C$300:C$400,MATCH("*"&amp;H16&amp;"*",'3N'!B$300:B$400,0)),"  ")</f>
        <v>158</v>
      </c>
      <c r="Z16" s="440"/>
      <c r="AA16" s="75">
        <f>IFERROR(INDEX('4'!C$300:C$400,MATCH("*"&amp;H16&amp;"*",'4'!B$300:B$400,0)),"  ")</f>
        <v>105</v>
      </c>
      <c r="AB16" s="75">
        <f>IFERROR(INDEX('5'!C$300:C$400,MATCH("*"&amp;H16&amp;"*",'5'!B$300:B$400,0)),"  ")</f>
        <v>84</v>
      </c>
      <c r="AC16" s="75">
        <f>IFERROR(INDEX('6'!C$300:C$400,MATCH("*"&amp;H16&amp;"*",'6'!B$300:B$400,0)),"  ")</f>
        <v>126</v>
      </c>
      <c r="AD16" s="75">
        <f>IFERROR(INDEX('7'!C$300:C$400,MATCH("*"&amp;H16&amp;"*",'7'!B$300:B$400,0)),"  ")</f>
        <v>105</v>
      </c>
      <c r="AE16" s="75">
        <f>IF(I16="",IFERROR(INDEX('8M'!C$300:C$400,MATCH("*"&amp;H16&amp;"*",'8M'!B$300:B$400,0)),"  "),IFERROR(INDEX('8N'!D$300:D$400,MATCH("*"&amp;H16&amp;"*",'8N'!B$300:B$400,0)),"  "))</f>
        <v>93</v>
      </c>
      <c r="AF16" s="908" t="str">
        <f>IFERROR(INDEX('8M'!C$300:C$400,MATCH("*"&amp;H16&amp;"*",'8M'!B$300:B$400,0)),"  ")</f>
        <v xml:space="preserve">  </v>
      </c>
      <c r="AG16" s="907">
        <f>IFERROR(INDEX('8N'!C$300:C$400,MATCH("*"&amp;H16&amp;"*",'8N'!B$300:B$400,0)),"  ")</f>
        <v>158</v>
      </c>
      <c r="AH16" s="440"/>
      <c r="AI16" s="75">
        <f>IFERROR(INDEX('9'!C$300:C$400,MATCH("*"&amp;H16&amp;"*",'9'!B$300:B$400,0)),"  ")</f>
        <v>34</v>
      </c>
      <c r="AJ16" s="830" t="str">
        <f>IFERROR(INDEX('10'!C$300:C$400,MATCH("*"&amp;H16&amp;"*",'10'!B$300:B$400,0)),"  ")</f>
        <v xml:space="preserve">  </v>
      </c>
      <c r="AK16" s="75">
        <f>IFERROR(INDEX('11'!C$300:C$400,MATCH("*"&amp;H16&amp;"*",'11'!B$300:B$400,0)),"  ")</f>
        <v>47</v>
      </c>
      <c r="AL16" s="75">
        <f>IFERROR(INDEX('12'!C$300:C$400,MATCH("*"&amp;H16&amp;"*",'12'!B$300:B$400,0)),"  ")</f>
        <v>16</v>
      </c>
      <c r="AM16" s="26">
        <f t="shared" ca="1" si="11"/>
        <v>11</v>
      </c>
      <c r="AN16" s="579">
        <f t="shared" ca="1" si="12"/>
        <v>5</v>
      </c>
      <c r="AO16" s="580">
        <f t="shared" ca="1" si="13"/>
        <v>1</v>
      </c>
      <c r="AP16" s="27">
        <f t="shared" ca="1" si="14"/>
        <v>0</v>
      </c>
      <c r="AQ16" s="933">
        <f t="shared" si="17"/>
        <v>1E-3</v>
      </c>
      <c r="AR16" s="933">
        <f t="shared" ca="1" si="18"/>
        <v>47.001100000000001</v>
      </c>
    </row>
    <row r="17" spans="1:44" x14ac:dyDescent="0.2">
      <c r="A17" s="851">
        <f t="shared" ca="1" si="2"/>
        <v>6</v>
      </c>
      <c r="B17" s="77">
        <f t="shared" ca="1" si="3"/>
        <v>10826</v>
      </c>
      <c r="C17" s="853" t="str">
        <f t="shared" ca="1" si="15"/>
        <v/>
      </c>
      <c r="D17" s="76">
        <f t="shared" si="4"/>
        <v>0</v>
      </c>
      <c r="E17" s="855" t="str">
        <f t="shared" ca="1" si="16"/>
        <v/>
      </c>
      <c r="F17" s="899">
        <f t="shared" si="5"/>
        <v>0</v>
      </c>
      <c r="G17" s="897">
        <f t="shared" ca="1" si="6"/>
        <v>9</v>
      </c>
      <c r="H17" s="133" t="s">
        <v>30</v>
      </c>
      <c r="I17" s="38"/>
      <c r="J17" s="585"/>
      <c r="K17" s="586"/>
      <c r="L17" s="587"/>
      <c r="M17" s="857">
        <f ca="1">(IF(COUNT(V17,AA17,AD17,AI17,AJ17,AL17)&lt;5,SUM(V17,AA17,AD17,AI17,AJ17,AL17),SUM(LARGE((V17,AA17,AD17,AI17,AJ17,AL17),{1;2;3;4;5}))))+(IF(COUNT(U17,W17,AB17,AC17,AE17,AK17)&lt;5,SUM(U17,W17,AB17,AC17,AE17,AK17),SUM(LARGE((U17,W17,AB17,AC17,AE17,AK17),{1;2;3;4;5}))))+T17</f>
        <v>826</v>
      </c>
      <c r="N17" s="862">
        <f>IF(I17="n",((IF(COUNT(V17,AA17,AD17,AI17,AJ17,AL17)&lt;5,SUM(V17,AA17,AD17,AI17,AJ17,AL17),SUM(LARGE((V17,AA17,AD17,AI17,AJ17,AL17),{1;2;3;4;5}))))+(IF(COUNT(U17,Y17,AB17,AC17,AG17,AK17)&lt;5,SUM(U17,Y17,AB17,AC17,AG17,AK17),SUM(LARGE((U17,Y17,AB17,AC17,AG17,AK17),{1;2;3;4;5}))))+T17),0)</f>
        <v>0</v>
      </c>
      <c r="O17" s="863">
        <f>IF(J17="j",((IF(COUNT(V17,AA17,AD17,AI17,AJ17,AL17)&lt;5,SUM(V17,AA17,AD17,AI17,AJ17,AL17),SUM(LARGE((V17,AA17,AD17,AI17,AJ17,AL17),{1;2;3;4;5}))))+(IF(COUNT(U17,W17,AB17,AC17,AE17,AK17)&lt;5,SUM(U17,W17,AB17,AC17,AE17,AK17),SUM(LARGE((U17,W17,AB17,AC17,AE17,AK17),{1;2;3;4;5}))))+T17),0)</f>
        <v>0</v>
      </c>
      <c r="P17" s="886" t="str">
        <f t="shared" ca="1" si="7"/>
        <v>826,0</v>
      </c>
      <c r="Q17" s="890">
        <f t="shared" si="8"/>
        <v>39</v>
      </c>
      <c r="R17" s="886" t="str">
        <f t="shared" ca="1" si="9"/>
        <v>0826,0-039</v>
      </c>
      <c r="S17" s="889">
        <f t="shared" ca="1" si="10"/>
        <v>185</v>
      </c>
      <c r="T17" s="847">
        <v>1</v>
      </c>
      <c r="U17" s="75">
        <f>IFERROR(INDEX('1'!C$300:C$400,MATCH("*"&amp;H17&amp;"*",'1'!B$300:B$400,0)),"  ")</f>
        <v>78</v>
      </c>
      <c r="V17" s="199">
        <f>IFERROR(INDEX('2'!C$300:C$400,MATCH("*"&amp;H17&amp;"*",'2'!B$300:B$400,0)),"  ")</f>
        <v>69</v>
      </c>
      <c r="W17" s="199">
        <f ca="1">IF(I17="",IFERROR(INDEX('3M'!C$300:C$400,MATCH("*"&amp;H17&amp;"*",'3M'!B$300:B$400,0)),"  "),IFERROR(INDEX('3N'!D$300:D$400,MATCH("*"&amp;H17&amp;"*",'3N'!B$300:B$400,0)),"  "))</f>
        <v>78</v>
      </c>
      <c r="X17" s="908">
        <f ca="1">IFERROR(INDEX('3M'!C$300:C$400,MATCH("*"&amp;H17&amp;"*",'3M'!B$300:B$400,0)),"  ")</f>
        <v>78</v>
      </c>
      <c r="Y17" s="907" t="str">
        <f ca="1">IFERROR(INDEX('3N'!C$300:C$400,MATCH("*"&amp;H17&amp;"*",'3N'!B$300:B$400,0)),"  ")</f>
        <v xml:space="preserve">  </v>
      </c>
      <c r="Z17" s="440"/>
      <c r="AA17" s="75">
        <f>IFERROR(INDEX('4'!C$300:C$400,MATCH("*"&amp;H17&amp;"*",'4'!B$300:B$400,0)),"  ")</f>
        <v>97</v>
      </c>
      <c r="AB17" s="75">
        <f>IFERROR(INDEX('5'!C$300:C$400,MATCH("*"&amp;H17&amp;"*",'5'!B$300:B$400,0)),"  ")</f>
        <v>135</v>
      </c>
      <c r="AC17" s="75">
        <f>IFERROR(INDEX('6'!C$300:C$400,MATCH("*"&amp;H17&amp;"*",'6'!B$300:B$400,0)),"  ")</f>
        <v>111</v>
      </c>
      <c r="AD17" s="75">
        <f>IFERROR(INDEX('7'!C$300:C$400,MATCH("*"&amp;H17&amp;"*",'7'!B$300:B$400,0)),"  ")</f>
        <v>60</v>
      </c>
      <c r="AE17" s="75">
        <f>IF(I17="",IFERROR(INDEX('8M'!C$300:C$400,MATCH("*"&amp;H17&amp;"*",'8M'!B$300:B$400,0)),"  "),IFERROR(INDEX('8N'!D$300:D$400,MATCH("*"&amp;H17&amp;"*",'8N'!B$300:B$400,0)),"  "))</f>
        <v>60</v>
      </c>
      <c r="AF17" s="908">
        <f>IFERROR(INDEX('8M'!C$300:C$400,MATCH("*"&amp;H17&amp;"*",'8M'!B$300:B$400,0)),"  ")</f>
        <v>60</v>
      </c>
      <c r="AG17" s="907" t="str">
        <f>IFERROR(INDEX('8N'!C$300:C$400,MATCH("*"&amp;H17&amp;"*",'8N'!B$300:B$400,0)),"  ")</f>
        <v xml:space="preserve">  </v>
      </c>
      <c r="AH17" s="440"/>
      <c r="AI17" s="75">
        <f>IFERROR(INDEX('9'!C$300:C$400,MATCH("*"&amp;H17&amp;"*",'9'!B$300:B$400,0)),"  ")</f>
        <v>74</v>
      </c>
      <c r="AJ17" s="830">
        <f>IFERROR(INDEX('10'!C$300:C$400,MATCH("*"&amp;H17&amp;"*",'10'!B$300:B$400,0)),"  ")</f>
        <v>49</v>
      </c>
      <c r="AK17" s="75">
        <f>IFERROR(INDEX('11'!C$300:C$400,MATCH("*"&amp;H17&amp;"*",'11'!B$300:B$400,0)),"  ")</f>
        <v>74</v>
      </c>
      <c r="AL17" s="75">
        <f>IFERROR(INDEX('12'!C$300:C$400,MATCH("*"&amp;H17&amp;"*",'12'!B$300:B$400,0)),"  ")</f>
        <v>25</v>
      </c>
      <c r="AM17" s="26">
        <f t="shared" ca="1" si="11"/>
        <v>12</v>
      </c>
      <c r="AN17" s="579">
        <f t="shared" ca="1" si="12"/>
        <v>1</v>
      </c>
      <c r="AO17" s="580">
        <f t="shared" ca="1" si="13"/>
        <v>0</v>
      </c>
      <c r="AP17" s="27">
        <f t="shared" ca="1" si="14"/>
        <v>0</v>
      </c>
      <c r="AQ17" s="933">
        <f t="shared" si="17"/>
        <v>25.001200000000001</v>
      </c>
      <c r="AR17" s="933">
        <f t="shared" ca="1" si="18"/>
        <v>60.000799999999998</v>
      </c>
    </row>
    <row r="18" spans="1:44" x14ac:dyDescent="0.2">
      <c r="A18" s="851">
        <f t="shared" ca="1" si="2"/>
        <v>7</v>
      </c>
      <c r="B18" s="77">
        <f t="shared" ca="1" si="3"/>
        <v>10796.5</v>
      </c>
      <c r="C18" s="853" t="str">
        <f t="shared" ca="1" si="15"/>
        <v/>
      </c>
      <c r="D18" s="76">
        <f t="shared" si="4"/>
        <v>0</v>
      </c>
      <c r="E18" s="855" t="str">
        <f t="shared" ca="1" si="16"/>
        <v/>
      </c>
      <c r="F18" s="899">
        <f t="shared" si="5"/>
        <v>0</v>
      </c>
      <c r="G18" s="897">
        <f t="shared" ca="1" si="6"/>
        <v>10</v>
      </c>
      <c r="H18" s="133" t="s">
        <v>222</v>
      </c>
      <c r="I18" s="38"/>
      <c r="J18" s="585"/>
      <c r="K18" s="586"/>
      <c r="L18" s="587"/>
      <c r="M18" s="857">
        <f ca="1">(IF(COUNT(V18,AA18,AD18,AI18,AJ18,AL18)&lt;5,SUM(V18,AA18,AD18,AI18,AJ18,AL18),SUM(LARGE((V18,AA18,AD18,AI18,AJ18,AL18),{1;2;3;4;5}))))+(IF(COUNT(U18,W18,AB18,AC18,AE18,AK18)&lt;5,SUM(U18,W18,AB18,AC18,AE18,AK18),SUM(LARGE((U18,W18,AB18,AC18,AE18,AK18),{1;2;3;4;5}))))+T18</f>
        <v>796.5</v>
      </c>
      <c r="N18" s="862">
        <f>IF(I18="n",((IF(COUNT(V18,AA18,AD18,AI18,AJ18,AL18)&lt;5,SUM(V18,AA18,AD18,AI18,AJ18,AL18),SUM(LARGE((V18,AA18,AD18,AI18,AJ18,AL18),{1;2;3;4;5}))))+(IF(COUNT(U18,Y18,AB18,AC18,AG18,AK18)&lt;5,SUM(U18,Y18,AB18,AC18,AG18,AK18),SUM(LARGE((U18,Y18,AB18,AC18,AG18,AK18),{1;2;3;4;5}))))+T18),0)</f>
        <v>0</v>
      </c>
      <c r="O18" s="863">
        <f>IF(J18="j",((IF(COUNT(V18,AA18,AD18,AI18,AJ18,AL18)&lt;5,SUM(V18,AA18,AD18,AI18,AJ18,AL18),SUM(LARGE((V18,AA18,AD18,AI18,AJ18,AL18),{1;2;3;4;5}))))+(IF(COUNT(U18,W18,AB18,AC18,AE18,AK18)&lt;5,SUM(U18,W18,AB18,AC18,AE18,AK18),SUM(LARGE((U18,W18,AB18,AC18,AE18,AK18),{1;2;3;4;5}))))+T18),0)</f>
        <v>0</v>
      </c>
      <c r="P18" s="886" t="str">
        <f t="shared" ca="1" si="7"/>
        <v>796,5</v>
      </c>
      <c r="Q18" s="890">
        <f t="shared" si="8"/>
        <v>90</v>
      </c>
      <c r="R18" s="886" t="str">
        <f t="shared" ca="1" si="9"/>
        <v>0796,5-090</v>
      </c>
      <c r="S18" s="889">
        <f t="shared" ca="1" si="10"/>
        <v>184</v>
      </c>
      <c r="T18" s="849">
        <v>35.5</v>
      </c>
      <c r="U18" s="75">
        <f>IFERROR(INDEX('1'!C$300:C$400,MATCH("*"&amp;H18&amp;"*",'1'!B$300:B$400,0)),"  ")</f>
        <v>173</v>
      </c>
      <c r="V18" s="199" t="str">
        <f>IFERROR(INDEX('2'!C$300:C$400,MATCH("*"&amp;H18&amp;"*",'2'!B$300:B$400,0)),"  ")</f>
        <v xml:space="preserve">  </v>
      </c>
      <c r="W18" s="199" t="str">
        <f ca="1">IF(I18="",IFERROR(INDEX('3M'!C$300:C$400,MATCH("*"&amp;H18&amp;"*",'3M'!B$300:B$400,0)),"  "),IFERROR(INDEX('3N'!D$300:D$400,MATCH("*"&amp;H18&amp;"*",'3N'!B$300:B$400,0)),"  "))</f>
        <v xml:space="preserve">  </v>
      </c>
      <c r="X18" s="908" t="str">
        <f ca="1">IFERROR(INDEX('3M'!C$300:C$400,MATCH("*"&amp;H18&amp;"*",'3M'!B$300:B$400,0)),"  ")</f>
        <v xml:space="preserve">  </v>
      </c>
      <c r="Y18" s="907" t="str">
        <f ca="1">IFERROR(INDEX('3N'!C$300:C$400,MATCH("*"&amp;H18&amp;"*",'3N'!B$300:B$400,0)),"  ")</f>
        <v xml:space="preserve">  </v>
      </c>
      <c r="Z18" s="440"/>
      <c r="AA18" s="75" t="str">
        <f>IFERROR(INDEX('4'!C$300:C$400,MATCH("*"&amp;H18&amp;"*",'4'!B$300:B$400,0)),"  ")</f>
        <v xml:space="preserve">  </v>
      </c>
      <c r="AB18" s="75">
        <f>IFERROR(INDEX('5'!C$300:C$400,MATCH("*"&amp;H18&amp;"*",'5'!B$300:B$400,0)),"  ")</f>
        <v>173</v>
      </c>
      <c r="AC18" s="75">
        <f>IFERROR(INDEX('6'!C$300:C$400,MATCH("*"&amp;H18&amp;"*",'6'!B$300:B$400,0)),"  ")</f>
        <v>173</v>
      </c>
      <c r="AD18" s="75" t="str">
        <f>IFERROR(INDEX('7'!C$300:C$400,MATCH("*"&amp;H18&amp;"*",'7'!B$300:B$400,0)),"  ")</f>
        <v xml:space="preserve">  </v>
      </c>
      <c r="AE18" s="75" t="str">
        <f>IF(I18="",IFERROR(INDEX('8M'!C$300:C$400,MATCH("*"&amp;H18&amp;"*",'8M'!B$300:B$400,0)),"  "),IFERROR(INDEX('8N'!D$300:D$400,MATCH("*"&amp;H18&amp;"*",'8N'!B$300:B$400,0)),"  "))</f>
        <v xml:space="preserve">  </v>
      </c>
      <c r="AF18" s="908" t="str">
        <f>IFERROR(INDEX('8M'!C$300:C$400,MATCH("*"&amp;H18&amp;"*",'8M'!B$300:B$400,0)),"  ")</f>
        <v xml:space="preserve">  </v>
      </c>
      <c r="AG18" s="907" t="str">
        <f>IFERROR(INDEX('8N'!C$300:C$400,MATCH("*"&amp;H18&amp;"*",'8N'!B$300:B$400,0)),"  ")</f>
        <v xml:space="preserve">  </v>
      </c>
      <c r="AH18" s="440"/>
      <c r="AI18" s="75" t="str">
        <f>IFERROR(INDEX('9'!C$300:C$400,MATCH("*"&amp;H18&amp;"*",'9'!B$300:B$400,0)),"  ")</f>
        <v xml:space="preserve">  </v>
      </c>
      <c r="AJ18" s="830" t="str">
        <f>IFERROR(INDEX('10'!C$300:C$400,MATCH("*"&amp;H18&amp;"*",'10'!B$300:B$400,0)),"  ")</f>
        <v xml:space="preserve">  </v>
      </c>
      <c r="AK18" s="75">
        <f>IFERROR(INDEX('11'!C$300:C$400,MATCH("*"&amp;H18&amp;"*",'11'!B$300:B$400,0)),"  ")</f>
        <v>173</v>
      </c>
      <c r="AL18" s="75">
        <f>IFERROR(INDEX('12'!C$300:C$400,MATCH("*"&amp;H18&amp;"*",'12'!B$300:B$400,0)),"  ")</f>
        <v>69</v>
      </c>
      <c r="AM18" s="26">
        <f t="shared" ca="1" si="11"/>
        <v>5</v>
      </c>
      <c r="AN18" s="579">
        <f t="shared" ca="1" si="12"/>
        <v>4</v>
      </c>
      <c r="AO18" s="580">
        <f t="shared" ca="1" si="13"/>
        <v>4</v>
      </c>
      <c r="AP18" s="27">
        <f t="shared" ca="1" si="14"/>
        <v>4</v>
      </c>
      <c r="AQ18" s="933">
        <f t="shared" si="17"/>
        <v>2.0000000000000001E-4</v>
      </c>
      <c r="AR18" s="933">
        <f t="shared" ca="1" si="18"/>
        <v>2.9999999999999997E-4</v>
      </c>
    </row>
    <row r="19" spans="1:44" x14ac:dyDescent="0.2">
      <c r="A19" s="851" t="str">
        <f t="shared" ca="1" si="2"/>
        <v/>
      </c>
      <c r="B19" s="77">
        <f t="shared" si="3"/>
        <v>0</v>
      </c>
      <c r="C19" s="853">
        <f t="shared" ca="1" si="15"/>
        <v>5</v>
      </c>
      <c r="D19" s="76">
        <f t="shared" ca="1" si="4"/>
        <v>10846</v>
      </c>
      <c r="E19" s="855" t="str">
        <f t="shared" ca="1" si="16"/>
        <v/>
      </c>
      <c r="F19" s="899">
        <f t="shared" si="5"/>
        <v>0</v>
      </c>
      <c r="G19" s="897">
        <f t="shared" ca="1" si="6"/>
        <v>11</v>
      </c>
      <c r="H19" s="133" t="s">
        <v>62</v>
      </c>
      <c r="I19" s="38" t="s">
        <v>32</v>
      </c>
      <c r="J19" s="585"/>
      <c r="K19" s="586"/>
      <c r="L19" s="587"/>
      <c r="M19" s="857">
        <f ca="1">(IF(COUNT(V19,AA19,AD19,AI19,AJ19,AL19)&lt;5,SUM(V19,AA19,AD19,AI19,AJ19,AL19),SUM(LARGE((V19,AA19,AD19,AI19,AJ19,AL19),{1;2;3;4;5}))))+(IF(COUNT(U19,W19,AB19,AC19,AE19,AK19)&lt;5,SUM(U19,W19,AB19,AC19,AE19,AK19),SUM(LARGE((U19,W19,AB19,AC19,AE19,AK19),{1;2;3;4;5}))))+T19</f>
        <v>785</v>
      </c>
      <c r="N19" s="862">
        <f ca="1">IF(I19="n",((IF(COUNT(V19,AA19,AD19,AI19,AJ19,AL19)&lt;5,SUM(V19,AA19,AD19,AI19,AJ19,AL19),SUM(LARGE((V19,AA19,AD19,AI19,AJ19,AL19),{1;2;3;4;5}))))+(IF(COUNT(U19,Y19,AB19,AC19,AG19,AK19)&lt;5,SUM(U19,Y19,AB19,AC19,AG19,AK19),SUM(LARGE((U19,Y19,AB19,AC19,AG19,AK19),{1;2;3;4;5}))))+T19),0)</f>
        <v>846</v>
      </c>
      <c r="O19" s="863">
        <f>IF(J19="j",((IF(COUNT(V19,AA19,AD19,AI19,AJ19,AL19)&lt;5,SUM(V19,AA19,AD19,AI19,AJ19,AL19),SUM(LARGE((V19,AA19,AD19,AI19,AJ19,AL19),{1;2;3;4;5}))))+(IF(COUNT(U19,W19,AB19,AC19,AE19,AK19)&lt;5,SUM(U19,W19,AB19,AC19,AE19,AK19),SUM(LARGE((U19,W19,AB19,AC19,AE19,AK19),{1;2;3;4;5}))))+T19),0)</f>
        <v>0</v>
      </c>
      <c r="P19" s="886" t="str">
        <f t="shared" ca="1" si="7"/>
        <v>785,0</v>
      </c>
      <c r="Q19" s="890">
        <f t="shared" si="8"/>
        <v>97</v>
      </c>
      <c r="R19" s="886" t="str">
        <f t="shared" ca="1" si="9"/>
        <v>0785,0-097</v>
      </c>
      <c r="S19" s="889">
        <f t="shared" ca="1" si="10"/>
        <v>183</v>
      </c>
      <c r="T19" s="847">
        <v>1</v>
      </c>
      <c r="U19" s="75">
        <f>IFERROR(INDEX('1'!C$300:C$400,MATCH("*"&amp;H19&amp;"*",'1'!B$300:B$400,0)),"  ")</f>
        <v>104</v>
      </c>
      <c r="V19" s="199">
        <f>IFERROR(INDEX('2'!C$300:C$400,MATCH("*"&amp;H19&amp;"*",'2'!B$300:B$400,0)),"  ")</f>
        <v>115</v>
      </c>
      <c r="W19" s="199" t="str">
        <f ca="1">IF(I19="",IFERROR(INDEX('3M'!C$300:C$400,MATCH("*"&amp;H19&amp;"*",'3M'!B$300:B$400,0)),"  "),IFERROR(INDEX('3N'!D$300:D$400,MATCH("*"&amp;H19&amp;"*",'3N'!B$300:B$400,0)),"  "))</f>
        <v xml:space="preserve">  </v>
      </c>
      <c r="X19" s="908" t="str">
        <f ca="1">IFERROR(INDEX('3M'!C$300:C$400,MATCH("*"&amp;H19&amp;"*",'3M'!B$300:B$400,0)),"  ")</f>
        <v xml:space="preserve">  </v>
      </c>
      <c r="Y19" s="907" t="str">
        <f ca="1">IFERROR(INDEX('3N'!C$300:C$400,MATCH("*"&amp;H19&amp;"*",'3N'!B$300:B$400,0)),"  ")</f>
        <v xml:space="preserve">  </v>
      </c>
      <c r="Z19" s="440"/>
      <c r="AA19" s="75">
        <f>IFERROR(INDEX('4'!C$300:C$400,MATCH("*"&amp;H19&amp;"*",'4'!B$300:B$400,0)),"  ")</f>
        <v>105</v>
      </c>
      <c r="AB19" s="75" t="str">
        <f>IFERROR(INDEX('5'!C$300:C$400,MATCH("*"&amp;H19&amp;"*",'5'!B$300:B$400,0)),"  ")</f>
        <v xml:space="preserve">  </v>
      </c>
      <c r="AC19" s="75">
        <f>IFERROR(INDEX('6'!C$300:C$400,MATCH("*"&amp;H19&amp;"*",'6'!B$300:B$400,0)),"  ")</f>
        <v>126</v>
      </c>
      <c r="AD19" s="75">
        <f>IFERROR(INDEX('7'!C$300:C$400,MATCH("*"&amp;H19&amp;"*",'7'!B$300:B$400,0)),"  ")</f>
        <v>105</v>
      </c>
      <c r="AE19" s="75">
        <f>IF(I19="",IFERROR(INDEX('8M'!C$300:C$400,MATCH("*"&amp;H19&amp;"*",'8M'!B$300:B$400,0)),"  "),IFERROR(INDEX('8N'!D$300:D$400,MATCH("*"&amp;H19&amp;"*",'8N'!B$300:B$400,0)),"  "))</f>
        <v>74</v>
      </c>
      <c r="AF19" s="908" t="str">
        <f>IFERROR(INDEX('8M'!C$300:C$400,MATCH("*"&amp;H19&amp;"*",'8M'!B$300:B$400,0)),"  ")</f>
        <v xml:space="preserve">  </v>
      </c>
      <c r="AG19" s="907">
        <f>IFERROR(INDEX('8N'!C$300:C$400,MATCH("*"&amp;H19&amp;"*",'8N'!B$300:B$400,0)),"  ")</f>
        <v>135</v>
      </c>
      <c r="AH19" s="440"/>
      <c r="AI19" s="75">
        <f>IFERROR(INDEX('9'!C$300:C$400,MATCH("*"&amp;H19&amp;"*",'9'!B$300:B$400,0)),"  ")</f>
        <v>34</v>
      </c>
      <c r="AJ19" s="830">
        <f>IFERROR(INDEX('10'!C$300:C$400,MATCH("*"&amp;H19&amp;"*",'10'!B$300:B$400,0)),"  ")</f>
        <v>74</v>
      </c>
      <c r="AK19" s="75">
        <f>IFERROR(INDEX('11'!C$300:C$400,MATCH("*"&amp;H19&amp;"*",'11'!B$300:B$400,0)),"  ")</f>
        <v>47</v>
      </c>
      <c r="AL19" s="75">
        <f>IFERROR(INDEX('12'!C$300:C$400,MATCH("*"&amp;H19&amp;"*",'12'!B$300:B$400,0)),"  ")</f>
        <v>16</v>
      </c>
      <c r="AM19" s="26">
        <f t="shared" ca="1" si="11"/>
        <v>10</v>
      </c>
      <c r="AN19" s="579">
        <f t="shared" ca="1" si="12"/>
        <v>3</v>
      </c>
      <c r="AO19" s="580">
        <f t="shared" ca="1" si="13"/>
        <v>1</v>
      </c>
      <c r="AP19" s="27">
        <f t="shared" ca="1" si="14"/>
        <v>0</v>
      </c>
      <c r="AQ19" s="933">
        <f t="shared" si="17"/>
        <v>16.001200000000001</v>
      </c>
      <c r="AR19" s="933">
        <f t="shared" ca="1" si="18"/>
        <v>2.9999999999999997E-4</v>
      </c>
    </row>
    <row r="20" spans="1:44" x14ac:dyDescent="0.2">
      <c r="A20" s="851">
        <f t="shared" ca="1" si="2"/>
        <v>8</v>
      </c>
      <c r="B20" s="77">
        <f t="shared" ca="1" si="3"/>
        <v>10775</v>
      </c>
      <c r="C20" s="853" t="str">
        <f t="shared" ca="1" si="15"/>
        <v/>
      </c>
      <c r="D20" s="76">
        <f t="shared" si="4"/>
        <v>0</v>
      </c>
      <c r="E20" s="855" t="str">
        <f t="shared" ca="1" si="16"/>
        <v/>
      </c>
      <c r="F20" s="899">
        <f t="shared" si="5"/>
        <v>0</v>
      </c>
      <c r="G20" s="897">
        <f t="shared" ca="1" si="6"/>
        <v>12</v>
      </c>
      <c r="H20" s="133" t="s">
        <v>380</v>
      </c>
      <c r="I20" s="38"/>
      <c r="J20" s="585"/>
      <c r="K20" s="586"/>
      <c r="L20" s="587"/>
      <c r="M20" s="857">
        <f ca="1">(IF(COUNT(V20,AA20,AD20,AI20,AJ20,AL20)&lt;5,SUM(V20,AA20,AD20,AI20,AJ20,AL20),SUM(LARGE((V20,AA20,AD20,AI20,AJ20,AL20),{1;2;3;4;5}))))+(IF(COUNT(U20,W20,AB20,AC20,AE20,AK20)&lt;5,SUM(U20,W20,AB20,AC20,AE20,AK20),SUM(LARGE((U20,W20,AB20,AC20,AE20,AK20),{1;2;3;4;5}))))+T20</f>
        <v>775</v>
      </c>
      <c r="N20" s="862">
        <f>IF(I20="n",((IF(COUNT(V20,AA20,AD20,AI20,AJ20,AL20)&lt;5,SUM(V20,AA20,AD20,AI20,AJ20,AL20),SUM(LARGE((V20,AA20,AD20,AI20,AJ20,AL20),{1;2;3;4;5}))))+(IF(COUNT(U20,Y20,AB20,AC20,AG20,AK20)&lt;5,SUM(U20,Y20,AB20,AC20,AG20,AK20),SUM(LARGE((U20,Y20,AB20,AC20,AG20,AK20),{1;2;3;4;5}))))+T20),0)</f>
        <v>0</v>
      </c>
      <c r="O20" s="863">
        <f>IF(J20="j",((IF(COUNT(V20,AA20,AD20,AI20,AJ20,AL20)&lt;5,SUM(V20,AA20,AD20,AI20,AJ20,AL20),SUM(LARGE((V20,AA20,AD20,AI20,AJ20,AL20),{1;2;3;4;5}))))+(IF(COUNT(U20,W20,AB20,AC20,AE20,AK20)&lt;5,SUM(U20,W20,AB20,AC20,AE20,AK20),SUM(LARGE((U20,W20,AB20,AC20,AE20,AK20),{1;2;3;4;5}))))+T20),0)</f>
        <v>0</v>
      </c>
      <c r="P20" s="886" t="str">
        <f t="shared" ca="1" si="7"/>
        <v>775,0</v>
      </c>
      <c r="Q20" s="890">
        <f t="shared" si="8"/>
        <v>182</v>
      </c>
      <c r="R20" s="886" t="str">
        <f t="shared" ca="1" si="9"/>
        <v>0775,0-182</v>
      </c>
      <c r="S20" s="889">
        <f t="shared" ca="1" si="10"/>
        <v>182</v>
      </c>
      <c r="T20" s="848">
        <v>64</v>
      </c>
      <c r="U20" s="75">
        <f>IFERROR(INDEX('1'!C$300:C$400,MATCH("*"&amp;H20&amp;"*",'1'!B$300:B$400,0)),"  ")</f>
        <v>119</v>
      </c>
      <c r="V20" s="199" t="str">
        <f>IFERROR(INDEX('2'!C$300:C$400,MATCH("*"&amp;H20&amp;"*",'2'!B$300:B$400,0)),"  ")</f>
        <v xml:space="preserve">  </v>
      </c>
      <c r="W20" s="199">
        <f ca="1">IF(I20="",IFERROR(INDEX('3M'!C$300:C$400,MATCH("*"&amp;H20&amp;"*",'3M'!B$300:B$400,0)),"  "),IFERROR(INDEX('3N'!D$300:D$400,MATCH("*"&amp;H20&amp;"*",'3N'!B$300:B$400,0)),"  "))</f>
        <v>126</v>
      </c>
      <c r="X20" s="908">
        <f ca="1">IFERROR(INDEX('3M'!C$300:C$400,MATCH("*"&amp;H20&amp;"*",'3M'!B$300:B$400,0)),"  ")</f>
        <v>126</v>
      </c>
      <c r="Y20" s="907" t="str">
        <f ca="1">IFERROR(INDEX('3N'!C$300:C$400,MATCH("*"&amp;H20&amp;"*",'3N'!B$300:B$400,0)),"  ")</f>
        <v xml:space="preserve">  </v>
      </c>
      <c r="Z20" s="440"/>
      <c r="AA20" s="75" t="str">
        <f>IFERROR(INDEX('4'!C$300:C$400,MATCH("*"&amp;H20&amp;"*",'4'!B$300:B$400,0)),"  ")</f>
        <v xml:space="preserve">  </v>
      </c>
      <c r="AB20" s="75">
        <f>IFERROR(INDEX('5'!C$300:C$400,MATCH("*"&amp;H20&amp;"*",'5'!B$300:B$400,0)),"  ")</f>
        <v>119</v>
      </c>
      <c r="AC20" s="75">
        <f>IFERROR(INDEX('6'!C$300:C$400,MATCH("*"&amp;H20&amp;"*",'6'!B$300:B$400,0)),"  ")</f>
        <v>146</v>
      </c>
      <c r="AD20" s="75" t="str">
        <f>IFERROR(INDEX('7'!C$300:C$400,MATCH("*"&amp;H20&amp;"*",'7'!B$300:B$400,0)),"  ")</f>
        <v xml:space="preserve">  </v>
      </c>
      <c r="AE20" s="75" t="str">
        <f>IF(I20="",IFERROR(INDEX('8M'!C$300:C$400,MATCH("*"&amp;H20&amp;"*",'8M'!B$300:B$400,0)),"  "),IFERROR(INDEX('8N'!D$300:D$400,MATCH("*"&amp;H20&amp;"*",'8N'!B$300:B$400,0)),"  "))</f>
        <v xml:space="preserve">  </v>
      </c>
      <c r="AF20" s="908" t="str">
        <f>IFERROR(INDEX('8M'!C$300:C$400,MATCH("*"&amp;H20&amp;"*",'8M'!B$300:B$400,0)),"  ")</f>
        <v xml:space="preserve">  </v>
      </c>
      <c r="AG20" s="907" t="str">
        <f>IFERROR(INDEX('8N'!C$300:C$400,MATCH("*"&amp;H20&amp;"*",'8N'!B$300:B$400,0)),"  ")</f>
        <v xml:space="preserve">  </v>
      </c>
      <c r="AH20" s="440"/>
      <c r="AI20" s="75" t="str">
        <f>IFERROR(INDEX('9'!C$300:C$400,MATCH("*"&amp;H20&amp;"*",'9'!B$300:B$400,0)),"  ")</f>
        <v xml:space="preserve">  </v>
      </c>
      <c r="AJ20" s="830" t="str">
        <f>IFERROR(INDEX('10'!C$300:C$400,MATCH("*"&amp;H20&amp;"*",'10'!B$300:B$400,0)),"  ")</f>
        <v xml:space="preserve">  </v>
      </c>
      <c r="AK20" s="75">
        <f>IFERROR(INDEX('11'!C$300:C$400,MATCH("*"&amp;H20&amp;"*",'11'!B$300:B$400,0)),"  ")</f>
        <v>158</v>
      </c>
      <c r="AL20" s="75">
        <f>IFERROR(INDEX('12'!C$300:C$400,MATCH("*"&amp;H20&amp;"*",'12'!B$300:B$400,0)),"  ")</f>
        <v>43</v>
      </c>
      <c r="AM20" s="26">
        <f t="shared" ca="1" si="11"/>
        <v>6</v>
      </c>
      <c r="AN20" s="579">
        <f t="shared" ca="1" si="12"/>
        <v>2</v>
      </c>
      <c r="AO20" s="580">
        <f t="shared" ca="1" si="13"/>
        <v>0</v>
      </c>
      <c r="AP20" s="27">
        <f t="shared" ca="1" si="14"/>
        <v>0</v>
      </c>
      <c r="AQ20" s="933">
        <f t="shared" si="17"/>
        <v>2.0000000000000001E-4</v>
      </c>
      <c r="AR20" s="933">
        <f t="shared" ca="1" si="18"/>
        <v>8.0000000000000004E-4</v>
      </c>
    </row>
    <row r="21" spans="1:44" x14ac:dyDescent="0.2">
      <c r="A21" s="851" t="str">
        <f t="shared" ca="1" si="2"/>
        <v/>
      </c>
      <c r="B21" s="77">
        <f t="shared" si="3"/>
        <v>0</v>
      </c>
      <c r="C21" s="853">
        <f t="shared" ca="1" si="15"/>
        <v>4</v>
      </c>
      <c r="D21" s="76">
        <f t="shared" ca="1" si="4"/>
        <v>10869</v>
      </c>
      <c r="E21" s="855" t="str">
        <f t="shared" ca="1" si="16"/>
        <v/>
      </c>
      <c r="F21" s="899">
        <f t="shared" si="5"/>
        <v>0</v>
      </c>
      <c r="G21" s="897">
        <f t="shared" ca="1" si="6"/>
        <v>13</v>
      </c>
      <c r="H21" s="139" t="s">
        <v>51</v>
      </c>
      <c r="I21" s="38" t="s">
        <v>32</v>
      </c>
      <c r="J21" s="585"/>
      <c r="K21" s="586"/>
      <c r="L21" s="587"/>
      <c r="M21" s="857">
        <f ca="1">(IF(COUNT(V21,AA21,AD21,AI21,AJ21,AL21)&lt;5,SUM(V21,AA21,AD21,AI21,AJ21,AL21),SUM(LARGE((V21,AA21,AD21,AI21,AJ21,AL21),{1;2;3;4;5}))))+(IF(COUNT(U21,W21,AB21,AC21,AE21,AK21)&lt;5,SUM(U21,W21,AB21,AC21,AE21,AK21),SUM(LARGE((U21,W21,AB21,AC21,AE21,AK21),{1;2;3;4;5}))))+T21</f>
        <v>745</v>
      </c>
      <c r="N21" s="862">
        <f ca="1">IF(I21="n",((IF(COUNT(V21,AA21,AD21,AI21,AJ21,AL21)&lt;5,SUM(V21,AA21,AD21,AI21,AJ21,AL21),SUM(LARGE((V21,AA21,AD21,AI21,AJ21,AL21),{1;2;3;4;5}))))+(IF(COUNT(U21,Y21,AB21,AC21,AG21,AK21)&lt;5,SUM(U21,Y21,AB21,AC21,AG21,AK21),SUM(LARGE((U21,Y21,AB21,AC21,AG21,AK21),{1;2;3;4;5}))))+T21),0)</f>
        <v>869</v>
      </c>
      <c r="O21" s="863">
        <f>IF(J21="j",((IF(COUNT(V21,AA21,AD21,AI21,AJ21,AL21)&lt;5,SUM(V21,AA21,AD21,AI21,AJ21,AL21),SUM(LARGE((V21,AA21,AD21,AI21,AJ21,AL21),{1;2;3;4;5}))))+(IF(COUNT(U21,W21,AB21,AC21,AE21,AK21)&lt;5,SUM(U21,W21,AB21,AC21,AE21,AK21),SUM(LARGE((U21,W21,AB21,AC21,AE21,AK21),{1;2;3;4;5}))))+T21),0)</f>
        <v>0</v>
      </c>
      <c r="P21" s="886" t="str">
        <f t="shared" ca="1" si="7"/>
        <v>745,0</v>
      </c>
      <c r="Q21" s="890">
        <f t="shared" si="8"/>
        <v>92</v>
      </c>
      <c r="R21" s="886" t="str">
        <f t="shared" ca="1" si="9"/>
        <v>0745,0-092</v>
      </c>
      <c r="S21" s="889">
        <f t="shared" ca="1" si="10"/>
        <v>181</v>
      </c>
      <c r="T21" s="847">
        <v>1</v>
      </c>
      <c r="U21" s="75">
        <f>IFERROR(INDEX('1'!C$300:C$400,MATCH("*"&amp;H21&amp;"*",'1'!B$300:B$400,0)),"  ")</f>
        <v>90</v>
      </c>
      <c r="V21" s="199">
        <f>IFERROR(INDEX('2'!C$300:C$400,MATCH("*"&amp;H21&amp;"*",'2'!B$300:B$400,0)),"  ")</f>
        <v>84</v>
      </c>
      <c r="W21" s="199">
        <f ca="1">IF(I21="",IFERROR(INDEX('3M'!C$300:C$400,MATCH("*"&amp;H21&amp;"*",'3M'!B$300:B$400,0)),"  "),IFERROR(INDEX('3N'!D$300:D$400,MATCH("*"&amp;H21&amp;"*",'3N'!B$300:B$400,0)),"  "))</f>
        <v>57</v>
      </c>
      <c r="X21" s="908" t="str">
        <f ca="1">IFERROR(INDEX('3M'!C$300:C$400,MATCH("*"&amp;H21&amp;"*",'3M'!B$300:B$400,0)),"  ")</f>
        <v xml:space="preserve">  </v>
      </c>
      <c r="Y21" s="907">
        <f ca="1">IFERROR(INDEX('3N'!C$300:C$400,MATCH("*"&amp;H21&amp;"*",'3N'!B$300:B$400,0)),"  ")</f>
        <v>119</v>
      </c>
      <c r="Z21" s="440"/>
      <c r="AA21" s="75">
        <f>IFERROR(INDEX('4'!C$300:C$400,MATCH("*"&amp;H21&amp;"*",'4'!B$300:B$400,0)),"  ")</f>
        <v>97</v>
      </c>
      <c r="AB21" s="75">
        <f>IFERROR(INDEX('5'!C$300:C$400,MATCH("*"&amp;H21&amp;"*",'5'!B$300:B$400,0)),"  ")</f>
        <v>56</v>
      </c>
      <c r="AC21" s="75">
        <f>IFERROR(INDEX('6'!C$300:C$400,MATCH("*"&amp;H21&amp;"*",'6'!B$300:B$400,0)),"  ")</f>
        <v>96</v>
      </c>
      <c r="AD21" s="75">
        <f>IFERROR(INDEX('7'!C$300:C$400,MATCH("*"&amp;H21&amp;"*",'7'!B$300:B$400,0)),"  ")</f>
        <v>64</v>
      </c>
      <c r="AE21" s="75">
        <f>IF(I21="",IFERROR(INDEX('8M'!C$300:C$400,MATCH("*"&amp;H21&amp;"*",'8M'!B$300:B$400,0)),"  "),IFERROR(INDEX('8N'!D$300:D$400,MATCH("*"&amp;H21&amp;"*",'8N'!B$300:B$400,0)),"  "))</f>
        <v>57</v>
      </c>
      <c r="AF21" s="908" t="str">
        <f>IFERROR(INDEX('8M'!C$300:C$400,MATCH("*"&amp;H21&amp;"*",'8M'!B$300:B$400,0)),"  ")</f>
        <v xml:space="preserve">  </v>
      </c>
      <c r="AG21" s="907">
        <f>IFERROR(INDEX('8N'!C$300:C$400,MATCH("*"&amp;H21&amp;"*",'8N'!B$300:B$400,0)),"  ")</f>
        <v>119</v>
      </c>
      <c r="AH21" s="440"/>
      <c r="AI21" s="75">
        <f>IFERROR(INDEX('9'!C$300:C$400,MATCH("*"&amp;H21&amp;"*",'9'!B$300:B$400,0)),"  ")</f>
        <v>74</v>
      </c>
      <c r="AJ21" s="830">
        <f>IFERROR(INDEX('10'!C$300:C$400,MATCH("*"&amp;H21&amp;"*",'10'!B$300:B$400,0)),"  ")</f>
        <v>60</v>
      </c>
      <c r="AK21" s="75">
        <f>IFERROR(INDEX('11'!C$300:C$400,MATCH("*"&amp;H21&amp;"*",'11'!B$300:B$400,0)),"  ")</f>
        <v>65</v>
      </c>
      <c r="AL21" s="75">
        <f>IFERROR(INDEX('12'!C$300:C$400,MATCH("*"&amp;H21&amp;"*",'12'!B$300:B$400,0)),"  ")</f>
        <v>12</v>
      </c>
      <c r="AM21" s="26">
        <f t="shared" ca="1" si="11"/>
        <v>12</v>
      </c>
      <c r="AN21" s="579">
        <f t="shared" ca="1" si="12"/>
        <v>1</v>
      </c>
      <c r="AO21" s="580">
        <f t="shared" ca="1" si="13"/>
        <v>0</v>
      </c>
      <c r="AP21" s="27">
        <f t="shared" ca="1" si="14"/>
        <v>0</v>
      </c>
      <c r="AQ21" s="933">
        <f t="shared" si="17"/>
        <v>12.001200000000001</v>
      </c>
      <c r="AR21" s="933">
        <f t="shared" ca="1" si="18"/>
        <v>56.000500000000002</v>
      </c>
    </row>
    <row r="22" spans="1:44" x14ac:dyDescent="0.2">
      <c r="A22" s="851" t="str">
        <f t="shared" ca="1" si="2"/>
        <v/>
      </c>
      <c r="B22" s="77">
        <f t="shared" si="3"/>
        <v>0</v>
      </c>
      <c r="C22" s="853">
        <f t="shared" ca="1" si="15"/>
        <v>6</v>
      </c>
      <c r="D22" s="76">
        <f t="shared" ca="1" si="4"/>
        <v>10837</v>
      </c>
      <c r="E22" s="855" t="str">
        <f t="shared" ca="1" si="16"/>
        <v/>
      </c>
      <c r="F22" s="899">
        <f t="shared" si="5"/>
        <v>0</v>
      </c>
      <c r="G22" s="897">
        <f t="shared" ca="1" si="6"/>
        <v>14</v>
      </c>
      <c r="H22" s="133" t="s">
        <v>35</v>
      </c>
      <c r="I22" s="38" t="s">
        <v>32</v>
      </c>
      <c r="J22" s="585"/>
      <c r="K22" s="586"/>
      <c r="L22" s="587"/>
      <c r="M22" s="857">
        <f ca="1">(IF(COUNT(V22,AA22,AD22,AI22,AJ22,AL22)&lt;5,SUM(V22,AA22,AD22,AI22,AJ22,AL22),SUM(LARGE((V22,AA22,AD22,AI22,AJ22,AL22),{1;2;3;4;5}))))+(IF(COUNT(U22,W22,AB22,AC22,AE22,AK22)&lt;5,SUM(U22,W22,AB22,AC22,AE22,AK22),SUM(LARGE((U22,W22,AB22,AC22,AE22,AK22),{1;2;3;4;5}))))+T22</f>
        <v>726</v>
      </c>
      <c r="N22" s="862">
        <f ca="1">IF(I22="n",((IF(COUNT(V22,AA22,AD22,AI22,AJ22,AL22)&lt;5,SUM(V22,AA22,AD22,AI22,AJ22,AL22),SUM(LARGE((V22,AA22,AD22,AI22,AJ22,AL22),{1;2;3;4;5}))))+(IF(COUNT(U22,Y22,AB22,AC22,AG22,AK22)&lt;5,SUM(U22,Y22,AB22,AC22,AG22,AK22),SUM(LARGE((U22,Y22,AB22,AC22,AG22,AK22),{1;2;3;4;5}))))+T22),0)</f>
        <v>837</v>
      </c>
      <c r="O22" s="863">
        <f>IF(J22="j",((IF(COUNT(V22,AA22,AD22,AI22,AJ22,AL22)&lt;5,SUM(V22,AA22,AD22,AI22,AJ22,AL22),SUM(LARGE((V22,AA22,AD22,AI22,AJ22,AL22),{1;2;3;4;5}))))+(IF(COUNT(U22,W22,AB22,AC22,AE22,AK22)&lt;5,SUM(U22,W22,AB22,AC22,AE22,AK22),SUM(LARGE((U22,W22,AB22,AC22,AE22,AK22),{1;2;3;4;5}))))+T22),0)</f>
        <v>0</v>
      </c>
      <c r="P22" s="886" t="str">
        <f t="shared" ca="1" si="7"/>
        <v>726,0</v>
      </c>
      <c r="Q22" s="890">
        <f t="shared" si="8"/>
        <v>96</v>
      </c>
      <c r="R22" s="886" t="str">
        <f t="shared" ca="1" si="9"/>
        <v>0726,0-096</v>
      </c>
      <c r="S22" s="889">
        <f t="shared" ca="1" si="10"/>
        <v>180</v>
      </c>
      <c r="T22" s="847">
        <v>1</v>
      </c>
      <c r="U22" s="75">
        <f>IFERROR(INDEX('1'!C$300:C$400,MATCH("*"&amp;H22&amp;"*",'1'!B$300:B$400,0)),"  ")</f>
        <v>65</v>
      </c>
      <c r="V22" s="199">
        <f>IFERROR(INDEX('2'!C$300:C$400,MATCH("*"&amp;H22&amp;"*",'2'!B$300:B$400,0)),"  ")</f>
        <v>79</v>
      </c>
      <c r="W22" s="199">
        <f ca="1">IF(I22="",IFERROR(INDEX('3M'!C$300:C$400,MATCH("*"&amp;H22&amp;"*",'3M'!B$300:B$400,0)),"  "),IFERROR(INDEX('3N'!D$300:D$400,MATCH("*"&amp;H22&amp;"*",'3N'!B$300:B$400,0)),"  "))</f>
        <v>83</v>
      </c>
      <c r="X22" s="908" t="str">
        <f ca="1">IFERROR(INDEX('3M'!C$300:C$400,MATCH("*"&amp;H22&amp;"*",'3M'!B$300:B$400,0)),"  ")</f>
        <v xml:space="preserve">  </v>
      </c>
      <c r="Y22" s="907">
        <f ca="1">IFERROR(INDEX('3N'!C$300:C$400,MATCH("*"&amp;H22&amp;"*",'3N'!B$300:B$400,0)),"  ")</f>
        <v>146</v>
      </c>
      <c r="Z22" s="440"/>
      <c r="AA22" s="75">
        <f>IFERROR(INDEX('4'!C$300:C$400,MATCH("*"&amp;H22&amp;"*",'4'!B$300:B$400,0)),"  ")</f>
        <v>97</v>
      </c>
      <c r="AB22" s="75">
        <f>IFERROR(INDEX('5'!C$300:C$400,MATCH("*"&amp;H22&amp;"*",'5'!B$300:B$400,0)),"  ")</f>
        <v>56</v>
      </c>
      <c r="AC22" s="75">
        <f>IFERROR(INDEX('6'!C$300:C$400,MATCH("*"&amp;H22&amp;"*",'6'!B$300:B$400,0)),"  ")</f>
        <v>111</v>
      </c>
      <c r="AD22" s="75">
        <f>IFERROR(INDEX('7'!C$300:C$400,MATCH("*"&amp;H22&amp;"*",'7'!B$300:B$400,0)),"  ")</f>
        <v>60</v>
      </c>
      <c r="AE22" s="75">
        <f>IF(I22="",IFERROR(INDEX('8M'!C$300:C$400,MATCH("*"&amp;H22&amp;"*",'8M'!B$300:B$400,0)),"  "),IFERROR(INDEX('8N'!D$300:D$400,MATCH("*"&amp;H22&amp;"*",'8N'!B$300:B$400,0)),"  "))</f>
        <v>42</v>
      </c>
      <c r="AF22" s="908" t="str">
        <f>IFERROR(INDEX('8M'!C$300:C$400,MATCH("*"&amp;H22&amp;"*",'8M'!B$300:B$400,0)),"  ")</f>
        <v xml:space="preserve">  </v>
      </c>
      <c r="AG22" s="907">
        <f>IFERROR(INDEX('8N'!C$300:C$400,MATCH("*"&amp;H22&amp;"*",'8N'!B$300:B$400,0)),"  ")</f>
        <v>104</v>
      </c>
      <c r="AH22" s="440"/>
      <c r="AI22" s="75">
        <f>IFERROR(INDEX('9'!C$300:C$400,MATCH("*"&amp;H22&amp;"*",'9'!B$300:B$400,0)),"  ")</f>
        <v>40</v>
      </c>
      <c r="AJ22" s="830">
        <f>IFERROR(INDEX('10'!C$300:C$400,MATCH("*"&amp;H22&amp;"*",'10'!B$300:B$400,0)),"  ")</f>
        <v>60</v>
      </c>
      <c r="AK22" s="75">
        <f>IFERROR(INDEX('11'!C$300:C$400,MATCH("*"&amp;H22&amp;"*",'11'!B$300:B$400,0)),"  ")</f>
        <v>74</v>
      </c>
      <c r="AL22" s="75">
        <f>IFERROR(INDEX('12'!C$300:C$400,MATCH("*"&amp;H22&amp;"*",'12'!B$300:B$400,0)),"  ")</f>
        <v>25</v>
      </c>
      <c r="AM22" s="26">
        <f t="shared" ca="1" si="11"/>
        <v>12</v>
      </c>
      <c r="AN22" s="579">
        <f t="shared" ca="1" si="12"/>
        <v>2</v>
      </c>
      <c r="AO22" s="580">
        <f t="shared" ca="1" si="13"/>
        <v>0</v>
      </c>
      <c r="AP22" s="27">
        <f t="shared" ca="1" si="14"/>
        <v>0</v>
      </c>
      <c r="AQ22" s="933">
        <f t="shared" si="17"/>
        <v>25.001200000000001</v>
      </c>
      <c r="AR22" s="933">
        <f t="shared" ca="1" si="18"/>
        <v>42.000799999999998</v>
      </c>
    </row>
    <row r="23" spans="1:44" x14ac:dyDescent="0.2">
      <c r="A23" s="851">
        <f t="shared" ca="1" si="2"/>
        <v>9</v>
      </c>
      <c r="B23" s="77">
        <f t="shared" ca="1" si="3"/>
        <v>10720</v>
      </c>
      <c r="C23" s="853" t="str">
        <f t="shared" ca="1" si="15"/>
        <v/>
      </c>
      <c r="D23" s="76">
        <f t="shared" si="4"/>
        <v>0</v>
      </c>
      <c r="E23" s="855" t="str">
        <f t="shared" ca="1" si="16"/>
        <v/>
      </c>
      <c r="F23" s="899">
        <f t="shared" si="5"/>
        <v>0</v>
      </c>
      <c r="G23" s="897">
        <f t="shared" ca="1" si="6"/>
        <v>15</v>
      </c>
      <c r="H23" s="265" t="s">
        <v>66</v>
      </c>
      <c r="I23" s="38"/>
      <c r="J23" s="585"/>
      <c r="K23" s="586"/>
      <c r="L23" s="587"/>
      <c r="M23" s="857">
        <f ca="1">(IF(COUNT(V23,AA23,AD23,AI23,AJ23,AL23)&lt;5,SUM(V23,AA23,AD23,AI23,AJ23,AL23),SUM(LARGE((V23,AA23,AD23,AI23,AJ23,AL23),{1;2;3;4;5}))))+(IF(COUNT(U23,W23,AB23,AC23,AE23,AK23)&lt;5,SUM(U23,W23,AB23,AC23,AE23,AK23),SUM(LARGE((U23,W23,AB23,AC23,AE23,AK23),{1;2;3;4;5}))))+T23</f>
        <v>720</v>
      </c>
      <c r="N23" s="862">
        <f>IF(I23="n",((IF(COUNT(V23,AA23,AD23,AI23,AJ23,AL23)&lt;5,SUM(V23,AA23,AD23,AI23,AJ23,AL23),SUM(LARGE((V23,AA23,AD23,AI23,AJ23,AL23),{1;2;3;4;5}))))+(IF(COUNT(U23,Y23,AB23,AC23,AG23,AK23)&lt;5,SUM(U23,Y23,AB23,AC23,AG23,AK23),SUM(LARGE((U23,Y23,AB23,AC23,AG23,AK23),{1;2;3;4;5}))))+T23),0)</f>
        <v>0</v>
      </c>
      <c r="O23" s="863">
        <f>IF(J23="j",((IF(COUNT(V23,AA23,AD23,AI23,AJ23,AL23)&lt;5,SUM(V23,AA23,AD23,AI23,AJ23,AL23),SUM(LARGE((V23,AA23,AD23,AI23,AJ23,AL23),{1;2;3;4;5}))))+(IF(COUNT(U23,W23,AB23,AC23,AE23,AK23)&lt;5,SUM(U23,W23,AB23,AC23,AE23,AK23),SUM(LARGE((U23,W23,AB23,AC23,AE23,AK23),{1;2;3;4;5}))))+T23),0)</f>
        <v>0</v>
      </c>
      <c r="P23" s="886" t="str">
        <f t="shared" ca="1" si="7"/>
        <v>720,0</v>
      </c>
      <c r="Q23" s="890">
        <f t="shared" si="8"/>
        <v>119</v>
      </c>
      <c r="R23" s="886" t="str">
        <f t="shared" ca="1" si="9"/>
        <v>0720,0-119</v>
      </c>
      <c r="S23" s="889">
        <f t="shared" ca="1" si="10"/>
        <v>179</v>
      </c>
      <c r="T23" s="847">
        <v>105</v>
      </c>
      <c r="U23" s="75">
        <f>IFERROR(INDEX('1'!C$300:C$400,MATCH("*"&amp;H23&amp;"*",'1'!B$300:B$400,0)),"  ")</f>
        <v>135</v>
      </c>
      <c r="V23" s="199" t="str">
        <f>IFERROR(INDEX('2'!C$300:C$400,MATCH("*"&amp;H23&amp;"*",'2'!B$300:B$400,0)),"  ")</f>
        <v xml:space="preserve">  </v>
      </c>
      <c r="W23" s="199">
        <f ca="1">IF(I23="",IFERROR(INDEX('3M'!C$300:C$400,MATCH("*"&amp;H23&amp;"*",'3M'!B$300:B$400,0)),"  "),IFERROR(INDEX('3N'!D$300:D$400,MATCH("*"&amp;H23&amp;"*",'3N'!B$300:B$400,0)),"  "))</f>
        <v>119</v>
      </c>
      <c r="X23" s="908">
        <f ca="1">IFERROR(INDEX('3M'!C$300:C$400,MATCH("*"&amp;H23&amp;"*",'3M'!B$300:B$400,0)),"  ")</f>
        <v>119</v>
      </c>
      <c r="Y23" s="907" t="str">
        <f ca="1">IFERROR(INDEX('3N'!C$300:C$400,MATCH("*"&amp;H23&amp;"*",'3N'!B$300:B$400,0)),"  ")</f>
        <v xml:space="preserve">  </v>
      </c>
      <c r="Z23" s="440"/>
      <c r="AA23" s="75" t="str">
        <f>IFERROR(INDEX('4'!C$300:C$400,MATCH("*"&amp;H23&amp;"*",'4'!B$300:B$400,0)),"  ")</f>
        <v xml:space="preserve">  </v>
      </c>
      <c r="AB23" s="75">
        <f>IFERROR(INDEX('5'!C$300:C$400,MATCH("*"&amp;H23&amp;"*",'5'!B$300:B$400,0)),"  ")</f>
        <v>119</v>
      </c>
      <c r="AC23" s="75" t="str">
        <f>IFERROR(INDEX('6'!C$300:C$400,MATCH("*"&amp;H23&amp;"*",'6'!B$300:B$400,0)),"  ")</f>
        <v xml:space="preserve">  </v>
      </c>
      <c r="AD23" s="75" t="str">
        <f>IFERROR(INDEX('7'!C$300:C$400,MATCH("*"&amp;H23&amp;"*",'7'!B$300:B$400,0)),"  ")</f>
        <v xml:space="preserve">  </v>
      </c>
      <c r="AE23" s="75" t="str">
        <f>IF(I23="",IFERROR(INDEX('8M'!C$300:C$400,MATCH("*"&amp;H23&amp;"*",'8M'!B$300:B$400,0)),"  "),IFERROR(INDEX('8N'!D$300:D$400,MATCH("*"&amp;H23&amp;"*",'8N'!B$300:B$400,0)),"  "))</f>
        <v xml:space="preserve">  </v>
      </c>
      <c r="AF23" s="908" t="str">
        <f>IFERROR(INDEX('8M'!C$300:C$400,MATCH("*"&amp;H23&amp;"*",'8M'!B$300:B$400,0)),"  ")</f>
        <v xml:space="preserve">  </v>
      </c>
      <c r="AG23" s="907" t="str">
        <f>IFERROR(INDEX('8N'!C$300:C$400,MATCH("*"&amp;H23&amp;"*",'8N'!B$300:B$400,0)),"  ")</f>
        <v xml:space="preserve">  </v>
      </c>
      <c r="AH23" s="440"/>
      <c r="AI23" s="75" t="str">
        <f>IFERROR(INDEX('9'!C$300:C$400,MATCH("*"&amp;H23&amp;"*",'9'!B$300:B$400,0)),"  ")</f>
        <v xml:space="preserve">  </v>
      </c>
      <c r="AJ23" s="830" t="str">
        <f>IFERROR(INDEX('10'!C$300:C$400,MATCH("*"&amp;H23&amp;"*",'10'!B$300:B$400,0)),"  ")</f>
        <v xml:space="preserve">  </v>
      </c>
      <c r="AK23" s="75">
        <f>IFERROR(INDEX('11'!C$300:C$400,MATCH("*"&amp;H23&amp;"*",'11'!B$300:B$400,0)),"  ")</f>
        <v>158</v>
      </c>
      <c r="AL23" s="75">
        <f>IFERROR(INDEX('12'!C$300:C$400,MATCH("*"&amp;H23&amp;"*",'12'!B$300:B$400,0)),"  ")</f>
        <v>84</v>
      </c>
      <c r="AM23" s="26">
        <f t="shared" ca="1" si="11"/>
        <v>5</v>
      </c>
      <c r="AN23" s="579">
        <f t="shared" ca="1" si="12"/>
        <v>1</v>
      </c>
      <c r="AO23" s="580">
        <f t="shared" ca="1" si="13"/>
        <v>0</v>
      </c>
      <c r="AP23" s="27">
        <f t="shared" ca="1" si="14"/>
        <v>0</v>
      </c>
      <c r="AQ23" s="933">
        <f t="shared" si="17"/>
        <v>2.0000000000000001E-4</v>
      </c>
      <c r="AR23" s="933">
        <f t="shared" ca="1" si="18"/>
        <v>5.9999999999999995E-4</v>
      </c>
    </row>
    <row r="24" spans="1:44" x14ac:dyDescent="0.2">
      <c r="A24" s="851">
        <f t="shared" ca="1" si="2"/>
        <v>10</v>
      </c>
      <c r="B24" s="77">
        <f t="shared" ca="1" si="3"/>
        <v>10715</v>
      </c>
      <c r="C24" s="853" t="str">
        <f t="shared" ca="1" si="15"/>
        <v/>
      </c>
      <c r="D24" s="76">
        <f t="shared" si="4"/>
        <v>0</v>
      </c>
      <c r="E24" s="920">
        <f t="shared" ca="1" si="16"/>
        <v>1</v>
      </c>
      <c r="F24" s="899">
        <f t="shared" ca="1" si="5"/>
        <v>10715</v>
      </c>
      <c r="G24" s="897">
        <f t="shared" ca="1" si="6"/>
        <v>16</v>
      </c>
      <c r="H24" s="133" t="s">
        <v>152</v>
      </c>
      <c r="I24" s="38"/>
      <c r="J24" s="585" t="s">
        <v>45</v>
      </c>
      <c r="K24" s="586"/>
      <c r="L24" s="587"/>
      <c r="M24" s="857">
        <f ca="1">(IF(COUNT(V24,AA24,AD24,AI24,AJ24,AL24)&lt;5,SUM(V24,AA24,AD24,AI24,AJ24,AL24),SUM(LARGE((V24,AA24,AD24,AI24,AJ24,AL24),{1;2;3;4;5}))))+(IF(COUNT(U24,W24,AB24,AC24,AE24,AK24)&lt;5,SUM(U24,W24,AB24,AC24,AE24,AK24),SUM(LARGE((U24,W24,AB24,AC24,AE24,AK24),{1;2;3;4;5}))))+T24</f>
        <v>715</v>
      </c>
      <c r="N24" s="862">
        <f>IF(I24="n",((IF(COUNT(V24,AA24,AD24,AI24,AJ24,AL24)&lt;5,SUM(V24,AA24,AD24,AI24,AJ24,AL24),SUM(LARGE((V24,AA24,AD24,AI24,AJ24,AL24),{1;2;3;4;5}))))+(IF(COUNT(U24,Y24,AB24,AC24,AG24,AK24)&lt;5,SUM(U24,Y24,AB24,AC24,AG24,AK24),SUM(LARGE((U24,Y24,AB24,AC24,AG24,AK24),{1;2;3;4;5}))))+T24),0)</f>
        <v>0</v>
      </c>
      <c r="O24" s="863">
        <f ca="1">IF(J24="j",((IF(COUNT(V24,AA24,AD24,AI24,AJ24,AL24)&lt;5,SUM(V24,AA24,AD24,AI24,AJ24,AL24),SUM(LARGE((V24,AA24,AD24,AI24,AJ24,AL24),{1;2;3;4;5}))))+(IF(COUNT(U24,W24,AB24,AC24,AE24,AK24)&lt;5,SUM(U24,W24,AB24,AC24,AE24,AK24),SUM(LARGE((U24,W24,AB24,AC24,AE24,AK24),{1;2;3;4;5}))))+T24),0)</f>
        <v>715</v>
      </c>
      <c r="P24" s="886" t="str">
        <f t="shared" ca="1" si="7"/>
        <v>715,0</v>
      </c>
      <c r="Q24" s="890">
        <f t="shared" si="8"/>
        <v>106</v>
      </c>
      <c r="R24" s="886" t="str">
        <f t="shared" ca="1" si="9"/>
        <v>0715,0-106</v>
      </c>
      <c r="S24" s="889">
        <f t="shared" ca="1" si="10"/>
        <v>178</v>
      </c>
      <c r="T24" s="847">
        <v>1</v>
      </c>
      <c r="U24" s="75">
        <f>IFERROR(INDEX('1'!C$300:C$400,MATCH("*"&amp;H24&amp;"*",'1'!B$300:B$400,0)),"  ")</f>
        <v>65</v>
      </c>
      <c r="V24" s="199">
        <f>IFERROR(INDEX('2'!C$300:C$400,MATCH("*"&amp;H24&amp;"*",'2'!B$300:B$400,0)),"  ")</f>
        <v>69</v>
      </c>
      <c r="W24" s="199" t="str">
        <f ca="1">IF(I24="",IFERROR(INDEX('3M'!C$300:C$400,MATCH("*"&amp;H24&amp;"*",'3M'!B$300:B$400,0)),"  "),IFERROR(INDEX('3N'!D$300:D$400,MATCH("*"&amp;H24&amp;"*",'3N'!B$300:B$400,0)),"  "))</f>
        <v xml:space="preserve">  </v>
      </c>
      <c r="X24" s="908" t="str">
        <f ca="1">IFERROR(INDEX('3M'!C$300:C$400,MATCH("*"&amp;H24&amp;"*",'3M'!B$300:B$400,0)),"  ")</f>
        <v xml:space="preserve">  </v>
      </c>
      <c r="Y24" s="907" t="str">
        <f ca="1">IFERROR(INDEX('3N'!C$300:C$400,MATCH("*"&amp;H24&amp;"*",'3N'!B$300:B$400,0)),"  ")</f>
        <v xml:space="preserve">  </v>
      </c>
      <c r="Z24" s="440"/>
      <c r="AA24" s="75" t="str">
        <f>IFERROR(INDEX('4'!C$300:C$400,MATCH("*"&amp;H24&amp;"*",'4'!B$300:B$400,0)),"  ")</f>
        <v xml:space="preserve">  </v>
      </c>
      <c r="AB24" s="75">
        <f>IFERROR(INDEX('5'!C$300:C$400,MATCH("*"&amp;H24&amp;"*",'5'!B$300:B$400,0)),"  ")</f>
        <v>56</v>
      </c>
      <c r="AC24" s="75">
        <f>IFERROR(INDEX('6'!C$300:C$400,MATCH("*"&amp;H24&amp;"*",'6'!B$300:B$400,0)),"  ")</f>
        <v>111</v>
      </c>
      <c r="AD24" s="75">
        <f>IFERROR(INDEX('7'!C$300:C$400,MATCH("*"&amp;H24&amp;"*",'7'!B$300:B$400,0)),"  ")</f>
        <v>74</v>
      </c>
      <c r="AE24" s="75">
        <f>IF(I24="",IFERROR(INDEX('8M'!C$300:C$400,MATCH("*"&amp;H24&amp;"*",'8M'!B$300:B$400,0)),"  "),IFERROR(INDEX('8N'!D$300:D$400,MATCH("*"&amp;H24&amp;"*",'8N'!B$300:B$400,0)),"  "))</f>
        <v>111</v>
      </c>
      <c r="AF24" s="908">
        <f>IFERROR(INDEX('8M'!C$300:C$400,MATCH("*"&amp;H24&amp;"*",'8M'!B$300:B$400,0)),"  ")</f>
        <v>111</v>
      </c>
      <c r="AG24" s="907" t="str">
        <f>IFERROR(INDEX('8N'!C$300:C$400,MATCH("*"&amp;H24&amp;"*",'8N'!B$300:B$400,0)),"  ")</f>
        <v xml:space="preserve">  </v>
      </c>
      <c r="AH24" s="440"/>
      <c r="AI24" s="75">
        <f>IFERROR(INDEX('9'!C$300:C$400,MATCH("*"&amp;H24&amp;"*",'9'!B$300:B$400,0)),"  ")</f>
        <v>40</v>
      </c>
      <c r="AJ24" s="830">
        <f>IFERROR(INDEX('10'!C$300:C$400,MATCH("*"&amp;H24&amp;"*",'10'!B$300:B$400,0)),"  ")</f>
        <v>49</v>
      </c>
      <c r="AK24" s="75">
        <f>IFERROR(INDEX('11'!C$300:C$400,MATCH("*"&amp;H24&amp;"*",'11'!B$300:B$400,0)),"  ")</f>
        <v>60</v>
      </c>
      <c r="AL24" s="75">
        <f>IFERROR(INDEX('12'!C$300:C$400,MATCH("*"&amp;H24&amp;"*",'12'!B$300:B$400,0)),"  ")</f>
        <v>79</v>
      </c>
      <c r="AM24" s="26">
        <f t="shared" ca="1" si="11"/>
        <v>10</v>
      </c>
      <c r="AN24" s="579">
        <f t="shared" ca="1" si="12"/>
        <v>0</v>
      </c>
      <c r="AO24" s="580">
        <f t="shared" ca="1" si="13"/>
        <v>0</v>
      </c>
      <c r="AP24" s="27">
        <f t="shared" ca="1" si="14"/>
        <v>0</v>
      </c>
      <c r="AQ24" s="933">
        <f t="shared" si="17"/>
        <v>4.0000000000000002E-4</v>
      </c>
      <c r="AR24" s="933">
        <f t="shared" ca="1" si="18"/>
        <v>2.9999999999999997E-4</v>
      </c>
    </row>
    <row r="25" spans="1:44" x14ac:dyDescent="0.2">
      <c r="A25" s="851">
        <f t="shared" ca="1" si="2"/>
        <v>11</v>
      </c>
      <c r="B25" s="77">
        <f t="shared" ca="1" si="3"/>
        <v>10701</v>
      </c>
      <c r="C25" s="853" t="str">
        <f t="shared" ca="1" si="15"/>
        <v/>
      </c>
      <c r="D25" s="76">
        <f t="shared" si="4"/>
        <v>0</v>
      </c>
      <c r="E25" s="855" t="str">
        <f t="shared" ca="1" si="16"/>
        <v/>
      </c>
      <c r="F25" s="899">
        <f t="shared" si="5"/>
        <v>0</v>
      </c>
      <c r="G25" s="897">
        <f t="shared" ca="1" si="6"/>
        <v>17</v>
      </c>
      <c r="H25" s="133" t="s">
        <v>40</v>
      </c>
      <c r="I25" s="38"/>
      <c r="J25" s="585"/>
      <c r="K25" s="586"/>
      <c r="L25" s="587"/>
      <c r="M25" s="857">
        <f ca="1">(IF(COUNT(V25,AA25,AD25,AI25,AJ25,AL25)&lt;5,SUM(V25,AA25,AD25,AI25,AJ25,AL25),SUM(LARGE((V25,AA25,AD25,AI25,AJ25,AL25),{1;2;3;4;5}))))+(IF(COUNT(U25,W25,AB25,AC25,AE25,AK25)&lt;5,SUM(U25,W25,AB25,AC25,AE25,AK25),SUM(LARGE((U25,W25,AB25,AC25,AE25,AK25),{1;2;3;4;5}))))+T25</f>
        <v>701</v>
      </c>
      <c r="N25" s="862">
        <f>IF(I25="n",((IF(COUNT(V25,AA25,AD25,AI25,AJ25,AL25)&lt;5,SUM(V25,AA25,AD25,AI25,AJ25,AL25),SUM(LARGE((V25,AA25,AD25,AI25,AJ25,AL25),{1;2;3;4;5}))))+(IF(COUNT(U25,Y25,AB25,AC25,AG25,AK25)&lt;5,SUM(U25,Y25,AB25,AC25,AG25,AK25),SUM(LARGE((U25,Y25,AB25,AC25,AG25,AK25),{1;2;3;4;5}))))+T25),0)</f>
        <v>0</v>
      </c>
      <c r="O25" s="863">
        <f>IF(J25="j",((IF(COUNT(V25,AA25,AD25,AI25,AJ25,AL25)&lt;5,SUM(V25,AA25,AD25,AI25,AJ25,AL25),SUM(LARGE((V25,AA25,AD25,AI25,AJ25,AL25),{1;2;3;4;5}))))+(IF(COUNT(U25,W25,AB25,AC25,AE25,AK25)&lt;5,SUM(U25,W25,AB25,AC25,AE25,AK25),SUM(LARGE((U25,W25,AB25,AC25,AE25,AK25),{1;2;3;4;5}))))+T25),0)</f>
        <v>0</v>
      </c>
      <c r="P25" s="886" t="str">
        <f t="shared" ca="1" si="7"/>
        <v>701,0</v>
      </c>
      <c r="Q25" s="890">
        <f t="shared" si="8"/>
        <v>189</v>
      </c>
      <c r="R25" s="886" t="str">
        <f t="shared" ca="1" si="9"/>
        <v>0701,0-189</v>
      </c>
      <c r="S25" s="889">
        <f t="shared" ca="1" si="10"/>
        <v>177</v>
      </c>
      <c r="T25" s="847">
        <v>1</v>
      </c>
      <c r="U25" s="75" t="str">
        <f>IFERROR(INDEX('1'!C$300:C$400,MATCH("*"&amp;H25&amp;"*",'1'!B$300:B$400,0)),"  ")</f>
        <v xml:space="preserve">  </v>
      </c>
      <c r="V25" s="199" t="str">
        <f>IFERROR(INDEX('2'!C$300:C$400,MATCH("*"&amp;H25&amp;"*",'2'!B$300:B$400,0)),"  ")</f>
        <v xml:space="preserve">  </v>
      </c>
      <c r="W25" s="199">
        <f ca="1">IF(I25="",IFERROR(INDEX('3M'!C$300:C$400,MATCH("*"&amp;H25&amp;"*",'3M'!B$300:B$400,0)),"  "),IFERROR(INDEX('3N'!D$300:D$400,MATCH("*"&amp;H25&amp;"*",'3N'!B$300:B$400,0)),"  "))</f>
        <v>173</v>
      </c>
      <c r="X25" s="908">
        <f ca="1">IFERROR(INDEX('3M'!C$300:C$400,MATCH("*"&amp;H25&amp;"*",'3M'!B$300:B$400,0)),"  ")</f>
        <v>173</v>
      </c>
      <c r="Y25" s="907" t="str">
        <f ca="1">IFERROR(INDEX('3N'!C$300:C$400,MATCH("*"&amp;H25&amp;"*",'3N'!B$300:B$400,0)),"  ")</f>
        <v xml:space="preserve">  </v>
      </c>
      <c r="Z25" s="440"/>
      <c r="AA25" s="75">
        <f>IFERROR(INDEX('4'!C$300:C$400,MATCH("*"&amp;H25&amp;"*",'4'!B$300:B$400,0)),"  ")</f>
        <v>64</v>
      </c>
      <c r="AB25" s="75">
        <f>IFERROR(INDEX('5'!C$300:C$400,MATCH("*"&amp;H25&amp;"*",'5'!B$300:B$400,0)),"  ")</f>
        <v>158</v>
      </c>
      <c r="AC25" s="75" t="str">
        <f>IFERROR(INDEX('6'!C$300:C$400,MATCH("*"&amp;H25&amp;"*",'6'!B$300:B$400,0)),"  ")</f>
        <v xml:space="preserve">  </v>
      </c>
      <c r="AD25" s="75" t="str">
        <f>IFERROR(INDEX('7'!C$300:C$400,MATCH("*"&amp;H25&amp;"*",'7'!B$300:B$400,0)),"  ")</f>
        <v xml:space="preserve">  </v>
      </c>
      <c r="AE25" s="75" t="str">
        <f>IF(I25="",IFERROR(INDEX('8M'!C$300:C$400,MATCH("*"&amp;H25&amp;"*",'8M'!B$300:B$400,0)),"  "),IFERROR(INDEX('8N'!D$300:D$400,MATCH("*"&amp;H25&amp;"*",'8N'!B$300:B$400,0)),"  "))</f>
        <v xml:space="preserve">  </v>
      </c>
      <c r="AF25" s="908" t="str">
        <f>IFERROR(INDEX('8M'!C$300:C$400,MATCH("*"&amp;H25&amp;"*",'8M'!B$300:B$400,0)),"  ")</f>
        <v xml:space="preserve">  </v>
      </c>
      <c r="AG25" s="907" t="str">
        <f>IFERROR(INDEX('8N'!C$300:C$400,MATCH("*"&amp;H25&amp;"*",'8N'!B$300:B$400,0)),"  ")</f>
        <v xml:space="preserve">  </v>
      </c>
      <c r="AH25" s="440"/>
      <c r="AI25" s="75" t="str">
        <f>IFERROR(INDEX('9'!C$300:C$400,MATCH("*"&amp;H25&amp;"*",'9'!B$300:B$400,0)),"  ")</f>
        <v xml:space="preserve">  </v>
      </c>
      <c r="AJ25" s="830">
        <f>IFERROR(INDEX('10'!C$300:C$400,MATCH("*"&amp;H25&amp;"*",'10'!B$300:B$400,0)),"  ")</f>
        <v>115</v>
      </c>
      <c r="AK25" s="75">
        <f>IFERROR(INDEX('11'!C$300:C$400,MATCH("*"&amp;H25&amp;"*",'11'!B$300:B$400,0)),"  ")</f>
        <v>126</v>
      </c>
      <c r="AL25" s="75">
        <f>IFERROR(INDEX('12'!C$300:C$400,MATCH("*"&amp;H25&amp;"*",'12'!B$300:B$400,0)),"  ")</f>
        <v>64</v>
      </c>
      <c r="AM25" s="26">
        <f t="shared" ca="1" si="11"/>
        <v>6</v>
      </c>
      <c r="AN25" s="579">
        <f t="shared" ca="1" si="12"/>
        <v>3</v>
      </c>
      <c r="AO25" s="580">
        <f t="shared" ca="1" si="13"/>
        <v>3</v>
      </c>
      <c r="AP25" s="27">
        <f t="shared" ca="1" si="14"/>
        <v>1</v>
      </c>
      <c r="AQ25" s="933">
        <f t="shared" si="17"/>
        <v>2.0000000000000001E-4</v>
      </c>
      <c r="AR25" s="933">
        <f t="shared" ca="1" si="18"/>
        <v>1E-4</v>
      </c>
    </row>
    <row r="26" spans="1:44" x14ac:dyDescent="0.2">
      <c r="A26" s="851">
        <f t="shared" ca="1" si="2"/>
        <v>12</v>
      </c>
      <c r="B26" s="77">
        <f t="shared" ca="1" si="3"/>
        <v>10695</v>
      </c>
      <c r="C26" s="853" t="str">
        <f t="shared" ca="1" si="15"/>
        <v/>
      </c>
      <c r="D26" s="76">
        <f t="shared" si="4"/>
        <v>0</v>
      </c>
      <c r="E26" s="855" t="str">
        <f t="shared" ca="1" si="16"/>
        <v/>
      </c>
      <c r="F26" s="899">
        <f t="shared" si="5"/>
        <v>0</v>
      </c>
      <c r="G26" s="897">
        <f t="shared" ca="1" si="6"/>
        <v>18</v>
      </c>
      <c r="H26" s="139" t="s">
        <v>37</v>
      </c>
      <c r="I26" s="38"/>
      <c r="J26" s="585"/>
      <c r="K26" s="586" t="s">
        <v>718</v>
      </c>
      <c r="L26" s="587"/>
      <c r="M26" s="857">
        <f ca="1">(IF(COUNT(V26,AA26,AD26,AI26,AJ26,AL26)&lt;5,SUM(V26,AA26,AD26,AI26,AJ26,AL26),SUM(LARGE((V26,AA26,AD26,AI26,AJ26,AL26),{1;2;3;4;5}))))+(IF(COUNT(U26,W26,AB26,AC26,AE26,AK26)&lt;5,SUM(U26,W26,AB26,AC26,AE26,AK26),SUM(LARGE((U26,W26,AB26,AC26,AE26,AK26),{1;2;3;4;5}))))+T26</f>
        <v>695</v>
      </c>
      <c r="N26" s="862">
        <f>IF(I26="n",((IF(COUNT(V26,AA26,AD26,AI26,AJ26,AL26)&lt;5,SUM(V26,AA26,AD26,AI26,AJ26,AL26),SUM(LARGE((V26,AA26,AD26,AI26,AJ26,AL26),{1;2;3;4;5}))))+(IF(COUNT(U26,Y26,AB26,AC26,AG26,AK26)&lt;5,SUM(U26,Y26,AB26,AC26,AG26,AK26),SUM(LARGE((U26,Y26,AB26,AC26,AG26,AK26),{1;2;3;4;5}))))+T26),0)</f>
        <v>0</v>
      </c>
      <c r="O26" s="863">
        <f>IF(J26="j",((IF(COUNT(V26,AA26,AD26,AI26,AJ26,AL26)&lt;5,SUM(V26,AA26,AD26,AI26,AJ26,AL26),SUM(LARGE((V26,AA26,AD26,AI26,AJ26,AL26),{1;2;3;4;5}))))+(IF(COUNT(U26,W26,AB26,AC26,AE26,AK26)&lt;5,SUM(U26,W26,AB26,AC26,AE26,AK26),SUM(LARGE((U26,W26,AB26,AC26,AE26,AK26),{1;2;3;4;5}))))+T26),0)</f>
        <v>0</v>
      </c>
      <c r="P26" s="886" t="str">
        <f t="shared" ca="1" si="7"/>
        <v>695,0</v>
      </c>
      <c r="Q26" s="890">
        <f t="shared" si="8"/>
        <v>136</v>
      </c>
      <c r="R26" s="886" t="str">
        <f t="shared" ca="1" si="9"/>
        <v>0695,0-136</v>
      </c>
      <c r="S26" s="889">
        <f t="shared" ca="1" si="10"/>
        <v>176</v>
      </c>
      <c r="T26" s="847">
        <v>90</v>
      </c>
      <c r="U26" s="75" t="str">
        <f>IFERROR(INDEX('1'!C$300:C$400,MATCH("*"&amp;H26&amp;"*",'1'!B$300:B$400,0)),"  ")</f>
        <v xml:space="preserve">  </v>
      </c>
      <c r="V26" s="199" t="str">
        <f>IFERROR(INDEX('2'!C$300:C$400,MATCH("*"&amp;H26&amp;"*",'2'!B$300:B$400,0)),"  ")</f>
        <v xml:space="preserve">  </v>
      </c>
      <c r="W26" s="199">
        <f ca="1">IF(I26="",IFERROR(INDEX('3M'!C$300:C$400,MATCH("*"&amp;H26&amp;"*",'3M'!B$300:B$400,0)),"  "),IFERROR(INDEX('3N'!D$300:D$400,MATCH("*"&amp;H26&amp;"*",'3N'!B$300:B$400,0)),"  "))</f>
        <v>158</v>
      </c>
      <c r="X26" s="908">
        <f ca="1">IFERROR(INDEX('3M'!C$300:C$400,MATCH("*"&amp;H26&amp;"*",'3M'!B$300:B$400,0)),"  ")</f>
        <v>158</v>
      </c>
      <c r="Y26" s="907" t="str">
        <f ca="1">IFERROR(INDEX('3N'!C$300:C$400,MATCH("*"&amp;H26&amp;"*",'3N'!B$300:B$400,0)),"  ")</f>
        <v xml:space="preserve">  </v>
      </c>
      <c r="Z26" s="440"/>
      <c r="AA26" s="75" t="str">
        <f>IFERROR(INDEX('4'!C$300:C$400,MATCH("*"&amp;H26&amp;"*",'4'!B$300:B$400,0)),"  ")</f>
        <v xml:space="preserve">  </v>
      </c>
      <c r="AB26" s="75" t="str">
        <f>IFERROR(INDEX('5'!C$300:C$400,MATCH("*"&amp;H26&amp;"*",'5'!B$300:B$400,0)),"  ")</f>
        <v xml:space="preserve">  </v>
      </c>
      <c r="AC26" s="75">
        <f>IFERROR(INDEX('6'!C$300:C$400,MATCH("*"&amp;H26&amp;"*",'6'!B$300:B$400,0)),"  ")</f>
        <v>126</v>
      </c>
      <c r="AD26" s="75" t="str">
        <f>IFERROR(INDEX('7'!C$300:C$400,MATCH("*"&amp;H26&amp;"*",'7'!B$300:B$400,0)),"  ")</f>
        <v xml:space="preserve">  </v>
      </c>
      <c r="AE26" s="75">
        <f>IF(I26="",IFERROR(INDEX('8M'!C$300:C$400,MATCH("*"&amp;H26&amp;"*",'8M'!B$300:B$400,0)),"  "),IFERROR(INDEX('8N'!D$300:D$400,MATCH("*"&amp;H26&amp;"*",'8N'!B$300:B$400,0)),"  "))</f>
        <v>146</v>
      </c>
      <c r="AF26" s="908">
        <f>IFERROR(INDEX('8M'!C$300:C$400,MATCH("*"&amp;H26&amp;"*",'8M'!B$300:B$400,0)),"  ")</f>
        <v>146</v>
      </c>
      <c r="AG26" s="907" t="str">
        <f>IFERROR(INDEX('8N'!C$300:C$400,MATCH("*"&amp;H26&amp;"*",'8N'!B$300:B$400,0)),"  ")</f>
        <v xml:space="preserve">  </v>
      </c>
      <c r="AH26" s="440"/>
      <c r="AI26" s="75">
        <f>IFERROR(INDEX('9'!C$300:C$400,MATCH("*"&amp;H26&amp;"*",'9'!B$300:B$400,0)),"  ")</f>
        <v>64</v>
      </c>
      <c r="AJ26" s="830" t="str">
        <f>IFERROR(INDEX('10'!C$300:C$400,MATCH("*"&amp;H26&amp;"*",'10'!B$300:B$400,0)),"  ")</f>
        <v xml:space="preserve">  </v>
      </c>
      <c r="AK26" s="75">
        <f>IFERROR(INDEX('11'!C$300:C$400,MATCH("*"&amp;H26&amp;"*",'11'!B$300:B$400,0)),"  ")</f>
        <v>111</v>
      </c>
      <c r="AL26" s="75" t="str">
        <f>IFERROR(INDEX('12'!C$300:C$400,MATCH("*"&amp;H26&amp;"*",'12'!B$300:B$400,0)),"  ")</f>
        <v xml:space="preserve">  </v>
      </c>
      <c r="AM26" s="26">
        <f t="shared" ca="1" si="11"/>
        <v>5</v>
      </c>
      <c r="AN26" s="579">
        <f t="shared" ca="1" si="12"/>
        <v>2</v>
      </c>
      <c r="AO26" s="580">
        <f t="shared" ca="1" si="13"/>
        <v>0</v>
      </c>
      <c r="AP26" s="27">
        <f t="shared" ca="1" si="14"/>
        <v>0</v>
      </c>
      <c r="AQ26" s="933">
        <f t="shared" si="17"/>
        <v>2.0000000000000001E-4</v>
      </c>
      <c r="AR26" s="933">
        <f t="shared" ca="1" si="18"/>
        <v>1E-4</v>
      </c>
    </row>
    <row r="27" spans="1:44" x14ac:dyDescent="0.2">
      <c r="A27" s="851">
        <f t="shared" ca="1" si="2"/>
        <v>13</v>
      </c>
      <c r="B27" s="77">
        <f t="shared" ca="1" si="3"/>
        <v>10658</v>
      </c>
      <c r="C27" s="853" t="str">
        <f t="shared" ca="1" si="15"/>
        <v/>
      </c>
      <c r="D27" s="76">
        <f t="shared" si="4"/>
        <v>0</v>
      </c>
      <c r="E27" s="855" t="str">
        <f t="shared" ca="1" si="16"/>
        <v/>
      </c>
      <c r="F27" s="899">
        <f t="shared" si="5"/>
        <v>0</v>
      </c>
      <c r="G27" s="897">
        <f t="shared" ca="1" si="6"/>
        <v>19</v>
      </c>
      <c r="H27" s="133" t="s">
        <v>57</v>
      </c>
      <c r="I27" s="38"/>
      <c r="J27" s="585"/>
      <c r="K27" s="586"/>
      <c r="L27" s="587"/>
      <c r="M27" s="857">
        <f ca="1">(IF(COUNT(V27,AA27,AD27,AI27,AJ27,AL27)&lt;5,SUM(V27,AA27,AD27,AI27,AJ27,AL27),SUM(LARGE((V27,AA27,AD27,AI27,AJ27,AL27),{1;2;3;4;5}))))+(IF(COUNT(U27,W27,AB27,AC27,AE27,AK27)&lt;5,SUM(U27,W27,AB27,AC27,AE27,AK27),SUM(LARGE((U27,W27,AB27,AC27,AE27,AK27),{1;2;3;4;5}))))+T27</f>
        <v>658</v>
      </c>
      <c r="N27" s="862">
        <f>IF(I27="n",((IF(COUNT(V27,AA27,AD27,AI27,AJ27,AL27)&lt;5,SUM(V27,AA27,AD27,AI27,AJ27,AL27),SUM(LARGE((V27,AA27,AD27,AI27,AJ27,AL27),{1;2;3;4;5}))))+(IF(COUNT(U27,Y27,AB27,AC27,AG27,AK27)&lt;5,SUM(U27,Y27,AB27,AC27,AG27,AK27),SUM(LARGE((U27,Y27,AB27,AC27,AG27,AK27),{1;2;3;4;5}))))+T27),0)</f>
        <v>0</v>
      </c>
      <c r="O27" s="863">
        <f>IF(J27="j",((IF(COUNT(V27,AA27,AD27,AI27,AJ27,AL27)&lt;5,SUM(V27,AA27,AD27,AI27,AJ27,AL27),SUM(LARGE((V27,AA27,AD27,AI27,AJ27,AL27),{1;2;3;4;5}))))+(IF(COUNT(U27,W27,AB27,AC27,AE27,AK27)&lt;5,SUM(U27,W27,AB27,AC27,AE27,AK27),SUM(LARGE((U27,W27,AB27,AC27,AE27,AK27),{1;2;3;4;5}))))+T27),0)</f>
        <v>0</v>
      </c>
      <c r="P27" s="886" t="str">
        <f t="shared" ca="1" si="7"/>
        <v>658,0</v>
      </c>
      <c r="Q27" s="890">
        <f t="shared" si="8"/>
        <v>91</v>
      </c>
      <c r="R27" s="886" t="str">
        <f t="shared" ca="1" si="9"/>
        <v>0658,0-091</v>
      </c>
      <c r="S27" s="889">
        <f t="shared" ca="1" si="10"/>
        <v>175</v>
      </c>
      <c r="T27" s="847">
        <v>25</v>
      </c>
      <c r="U27" s="75" t="str">
        <f>IFERROR(INDEX('1'!C$300:C$400,MATCH("*"&amp;H27&amp;"*",'1'!B$300:B$400,0)),"  ")</f>
        <v xml:space="preserve">  </v>
      </c>
      <c r="V27" s="199">
        <f>IFERROR(INDEX('2'!C$300:C$400,MATCH("*"&amp;H27&amp;"*",'2'!B$300:B$400,0)),"  ")</f>
        <v>60</v>
      </c>
      <c r="W27" s="199">
        <f ca="1">IF(I27="",IFERROR(INDEX('3M'!C$300:C$400,MATCH("*"&amp;H27&amp;"*",'3M'!B$300:B$400,0)),"  "),IFERROR(INDEX('3N'!D$300:D$400,MATCH("*"&amp;H27&amp;"*",'3N'!B$300:B$400,0)),"  "))</f>
        <v>47</v>
      </c>
      <c r="X27" s="908">
        <f ca="1">IFERROR(INDEX('3M'!C$300:C$400,MATCH("*"&amp;H27&amp;"*",'3M'!B$300:B$400,0)),"  ")</f>
        <v>47</v>
      </c>
      <c r="Y27" s="907" t="str">
        <f ca="1">IFERROR(INDEX('3N'!C$300:C$400,MATCH("*"&amp;H27&amp;"*",'3N'!B$300:B$400,0)),"  ")</f>
        <v xml:space="preserve">  </v>
      </c>
      <c r="Z27" s="440"/>
      <c r="AA27" s="75">
        <f>IFERROR(INDEX('4'!C$300:C$400,MATCH("*"&amp;H27&amp;"*",'4'!B$300:B$400,0)),"  ")</f>
        <v>84</v>
      </c>
      <c r="AB27" s="75">
        <f>IFERROR(INDEX('5'!C$300:C$400,MATCH("*"&amp;H27&amp;"*",'5'!B$300:B$400,0)),"  ")</f>
        <v>38</v>
      </c>
      <c r="AC27" s="75">
        <f>IFERROR(INDEX('6'!C$300:C$400,MATCH("*"&amp;H27&amp;"*",'6'!B$300:B$400,0)),"  ")</f>
        <v>96</v>
      </c>
      <c r="AD27" s="75" t="str">
        <f>IFERROR(INDEX('7'!C$300:C$400,MATCH("*"&amp;H27&amp;"*",'7'!B$300:B$400,0)),"  ")</f>
        <v xml:space="preserve">  </v>
      </c>
      <c r="AE27" s="75">
        <f>IF(I27="",IFERROR(INDEX('8M'!C$300:C$400,MATCH("*"&amp;H27&amp;"*",'8M'!B$300:B$400,0)),"  "),IFERROR(INDEX('8N'!D$300:D$400,MATCH("*"&amp;H27&amp;"*",'8N'!B$300:B$400,0)),"  "))</f>
        <v>158</v>
      </c>
      <c r="AF27" s="908">
        <f>IFERROR(INDEX('8M'!C$300:C$400,MATCH("*"&amp;H27&amp;"*",'8M'!B$300:B$400,0)),"  ")</f>
        <v>158</v>
      </c>
      <c r="AG27" s="907" t="str">
        <f>IFERROR(INDEX('8N'!C$300:C$400,MATCH("*"&amp;H27&amp;"*",'8N'!B$300:B$400,0)),"  ")</f>
        <v xml:space="preserve">  </v>
      </c>
      <c r="AH27" s="440"/>
      <c r="AI27" s="75" t="str">
        <f>IFERROR(INDEX('9'!C$300:C$400,MATCH("*"&amp;H27&amp;"*",'9'!B$300:B$400,0)),"  ")</f>
        <v xml:space="preserve">  </v>
      </c>
      <c r="AJ27" s="830" t="str">
        <f>IFERROR(INDEX('10'!C$300:C$400,MATCH("*"&amp;H27&amp;"*",'10'!B$300:B$400,0)),"  ")</f>
        <v xml:space="preserve">  </v>
      </c>
      <c r="AK27" s="75">
        <f>IFERROR(INDEX('11'!C$300:C$400,MATCH("*"&amp;H27&amp;"*",'11'!B$300:B$400,0)),"  ")</f>
        <v>60</v>
      </c>
      <c r="AL27" s="75">
        <f>IFERROR(INDEX('12'!C$300:C$400,MATCH("*"&amp;H27&amp;"*",'12'!B$300:B$400,0)),"  ")</f>
        <v>90</v>
      </c>
      <c r="AM27" s="26">
        <f t="shared" ca="1" si="11"/>
        <v>8</v>
      </c>
      <c r="AN27" s="579">
        <f t="shared" ca="1" si="12"/>
        <v>1</v>
      </c>
      <c r="AO27" s="580">
        <f t="shared" ca="1" si="13"/>
        <v>0</v>
      </c>
      <c r="AP27" s="27">
        <f t="shared" ca="1" si="14"/>
        <v>0</v>
      </c>
      <c r="AQ27" s="933">
        <f t="shared" si="17"/>
        <v>6.9999999999999999E-4</v>
      </c>
      <c r="AR27" s="933">
        <f t="shared" ca="1" si="18"/>
        <v>1E-4</v>
      </c>
    </row>
    <row r="28" spans="1:44" x14ac:dyDescent="0.2">
      <c r="A28" s="851" t="str">
        <f t="shared" ca="1" si="2"/>
        <v/>
      </c>
      <c r="B28" s="77">
        <f t="shared" si="3"/>
        <v>0</v>
      </c>
      <c r="C28" s="853">
        <f t="shared" ca="1" si="15"/>
        <v>7</v>
      </c>
      <c r="D28" s="76">
        <f t="shared" ca="1" si="4"/>
        <v>10688</v>
      </c>
      <c r="E28" s="855" t="str">
        <f t="shared" ca="1" si="16"/>
        <v/>
      </c>
      <c r="F28" s="899">
        <f t="shared" si="5"/>
        <v>0</v>
      </c>
      <c r="G28" s="897">
        <f t="shared" ca="1" si="6"/>
        <v>20</v>
      </c>
      <c r="H28" s="133" t="s">
        <v>535</v>
      </c>
      <c r="I28" s="38" t="s">
        <v>32</v>
      </c>
      <c r="J28" s="585"/>
      <c r="K28" s="586"/>
      <c r="L28" s="587"/>
      <c r="M28" s="857">
        <f ca="1">(IF(COUNT(V28,AA28,AD28,AI28,AJ28,AL28)&lt;5,SUM(V28,AA28,AD28,AI28,AJ28,AL28),SUM(LARGE((V28,AA28,AD28,AI28,AJ28,AL28),{1;2;3;4;5}))))+(IF(COUNT(U28,W28,AB28,AC28,AE28,AK28)&lt;5,SUM(U28,W28,AB28,AC28,AE28,AK28),SUM(LARGE((U28,W28,AB28,AC28,AE28,AK28),{1;2;3;4;5}))))+T28</f>
        <v>627</v>
      </c>
      <c r="N28" s="862">
        <f ca="1">IF(I28="n",((IF(COUNT(V28,AA28,AD28,AI28,AJ28,AL28)&lt;5,SUM(V28,AA28,AD28,AI28,AJ28,AL28),SUM(LARGE((V28,AA28,AD28,AI28,AJ28,AL28),{1;2;3;4;5}))))+(IF(COUNT(U28,Y28,AB28,AC28,AG28,AK28)&lt;5,SUM(U28,Y28,AB28,AC28,AG28,AK28),SUM(LARGE((U28,Y28,AB28,AC28,AG28,AK28),{1;2;3;4;5}))))+T28),0)</f>
        <v>688</v>
      </c>
      <c r="O28" s="863">
        <f>IF(J28="j",((IF(COUNT(V28,AA28,AD28,AI28,AJ28,AL28)&lt;5,SUM(V28,AA28,AD28,AI28,AJ28,AL28),SUM(LARGE((V28,AA28,AD28,AI28,AJ28,AL28),{1;2;3;4;5}))))+(IF(COUNT(U28,W28,AB28,AC28,AE28,AK28)&lt;5,SUM(U28,W28,AB28,AC28,AE28,AK28),SUM(LARGE((U28,W28,AB28,AC28,AE28,AK28),{1;2;3;4;5}))))+T28),0)</f>
        <v>0</v>
      </c>
      <c r="P28" s="886" t="str">
        <f t="shared" ca="1" si="7"/>
        <v>627,0</v>
      </c>
      <c r="Q28" s="890">
        <f t="shared" si="8"/>
        <v>108</v>
      </c>
      <c r="R28" s="886" t="str">
        <f t="shared" ca="1" si="9"/>
        <v>0627,0-108</v>
      </c>
      <c r="S28" s="889">
        <f t="shared" ca="1" si="10"/>
        <v>174</v>
      </c>
      <c r="T28" s="847"/>
      <c r="U28" s="75">
        <f>IFERROR(INDEX('1'!C$300:C$400,MATCH("*"&amp;H28&amp;"*",'1'!B$300:B$400,0)),"  ")</f>
        <v>111</v>
      </c>
      <c r="V28" s="199">
        <f>IFERROR(INDEX('2'!C$300:C$400,MATCH("*"&amp;H28&amp;"*",'2'!B$300:B$400,0)),"  ")</f>
        <v>97</v>
      </c>
      <c r="W28" s="199">
        <f ca="1">IF(I28="",IFERROR(INDEX('3M'!C$300:C$400,MATCH("*"&amp;H28&amp;"*",'3M'!B$300:B$400,0)),"  "),IFERROR(INDEX('3N'!D$300:D$400,MATCH("*"&amp;H28&amp;"*",'3N'!B$300:B$400,0)),"  "))</f>
        <v>74</v>
      </c>
      <c r="X28" s="908" t="str">
        <f ca="1">IFERROR(INDEX('3M'!C$300:C$400,MATCH("*"&amp;H28&amp;"*",'3M'!B$300:B$400,0)),"  ")</f>
        <v xml:space="preserve">  </v>
      </c>
      <c r="Y28" s="907">
        <f ca="1">IFERROR(INDEX('3N'!C$300:C$400,MATCH("*"&amp;H28&amp;"*",'3N'!B$300:B$400,0)),"  ")</f>
        <v>135</v>
      </c>
      <c r="Z28" s="440"/>
      <c r="AA28" s="75">
        <f>IFERROR(INDEX('4'!C$300:C$400,MATCH("*"&amp;H28&amp;"*",'4'!B$300:B$400,0)),"  ")</f>
        <v>64</v>
      </c>
      <c r="AB28" s="75" t="str">
        <f>IFERROR(INDEX('5'!C$300:C$400,MATCH("*"&amp;H28&amp;"*",'5'!B$300:B$400,0)),"  ")</f>
        <v xml:space="preserve">  </v>
      </c>
      <c r="AC28" s="75" t="str">
        <f>IFERROR(INDEX('6'!C$300:C$400,MATCH("*"&amp;H28&amp;"*",'6'!B$300:B$400,0)),"  ")</f>
        <v xml:space="preserve">  </v>
      </c>
      <c r="AD28" s="75" t="str">
        <f>IFERROR(INDEX('7'!C$300:C$400,MATCH("*"&amp;H28&amp;"*",'7'!B$300:B$400,0)),"  ")</f>
        <v xml:space="preserve">  </v>
      </c>
      <c r="AE28" s="75" t="str">
        <f>IF(I28="",IFERROR(INDEX('8M'!C$300:C$400,MATCH("*"&amp;H28&amp;"*",'8M'!B$300:B$400,0)),"  "),IFERROR(INDEX('8N'!D$300:D$400,MATCH("*"&amp;H28&amp;"*",'8N'!B$300:B$400,0)),"  "))</f>
        <v xml:space="preserve">  </v>
      </c>
      <c r="AF28" s="908" t="str">
        <f>IFERROR(INDEX('8M'!C$300:C$400,MATCH("*"&amp;H28&amp;"*",'8M'!B$300:B$400,0)),"  ")</f>
        <v xml:space="preserve">  </v>
      </c>
      <c r="AG28" s="907" t="str">
        <f>IFERROR(INDEX('8N'!C$300:C$400,MATCH("*"&amp;H28&amp;"*",'8N'!B$300:B$400,0)),"  ")</f>
        <v xml:space="preserve">  </v>
      </c>
      <c r="AH28" s="440"/>
      <c r="AI28" s="75" t="str">
        <f>IFERROR(INDEX('9'!C$300:C$400,MATCH("*"&amp;H28&amp;"*",'9'!B$300:B$400,0)),"  ")</f>
        <v xml:space="preserve">  </v>
      </c>
      <c r="AJ28" s="830">
        <f>IFERROR(INDEX('10'!C$300:C$400,MATCH("*"&amp;H28&amp;"*",'10'!B$300:B$400,0)),"  ")</f>
        <v>115</v>
      </c>
      <c r="AK28" s="75">
        <f>IFERROR(INDEX('11'!C$300:C$400,MATCH("*"&amp;H28&amp;"*",'11'!B$300:B$400,0)),"  ")</f>
        <v>126</v>
      </c>
      <c r="AL28" s="75">
        <f>IFERROR(INDEX('12'!C$300:C$400,MATCH("*"&amp;H28&amp;"*",'12'!B$300:B$400,0)),"  ")</f>
        <v>40</v>
      </c>
      <c r="AM28" s="26">
        <f t="shared" ca="1" si="11"/>
        <v>7</v>
      </c>
      <c r="AN28" s="579">
        <f t="shared" ca="1" si="12"/>
        <v>2</v>
      </c>
      <c r="AO28" s="580">
        <f t="shared" ca="1" si="13"/>
        <v>1</v>
      </c>
      <c r="AP28" s="27">
        <f t="shared" ca="1" si="14"/>
        <v>0</v>
      </c>
      <c r="AQ28" s="933">
        <f t="shared" si="17"/>
        <v>6.9999999999999999E-4</v>
      </c>
      <c r="AR28" s="933">
        <f t="shared" ca="1" si="18"/>
        <v>5.0000000000000001E-4</v>
      </c>
    </row>
    <row r="29" spans="1:44" x14ac:dyDescent="0.2">
      <c r="A29" s="851">
        <f t="shared" ca="1" si="2"/>
        <v>14</v>
      </c>
      <c r="B29" s="77">
        <f t="shared" ca="1" si="3"/>
        <v>10612</v>
      </c>
      <c r="C29" s="853" t="str">
        <f t="shared" ca="1" si="15"/>
        <v/>
      </c>
      <c r="D29" s="76">
        <f t="shared" si="4"/>
        <v>0</v>
      </c>
      <c r="E29" s="855" t="str">
        <f t="shared" ca="1" si="16"/>
        <v/>
      </c>
      <c r="F29" s="899">
        <f t="shared" si="5"/>
        <v>0</v>
      </c>
      <c r="G29" s="897">
        <f t="shared" ca="1" si="6"/>
        <v>21</v>
      </c>
      <c r="H29" s="133" t="s">
        <v>173</v>
      </c>
      <c r="I29" s="38"/>
      <c r="J29" s="585"/>
      <c r="K29" s="586"/>
      <c r="L29" s="587"/>
      <c r="M29" s="857">
        <f ca="1">(IF(COUNT(V29,AA29,AD29,AI29,AJ29,AL29)&lt;5,SUM(V29,AA29,AD29,AI29,AJ29,AL29),SUM(LARGE((V29,AA29,AD29,AI29,AJ29,AL29),{1;2;3;4;5}))))+(IF(COUNT(U29,W29,AB29,AC29,AE29,AK29)&lt;5,SUM(U29,W29,AB29,AC29,AE29,AK29),SUM(LARGE((U29,W29,AB29,AC29,AE29,AK29),{1;2;3;4;5}))))+T29</f>
        <v>612</v>
      </c>
      <c r="N29" s="862">
        <f>IF(I29="n",((IF(COUNT(V29,AA29,AD29,AI29,AJ29,AL29)&lt;5,SUM(V29,AA29,AD29,AI29,AJ29,AL29),SUM(LARGE((V29,AA29,AD29,AI29,AJ29,AL29),{1;2;3;4;5}))))+(IF(COUNT(U29,Y29,AB29,AC29,AG29,AK29)&lt;5,SUM(U29,Y29,AB29,AC29,AG29,AK29),SUM(LARGE((U29,Y29,AB29,AC29,AG29,AK29),{1;2;3;4;5}))))+T29),0)</f>
        <v>0</v>
      </c>
      <c r="O29" s="863">
        <f>IF(J29="j",((IF(COUNT(V29,AA29,AD29,AI29,AJ29,AL29)&lt;5,SUM(V29,AA29,AD29,AI29,AJ29,AL29),SUM(LARGE((V29,AA29,AD29,AI29,AJ29,AL29),{1;2;3;4;5}))))+(IF(COUNT(U29,W29,AB29,AC29,AE29,AK29)&lt;5,SUM(U29,W29,AB29,AC29,AE29,AK29),SUM(LARGE((U29,W29,AB29,AC29,AE29,AK29),{1;2;3;4;5}))))+T29),0)</f>
        <v>0</v>
      </c>
      <c r="P29" s="886" t="str">
        <f t="shared" ca="1" si="7"/>
        <v>612,0</v>
      </c>
      <c r="Q29" s="890">
        <f t="shared" si="8"/>
        <v>135</v>
      </c>
      <c r="R29" s="886" t="str">
        <f t="shared" ca="1" si="9"/>
        <v>0612,0-135</v>
      </c>
      <c r="S29" s="889">
        <f t="shared" ca="1" si="10"/>
        <v>173</v>
      </c>
      <c r="T29" s="847">
        <v>1</v>
      </c>
      <c r="U29" s="75" t="str">
        <f>IFERROR(INDEX('1'!C$300:C$400,MATCH("*"&amp;H29&amp;"*",'1'!B$300:B$400,0)),"  ")</f>
        <v xml:space="preserve">  </v>
      </c>
      <c r="V29" s="199" t="str">
        <f>IFERROR(INDEX('2'!C$300:C$400,MATCH("*"&amp;H29&amp;"*",'2'!B$300:B$400,0)),"  ")</f>
        <v xml:space="preserve">  </v>
      </c>
      <c r="W29" s="199">
        <f ca="1">IF(I29="",IFERROR(INDEX('3M'!C$300:C$400,MATCH("*"&amp;H29&amp;"*",'3M'!B$300:B$400,0)),"  "),IFERROR(INDEX('3N'!D$300:D$400,MATCH("*"&amp;H29&amp;"*",'3N'!B$300:B$400,0)),"  "))</f>
        <v>60</v>
      </c>
      <c r="X29" s="908">
        <f ca="1">IFERROR(INDEX('3M'!C$300:C$400,MATCH("*"&amp;H29&amp;"*",'3M'!B$300:B$400,0)),"  ")</f>
        <v>60</v>
      </c>
      <c r="Y29" s="907" t="str">
        <f ca="1">IFERROR(INDEX('3N'!C$300:C$400,MATCH("*"&amp;H29&amp;"*",'3N'!B$300:B$400,0)),"  ")</f>
        <v xml:space="preserve">  </v>
      </c>
      <c r="Z29" s="440"/>
      <c r="AA29" s="75">
        <f>IFERROR(INDEX('4'!C$300:C$400,MATCH("*"&amp;H29&amp;"*",'4'!B$300:B$400,0)),"  ")</f>
        <v>115</v>
      </c>
      <c r="AB29" s="75">
        <f>IFERROR(INDEX('5'!C$300:C$400,MATCH("*"&amp;H29&amp;"*",'5'!B$300:B$400,0)),"  ")</f>
        <v>74</v>
      </c>
      <c r="AC29" s="75" t="str">
        <f>IFERROR(INDEX('6'!C$300:C$400,MATCH("*"&amp;H29&amp;"*",'6'!B$300:B$400,0)),"  ")</f>
        <v xml:space="preserve">  </v>
      </c>
      <c r="AD29" s="75" t="str">
        <f>IFERROR(INDEX('7'!C$300:C$400,MATCH("*"&amp;H29&amp;"*",'7'!B$300:B$400,0)),"  ")</f>
        <v xml:space="preserve">  </v>
      </c>
      <c r="AE29" s="75">
        <f>IF(I29="",IFERROR(INDEX('8M'!C$300:C$400,MATCH("*"&amp;H29&amp;"*",'8M'!B$300:B$400,0)),"  "),IFERROR(INDEX('8N'!D$300:D$400,MATCH("*"&amp;H29&amp;"*",'8N'!B$300:B$400,0)),"  "))</f>
        <v>38</v>
      </c>
      <c r="AF29" s="908">
        <f>IFERROR(INDEX('8M'!C$300:C$400,MATCH("*"&amp;H29&amp;"*",'8M'!B$300:B$400,0)),"  ")</f>
        <v>38</v>
      </c>
      <c r="AG29" s="907" t="str">
        <f>IFERROR(INDEX('8N'!C$300:C$400,MATCH("*"&amp;H29&amp;"*",'8N'!B$300:B$400,0)),"  ")</f>
        <v xml:space="preserve">  </v>
      </c>
      <c r="AH29" s="440"/>
      <c r="AI29" s="75">
        <f>IFERROR(INDEX('9'!C$300:C$400,MATCH("*"&amp;H29&amp;"*",'9'!B$300:B$400,0)),"  ")</f>
        <v>52</v>
      </c>
      <c r="AJ29" s="830">
        <f>IFERROR(INDEX('10'!C$300:C$400,MATCH("*"&amp;H29&amp;"*",'10'!B$300:B$400,0)),"  ")</f>
        <v>97</v>
      </c>
      <c r="AK29" s="75">
        <f>IFERROR(INDEX('11'!C$300:C$400,MATCH("*"&amp;H29&amp;"*",'11'!B$300:B$400,0)),"  ")</f>
        <v>119</v>
      </c>
      <c r="AL29" s="75">
        <f>IFERROR(INDEX('12'!C$300:C$400,MATCH("*"&amp;H29&amp;"*",'12'!B$300:B$400,0)),"  ")</f>
        <v>56</v>
      </c>
      <c r="AM29" s="26">
        <f t="shared" ca="1" si="11"/>
        <v>8</v>
      </c>
      <c r="AN29" s="579">
        <f t="shared" ca="1" si="12"/>
        <v>2</v>
      </c>
      <c r="AO29" s="580">
        <f t="shared" ca="1" si="13"/>
        <v>1</v>
      </c>
      <c r="AP29" s="27">
        <f t="shared" ca="1" si="14"/>
        <v>0</v>
      </c>
      <c r="AQ29" s="933">
        <f t="shared" si="17"/>
        <v>2.0000000000000001E-4</v>
      </c>
      <c r="AR29" s="933">
        <f t="shared" ca="1" si="18"/>
        <v>1E-4</v>
      </c>
    </row>
    <row r="30" spans="1:44" x14ac:dyDescent="0.2">
      <c r="A30" s="851">
        <f t="shared" ca="1" si="2"/>
        <v>15</v>
      </c>
      <c r="B30" s="77">
        <f t="shared" ca="1" si="3"/>
        <v>10606</v>
      </c>
      <c r="C30" s="853" t="str">
        <f t="shared" ca="1" si="15"/>
        <v/>
      </c>
      <c r="D30" s="76">
        <f t="shared" si="4"/>
        <v>0</v>
      </c>
      <c r="E30" s="855" t="str">
        <f t="shared" ca="1" si="16"/>
        <v/>
      </c>
      <c r="F30" s="899">
        <f t="shared" si="5"/>
        <v>0</v>
      </c>
      <c r="G30" s="897">
        <f t="shared" ca="1" si="6"/>
        <v>22</v>
      </c>
      <c r="H30" s="133" t="s">
        <v>75</v>
      </c>
      <c r="I30" s="38"/>
      <c r="J30" s="585"/>
      <c r="K30" s="586" t="s">
        <v>718</v>
      </c>
      <c r="L30" s="587"/>
      <c r="M30" s="857">
        <f ca="1">(IF(COUNT(V30,AA30,AD30,AI30,AJ30,AL30)&lt;5,SUM(V30,AA30,AD30,AI30,AJ30,AL30),SUM(LARGE((V30,AA30,AD30,AI30,AJ30,AL30),{1;2;3;4;5}))))+(IF(COUNT(U30,W30,AB30,AC30,AE30,AK30)&lt;5,SUM(U30,W30,AB30,AC30,AE30,AK30),SUM(LARGE((U30,W30,AB30,AC30,AE30,AK30),{1;2;3;4;5}))))+T30</f>
        <v>606</v>
      </c>
      <c r="N30" s="862">
        <f>IF(I30="n",((IF(COUNT(V30,AA30,AD30,AI30,AJ30,AL30)&lt;5,SUM(V30,AA30,AD30,AI30,AJ30,AL30),SUM(LARGE((V30,AA30,AD30,AI30,AJ30,AL30),{1;2;3;4;5}))))+(IF(COUNT(U30,Y30,AB30,AC30,AG30,AK30)&lt;5,SUM(U30,Y30,AB30,AC30,AG30,AK30),SUM(LARGE((U30,Y30,AB30,AC30,AG30,AK30),{1;2;3;4;5}))))+T30),0)</f>
        <v>0</v>
      </c>
      <c r="O30" s="863">
        <f>IF(J30="j",((IF(COUNT(V30,AA30,AD30,AI30,AJ30,AL30)&lt;5,SUM(V30,AA30,AD30,AI30,AJ30,AL30),SUM(LARGE((V30,AA30,AD30,AI30,AJ30,AL30),{1;2;3;4;5}))))+(IF(COUNT(U30,W30,AB30,AC30,AE30,AK30)&lt;5,SUM(U30,W30,AB30,AC30,AE30,AK30),SUM(LARGE((U30,W30,AB30,AC30,AE30,AK30),{1;2;3;4;5}))))+T30),0)</f>
        <v>0</v>
      </c>
      <c r="P30" s="886" t="str">
        <f t="shared" ca="1" si="7"/>
        <v>606,0</v>
      </c>
      <c r="Q30" s="890">
        <f t="shared" si="8"/>
        <v>160</v>
      </c>
      <c r="R30" s="886" t="str">
        <f t="shared" ca="1" si="9"/>
        <v>0606,0-160</v>
      </c>
      <c r="S30" s="889">
        <f t="shared" ca="1" si="10"/>
        <v>172</v>
      </c>
      <c r="T30" s="847">
        <v>22</v>
      </c>
      <c r="U30" s="75" t="str">
        <f>IFERROR(INDEX('1'!C$300:C$400,MATCH("*"&amp;H30&amp;"*",'1'!B$300:B$400,0)),"  ")</f>
        <v xml:space="preserve">  </v>
      </c>
      <c r="V30" s="199">
        <f>IFERROR(INDEX('2'!C$300:C$400,MATCH("*"&amp;H30&amp;"*",'2'!B$300:B$400,0)),"  ")</f>
        <v>74</v>
      </c>
      <c r="W30" s="199" t="str">
        <f ca="1">IF(I30="",IFERROR(INDEX('3M'!C$300:C$400,MATCH("*"&amp;H30&amp;"*",'3M'!B$300:B$400,0)),"  "),IFERROR(INDEX('3N'!D$300:D$400,MATCH("*"&amp;H30&amp;"*",'3N'!B$300:B$400,0)),"  "))</f>
        <v xml:space="preserve">  </v>
      </c>
      <c r="X30" s="908" t="str">
        <f ca="1">IFERROR(INDEX('3M'!C$300:C$400,MATCH("*"&amp;H30&amp;"*",'3M'!B$300:B$400,0)),"  ")</f>
        <v xml:space="preserve">  </v>
      </c>
      <c r="Y30" s="907" t="str">
        <f ca="1">IFERROR(INDEX('3N'!C$300:C$400,MATCH("*"&amp;H30&amp;"*",'3N'!B$300:B$400,0)),"  ")</f>
        <v xml:space="preserve">  </v>
      </c>
      <c r="Z30" s="440"/>
      <c r="AA30" s="75">
        <f>IFERROR(INDEX('4'!C$300:C$400,MATCH("*"&amp;H30&amp;"*",'4'!B$300:B$400,0)),"  ")</f>
        <v>56</v>
      </c>
      <c r="AB30" s="75" t="str">
        <f>IFERROR(INDEX('5'!C$300:C$400,MATCH("*"&amp;H30&amp;"*",'5'!B$300:B$400,0)),"  ")</f>
        <v xml:space="preserve">  </v>
      </c>
      <c r="AC30" s="75">
        <f>IFERROR(INDEX('6'!C$300:C$400,MATCH("*"&amp;H30&amp;"*",'6'!B$300:B$400,0)),"  ")</f>
        <v>158</v>
      </c>
      <c r="AD30" s="75" t="str">
        <f>IFERROR(INDEX('7'!C$300:C$400,MATCH("*"&amp;H30&amp;"*",'7'!B$300:B$400,0)),"  ")</f>
        <v xml:space="preserve">  </v>
      </c>
      <c r="AE30" s="75">
        <f>IF(I30="",IFERROR(INDEX('8M'!C$300:C$400,MATCH("*"&amp;H30&amp;"*",'8M'!B$300:B$400,0)),"  "),IFERROR(INDEX('8N'!D$300:D$400,MATCH("*"&amp;H30&amp;"*",'8N'!B$300:B$400,0)),"  "))</f>
        <v>90</v>
      </c>
      <c r="AF30" s="908">
        <f>IFERROR(INDEX('8M'!C$300:C$400,MATCH("*"&amp;H30&amp;"*",'8M'!B$300:B$400,0)),"  ")</f>
        <v>90</v>
      </c>
      <c r="AG30" s="907" t="str">
        <f>IFERROR(INDEX('8N'!C$300:C$400,MATCH("*"&amp;H30&amp;"*",'8N'!B$300:B$400,0)),"  ")</f>
        <v xml:space="preserve">  </v>
      </c>
      <c r="AH30" s="440"/>
      <c r="AI30" s="75">
        <f>IFERROR(INDEX('9'!C$300:C$400,MATCH("*"&amp;H30&amp;"*",'9'!B$300:B$400,0)),"  ")</f>
        <v>43</v>
      </c>
      <c r="AJ30" s="830">
        <f>IFERROR(INDEX('10'!C$300:C$400,MATCH("*"&amp;H30&amp;"*",'10'!B$300:B$400,0)),"  ")</f>
        <v>79</v>
      </c>
      <c r="AK30" s="75">
        <f>IFERROR(INDEX('11'!C$300:C$400,MATCH("*"&amp;H30&amp;"*",'11'!B$300:B$400,0)),"  ")</f>
        <v>84</v>
      </c>
      <c r="AL30" s="75" t="str">
        <f>IFERROR(INDEX('12'!C$300:C$400,MATCH("*"&amp;H30&amp;"*",'12'!B$300:B$400,0)),"  ")</f>
        <v xml:space="preserve">  </v>
      </c>
      <c r="AM30" s="26">
        <f t="shared" ca="1" si="11"/>
        <v>7</v>
      </c>
      <c r="AN30" s="579">
        <f t="shared" ca="1" si="12"/>
        <v>1</v>
      </c>
      <c r="AO30" s="580">
        <f t="shared" ca="1" si="13"/>
        <v>0</v>
      </c>
      <c r="AP30" s="27">
        <f t="shared" ca="1" si="14"/>
        <v>0</v>
      </c>
      <c r="AQ30" s="933">
        <f t="shared" si="17"/>
        <v>6.9999999999999999E-4</v>
      </c>
      <c r="AR30" s="933">
        <f t="shared" ca="1" si="18"/>
        <v>1E-4</v>
      </c>
    </row>
    <row r="31" spans="1:44" x14ac:dyDescent="0.2">
      <c r="A31" s="851">
        <f t="shared" ca="1" si="2"/>
        <v>16</v>
      </c>
      <c r="B31" s="77">
        <f t="shared" ca="1" si="3"/>
        <v>10600</v>
      </c>
      <c r="C31" s="853" t="str">
        <f t="shared" ca="1" si="15"/>
        <v/>
      </c>
      <c r="D31" s="76">
        <f t="shared" si="4"/>
        <v>0</v>
      </c>
      <c r="E31" s="855" t="str">
        <f t="shared" ca="1" si="16"/>
        <v/>
      </c>
      <c r="F31" s="899">
        <f t="shared" si="5"/>
        <v>0</v>
      </c>
      <c r="G31" s="897">
        <f t="shared" ca="1" si="6"/>
        <v>23</v>
      </c>
      <c r="H31" s="133" t="s">
        <v>34</v>
      </c>
      <c r="I31" s="38"/>
      <c r="J31" s="585"/>
      <c r="K31" s="586"/>
      <c r="L31" s="587"/>
      <c r="M31" s="857">
        <f ca="1">(IF(COUNT(V31,AA31,AD31,AI31,AJ31,AL31)&lt;5,SUM(V31,AA31,AD31,AI31,AJ31,AL31),SUM(LARGE((V31,AA31,AD31,AI31,AJ31,AL31),{1;2;3;4;5}))))+(IF(COUNT(U31,W31,AB31,AC31,AE31,AK31)&lt;5,SUM(U31,W31,AB31,AC31,AE31,AK31),SUM(LARGE((U31,W31,AB31,AC31,AE31,AK31),{1;2;3;4;5}))))+T31</f>
        <v>600</v>
      </c>
      <c r="N31" s="862">
        <f>IF(I31="n",((IF(COUNT(V31,AA31,AD31,AI31,AJ31,AL31)&lt;5,SUM(V31,AA31,AD31,AI31,AJ31,AL31),SUM(LARGE((V31,AA31,AD31,AI31,AJ31,AL31),{1;2;3;4;5}))))+(IF(COUNT(U31,Y31,AB31,AC31,AG31,AK31)&lt;5,SUM(U31,Y31,AB31,AC31,AG31,AK31),SUM(LARGE((U31,Y31,AB31,AC31,AG31,AK31),{1;2;3;4;5}))))+T31),0)</f>
        <v>0</v>
      </c>
      <c r="O31" s="863">
        <f>IF(J31="j",((IF(COUNT(V31,AA31,AD31,AI31,AJ31,AL31)&lt;5,SUM(V31,AA31,AD31,AI31,AJ31,AL31),SUM(LARGE((V31,AA31,AD31,AI31,AJ31,AL31),{1;2;3;4;5}))))+(IF(COUNT(U31,W31,AB31,AC31,AE31,AK31)&lt;5,SUM(U31,W31,AB31,AC31,AE31,AK31),SUM(LARGE((U31,W31,AB31,AC31,AE31,AK31),{1;2;3;4;5}))))+T31),0)</f>
        <v>0</v>
      </c>
      <c r="P31" s="886" t="str">
        <f t="shared" ca="1" si="7"/>
        <v>600,0</v>
      </c>
      <c r="Q31" s="890">
        <f t="shared" si="8"/>
        <v>118</v>
      </c>
      <c r="R31" s="886" t="str">
        <f t="shared" ca="1" si="9"/>
        <v>0600,0-118</v>
      </c>
      <c r="S31" s="889">
        <f t="shared" ca="1" si="10"/>
        <v>171</v>
      </c>
      <c r="T31" s="847">
        <v>56</v>
      </c>
      <c r="U31" s="75">
        <f>IFERROR(INDEX('1'!C$300:C$400,MATCH("*"&amp;H31&amp;"*",'1'!B$300:B$400,0)),"  ")</f>
        <v>96</v>
      </c>
      <c r="V31" s="199">
        <f>IFERROR(INDEX('2'!C$300:C$400,MATCH("*"&amp;H31&amp;"*",'2'!B$300:B$400,0)),"  ")</f>
        <v>84</v>
      </c>
      <c r="W31" s="199">
        <f ca="1">IF(I31="",IFERROR(INDEX('3M'!C$300:C$400,MATCH("*"&amp;H31&amp;"*",'3M'!B$300:B$400,0)),"  "),IFERROR(INDEX('3N'!D$300:D$400,MATCH("*"&amp;H31&amp;"*",'3N'!B$300:B$400,0)),"  "))</f>
        <v>51</v>
      </c>
      <c r="X31" s="908">
        <f ca="1">IFERROR(INDEX('3M'!C$300:C$400,MATCH("*"&amp;H31&amp;"*",'3M'!B$300:B$400,0)),"  ")</f>
        <v>51</v>
      </c>
      <c r="Y31" s="907" t="str">
        <f ca="1">IFERROR(INDEX('3N'!C$300:C$400,MATCH("*"&amp;H31&amp;"*",'3N'!B$300:B$400,0)),"  ")</f>
        <v xml:space="preserve">  </v>
      </c>
      <c r="Z31" s="440"/>
      <c r="AA31" s="75">
        <f>IFERROR(INDEX('4'!C$300:C$400,MATCH("*"&amp;H31&amp;"*",'4'!B$300:B$400,0)),"  ")</f>
        <v>90</v>
      </c>
      <c r="AB31" s="75" t="str">
        <f>IFERROR(INDEX('5'!C$300:C$400,MATCH("*"&amp;H31&amp;"*",'5'!B$300:B$400,0)),"  ")</f>
        <v xml:space="preserve">  </v>
      </c>
      <c r="AC31" s="75" t="str">
        <f>IFERROR(INDEX('6'!C$300:C$400,MATCH("*"&amp;H31&amp;"*",'6'!B$300:B$400,0)),"  ")</f>
        <v xml:space="preserve">  </v>
      </c>
      <c r="AD31" s="75">
        <f>IFERROR(INDEX('7'!C$300:C$400,MATCH("*"&amp;H31&amp;"*",'7'!B$300:B$400,0)),"  ")</f>
        <v>64</v>
      </c>
      <c r="AE31" s="75" t="str">
        <f>IF(I31="",IFERROR(INDEX('8M'!C$300:C$400,MATCH("*"&amp;H31&amp;"*",'8M'!B$300:B$400,0)),"  "),IFERROR(INDEX('8N'!D$300:D$400,MATCH("*"&amp;H31&amp;"*",'8N'!B$300:B$400,0)),"  "))</f>
        <v xml:space="preserve">  </v>
      </c>
      <c r="AF31" s="908" t="str">
        <f>IFERROR(INDEX('8M'!C$300:C$400,MATCH("*"&amp;H31&amp;"*",'8M'!B$300:B$400,0)),"  ")</f>
        <v xml:space="preserve">  </v>
      </c>
      <c r="AG31" s="907" t="str">
        <f>IFERROR(INDEX('8N'!C$300:C$400,MATCH("*"&amp;H31&amp;"*",'8N'!B$300:B$400,0)),"  ")</f>
        <v xml:space="preserve">  </v>
      </c>
      <c r="AH31" s="440"/>
      <c r="AI31" s="75" t="str">
        <f>IFERROR(INDEX('9'!C$300:C$400,MATCH("*"&amp;H31&amp;"*",'9'!B$300:B$400,0)),"  ")</f>
        <v xml:space="preserve">  </v>
      </c>
      <c r="AJ31" s="830">
        <f>IFERROR(INDEX('10'!C$300:C$400,MATCH("*"&amp;H31&amp;"*",'10'!B$300:B$400,0)),"  ")</f>
        <v>90</v>
      </c>
      <c r="AK31" s="75">
        <f>IFERROR(INDEX('11'!C$300:C$400,MATCH("*"&amp;H31&amp;"*",'11'!B$300:B$400,0)),"  ")</f>
        <v>69</v>
      </c>
      <c r="AL31" s="75" t="str">
        <f>IFERROR(INDEX('12'!C$300:C$400,MATCH("*"&amp;H31&amp;"*",'12'!B$300:B$400,0)),"  ")</f>
        <v xml:space="preserve">  </v>
      </c>
      <c r="AM31" s="26">
        <f t="shared" ca="1" si="11"/>
        <v>7</v>
      </c>
      <c r="AN31" s="579">
        <f t="shared" ca="1" si="12"/>
        <v>0</v>
      </c>
      <c r="AO31" s="580">
        <f t="shared" ca="1" si="13"/>
        <v>0</v>
      </c>
      <c r="AP31" s="27">
        <f t="shared" ca="1" si="14"/>
        <v>0</v>
      </c>
      <c r="AQ31" s="933">
        <f t="shared" si="17"/>
        <v>8.9999999999999998E-4</v>
      </c>
      <c r="AR31" s="933">
        <f t="shared" ca="1" si="18"/>
        <v>5.0000000000000001E-4</v>
      </c>
    </row>
    <row r="32" spans="1:44" x14ac:dyDescent="0.2">
      <c r="A32" s="851" t="str">
        <f t="shared" ca="1" si="2"/>
        <v/>
      </c>
      <c r="B32" s="77">
        <f t="shared" si="3"/>
        <v>0</v>
      </c>
      <c r="C32" s="853">
        <f t="shared" ca="1" si="15"/>
        <v>10</v>
      </c>
      <c r="D32" s="76">
        <f t="shared" ca="1" si="4"/>
        <v>10593</v>
      </c>
      <c r="E32" s="855" t="str">
        <f t="shared" ca="1" si="16"/>
        <v/>
      </c>
      <c r="F32" s="899">
        <f t="shared" si="5"/>
        <v>0</v>
      </c>
      <c r="G32" s="897">
        <f t="shared" ca="1" si="6"/>
        <v>24</v>
      </c>
      <c r="H32" s="133" t="s">
        <v>39</v>
      </c>
      <c r="I32" s="38" t="s">
        <v>32</v>
      </c>
      <c r="J32" s="585"/>
      <c r="K32" s="586"/>
      <c r="L32" s="587"/>
      <c r="M32" s="857">
        <f ca="1">(IF(COUNT(V32,AA32,AD32,AI32,AJ32,AL32)&lt;5,SUM(V32,AA32,AD32,AI32,AJ32,AL32),SUM(LARGE((V32,AA32,AD32,AI32,AJ32,AL32),{1;2;3;4;5}))))+(IF(COUNT(U32,W32,AB32,AC32,AE32,AK32)&lt;5,SUM(U32,W32,AB32,AC32,AE32,AK32),SUM(LARGE((U32,W32,AB32,AC32,AE32,AK32),{1;2;3;4;5}))))+T32</f>
        <v>593</v>
      </c>
      <c r="N32" s="862">
        <f ca="1">IF(I32="n",((IF(COUNT(V32,AA32,AD32,AI32,AJ32,AL32)&lt;5,SUM(V32,AA32,AD32,AI32,AJ32,AL32),SUM(LARGE((V32,AA32,AD32,AI32,AJ32,AL32),{1;2;3;4;5}))))+(IF(COUNT(U32,Y32,AB32,AC32,AG32,AK32)&lt;5,SUM(U32,Y32,AB32,AC32,AG32,AK32),SUM(LARGE((U32,Y32,AB32,AC32,AG32,AK32),{1;2;3;4;5}))))+T32),0)</f>
        <v>593</v>
      </c>
      <c r="O32" s="863">
        <f>IF(J32="j",((IF(COUNT(V32,AA32,AD32,AI32,AJ32,AL32)&lt;5,SUM(V32,AA32,AD32,AI32,AJ32,AL32),SUM(LARGE((V32,AA32,AD32,AI32,AJ32,AL32),{1;2;3;4;5}))))+(IF(COUNT(U32,W32,AB32,AC32,AE32,AK32)&lt;5,SUM(U32,W32,AB32,AC32,AE32,AK32),SUM(LARGE((U32,W32,AB32,AC32,AE32,AK32),{1;2;3;4;5}))))+T32),0)</f>
        <v>0</v>
      </c>
      <c r="P32" s="886" t="str">
        <f t="shared" ca="1" si="7"/>
        <v>593,0</v>
      </c>
      <c r="Q32" s="890">
        <f t="shared" si="8"/>
        <v>102</v>
      </c>
      <c r="R32" s="886" t="str">
        <f t="shared" ca="1" si="9"/>
        <v>0593,0-102</v>
      </c>
      <c r="S32" s="889">
        <f t="shared" ca="1" si="10"/>
        <v>170</v>
      </c>
      <c r="T32" s="847">
        <v>1</v>
      </c>
      <c r="U32" s="75">
        <f>IFERROR(INDEX('1'!C$300:C$400,MATCH("*"&amp;H32&amp;"*",'1'!B$300:B$400,0)),"  ")</f>
        <v>146</v>
      </c>
      <c r="V32" s="199" t="str">
        <f>IFERROR(INDEX('2'!C$300:C$400,MATCH("*"&amp;H32&amp;"*",'2'!B$300:B$400,0)),"  ")</f>
        <v xml:space="preserve">  </v>
      </c>
      <c r="W32" s="199" t="str">
        <f ca="1">IF(I32="",IFERROR(INDEX('3M'!C$300:C$400,MATCH("*"&amp;H32&amp;"*",'3M'!B$300:B$400,0)),"  "),IFERROR(INDEX('3N'!D$300:D$400,MATCH("*"&amp;H32&amp;"*",'3N'!B$300:B$400,0)),"  "))</f>
        <v xml:space="preserve">  </v>
      </c>
      <c r="X32" s="908" t="str">
        <f ca="1">IFERROR(INDEX('3M'!C$300:C$400,MATCH("*"&amp;H32&amp;"*",'3M'!B$300:B$400,0)),"  ")</f>
        <v xml:space="preserve">  </v>
      </c>
      <c r="Y32" s="907" t="str">
        <f ca="1">IFERROR(INDEX('3N'!C$300:C$400,MATCH("*"&amp;H32&amp;"*",'3N'!B$300:B$400,0)),"  ")</f>
        <v xml:space="preserve">  </v>
      </c>
      <c r="Z32" s="440"/>
      <c r="AA32" s="75" t="str">
        <f>IFERROR(INDEX('4'!C$300:C$400,MATCH("*"&amp;H32&amp;"*",'4'!B$300:B$400,0)),"  ")</f>
        <v xml:space="preserve">  </v>
      </c>
      <c r="AB32" s="75">
        <f>IFERROR(INDEX('5'!C$300:C$400,MATCH("*"&amp;H32&amp;"*",'5'!B$300:B$400,0)),"  ")</f>
        <v>33</v>
      </c>
      <c r="AC32" s="75">
        <f>IFERROR(INDEX('6'!C$300:C$400,MATCH("*"&amp;H32&amp;"*",'6'!B$300:B$400,0)),"  ")</f>
        <v>84</v>
      </c>
      <c r="AD32" s="75">
        <f>IFERROR(INDEX('7'!C$300:C$400,MATCH("*"&amp;H32&amp;"*",'7'!B$300:B$400,0)),"  ")</f>
        <v>69</v>
      </c>
      <c r="AE32" s="75" t="str">
        <f>IF(I32="",IFERROR(INDEX('8M'!C$300:C$400,MATCH("*"&amp;H32&amp;"*",'8M'!B$300:B$400,0)),"  "),IFERROR(INDEX('8N'!D$300:D$400,MATCH("*"&amp;H32&amp;"*",'8N'!B$300:B$400,0)),"  "))</f>
        <v xml:space="preserve">  </v>
      </c>
      <c r="AF32" s="908" t="str">
        <f>IFERROR(INDEX('8M'!C$300:C$400,MATCH("*"&amp;H32&amp;"*",'8M'!B$300:B$400,0)),"  ")</f>
        <v xml:space="preserve">  </v>
      </c>
      <c r="AG32" s="907" t="str">
        <f>IFERROR(INDEX('8N'!C$300:C$400,MATCH("*"&amp;H32&amp;"*",'8N'!B$300:B$400,0)),"  ")</f>
        <v xml:space="preserve">  </v>
      </c>
      <c r="AH32" s="440"/>
      <c r="AI32" s="75">
        <f>IFERROR(INDEX('9'!C$300:C$400,MATCH("*"&amp;H32&amp;"*",'9'!B$300:B$400,0)),"  ")</f>
        <v>46</v>
      </c>
      <c r="AJ32" s="830">
        <f>IFERROR(INDEX('10'!C$300:C$400,MATCH("*"&amp;H32&amp;"*",'10'!B$300:B$400,0)),"  ")</f>
        <v>90</v>
      </c>
      <c r="AK32" s="75">
        <f>IFERROR(INDEX('11'!C$300:C$400,MATCH("*"&amp;H32&amp;"*",'11'!B$300:B$400,0)),"  ")</f>
        <v>90</v>
      </c>
      <c r="AL32" s="75">
        <f>IFERROR(INDEX('12'!C$300:C$400,MATCH("*"&amp;H32&amp;"*",'12'!B$300:B$400,0)),"  ")</f>
        <v>34</v>
      </c>
      <c r="AM32" s="26">
        <f t="shared" ca="1" si="11"/>
        <v>8</v>
      </c>
      <c r="AN32" s="579">
        <f t="shared" ca="1" si="12"/>
        <v>1</v>
      </c>
      <c r="AO32" s="580">
        <f t="shared" ca="1" si="13"/>
        <v>0</v>
      </c>
      <c r="AP32" s="27">
        <f t="shared" ca="1" si="14"/>
        <v>0</v>
      </c>
      <c r="AQ32" s="933">
        <f t="shared" si="17"/>
        <v>2.0000000000000001E-4</v>
      </c>
      <c r="AR32" s="933">
        <f t="shared" ca="1" si="18"/>
        <v>2.9999999999999997E-4</v>
      </c>
    </row>
    <row r="33" spans="1:44" x14ac:dyDescent="0.2">
      <c r="A33" s="851">
        <f t="shared" ca="1" si="2"/>
        <v>17</v>
      </c>
      <c r="B33" s="77">
        <f t="shared" ca="1" si="3"/>
        <v>10580</v>
      </c>
      <c r="C33" s="853" t="str">
        <f t="shared" ca="1" si="15"/>
        <v/>
      </c>
      <c r="D33" s="76">
        <f t="shared" si="4"/>
        <v>0</v>
      </c>
      <c r="E33" s="855" t="str">
        <f t="shared" ca="1" si="16"/>
        <v/>
      </c>
      <c r="F33" s="899">
        <f t="shared" si="5"/>
        <v>0</v>
      </c>
      <c r="G33" s="897">
        <f t="shared" ca="1" si="6"/>
        <v>25</v>
      </c>
      <c r="H33" s="133" t="s">
        <v>206</v>
      </c>
      <c r="I33" s="38"/>
      <c r="J33" s="585"/>
      <c r="K33" s="586"/>
      <c r="L33" s="587"/>
      <c r="M33" s="857">
        <f ca="1">(IF(COUNT(V33,AA33,AD33,AI33,AJ33,AL33)&lt;5,SUM(V33,AA33,AD33,AI33,AJ33,AL33),SUM(LARGE((V33,AA33,AD33,AI33,AJ33,AL33),{1;2;3;4;5}))))+(IF(COUNT(U33,W33,AB33,AC33,AE33,AK33)&lt;5,SUM(U33,W33,AB33,AC33,AE33,AK33),SUM(LARGE((U33,W33,AB33,AC33,AE33,AK33),{1;2;3;4;5}))))+T33</f>
        <v>580</v>
      </c>
      <c r="N33" s="862">
        <f>IF(I33="n",((IF(COUNT(V33,AA33,AD33,AI33,AJ33,AL33)&lt;5,SUM(V33,AA33,AD33,AI33,AJ33,AL33),SUM(LARGE((V33,AA33,AD33,AI33,AJ33,AL33),{1;2;3;4;5}))))+(IF(COUNT(U33,Y33,AB33,AC33,AG33,AK33)&lt;5,SUM(U33,Y33,AB33,AC33,AG33,AK33),SUM(LARGE((U33,Y33,AB33,AC33,AG33,AK33),{1;2;3;4;5}))))+T33),0)</f>
        <v>0</v>
      </c>
      <c r="O33" s="863">
        <f>IF(J33="j",((IF(COUNT(V33,AA33,AD33,AI33,AJ33,AL33)&lt;5,SUM(V33,AA33,AD33,AI33,AJ33,AL33),SUM(LARGE((V33,AA33,AD33,AI33,AJ33,AL33),{1;2;3;4;5}))))+(IF(COUNT(U33,W33,AB33,AC33,AE33,AK33)&lt;5,SUM(U33,W33,AB33,AC33,AE33,AK33),SUM(LARGE((U33,W33,AB33,AC33,AE33,AK33),{1;2;3;4;5}))))+T33),0)</f>
        <v>0</v>
      </c>
      <c r="P33" s="886" t="str">
        <f t="shared" ca="1" si="7"/>
        <v>580,0</v>
      </c>
      <c r="Q33" s="890">
        <f t="shared" si="8"/>
        <v>13</v>
      </c>
      <c r="R33" s="886" t="str">
        <f t="shared" ca="1" si="9"/>
        <v>0580,0-013</v>
      </c>
      <c r="S33" s="889">
        <f t="shared" ca="1" si="10"/>
        <v>169</v>
      </c>
      <c r="T33" s="847">
        <v>1</v>
      </c>
      <c r="U33" s="75">
        <f>IFERROR(INDEX('1'!C$300:C$400,MATCH("*"&amp;H33&amp;"*",'1'!B$300:B$400,0)),"  ")</f>
        <v>51</v>
      </c>
      <c r="V33" s="199">
        <f>IFERROR(INDEX('2'!C$300:C$400,MATCH("*"&amp;H33&amp;"*",'2'!B$300:B$400,0)),"  ")</f>
        <v>90</v>
      </c>
      <c r="W33" s="199">
        <f ca="1">IF(I33="",IFERROR(INDEX('3M'!C$300:C$400,MATCH("*"&amp;H33&amp;"*",'3M'!B$300:B$400,0)),"  "),IFERROR(INDEX('3N'!D$300:D$400,MATCH("*"&amp;H33&amp;"*",'3N'!B$300:B$400,0)),"  "))</f>
        <v>69</v>
      </c>
      <c r="X33" s="908">
        <f ca="1">IFERROR(INDEX('3M'!C$300:C$400,MATCH("*"&amp;H33&amp;"*",'3M'!B$300:B$400,0)),"  ")</f>
        <v>69</v>
      </c>
      <c r="Y33" s="907" t="str">
        <f ca="1">IFERROR(INDEX('3N'!C$300:C$400,MATCH("*"&amp;H33&amp;"*",'3N'!B$300:B$400,0)),"  ")</f>
        <v xml:space="preserve">  </v>
      </c>
      <c r="Z33" s="440"/>
      <c r="AA33" s="75">
        <f>IFERROR(INDEX('4'!C$300:C$400,MATCH("*"&amp;H33&amp;"*",'4'!B$300:B$400,0)),"  ")</f>
        <v>64</v>
      </c>
      <c r="AB33" s="75" t="str">
        <f>IFERROR(INDEX('5'!C$300:C$400,MATCH("*"&amp;H33&amp;"*",'5'!B$300:B$400,0)),"  ")</f>
        <v xml:space="preserve">  </v>
      </c>
      <c r="AC33" s="75" t="str">
        <f>IFERROR(INDEX('6'!C$300:C$400,MATCH("*"&amp;H33&amp;"*",'6'!B$300:B$400,0)),"  ")</f>
        <v xml:space="preserve">  </v>
      </c>
      <c r="AD33" s="75" t="str">
        <f>IFERROR(INDEX('7'!C$300:C$400,MATCH("*"&amp;H33&amp;"*",'7'!B$300:B$400,0)),"  ")</f>
        <v xml:space="preserve">  </v>
      </c>
      <c r="AE33" s="75" t="str">
        <f>IF(I33="",IFERROR(INDEX('8M'!C$300:C$400,MATCH("*"&amp;H33&amp;"*",'8M'!B$300:B$400,0)),"  "),IFERROR(INDEX('8N'!D$300:D$400,MATCH("*"&amp;H33&amp;"*",'8N'!B$300:B$400,0)),"  "))</f>
        <v xml:space="preserve">  </v>
      </c>
      <c r="AF33" s="908" t="str">
        <f>IFERROR(INDEX('8M'!C$300:C$400,MATCH("*"&amp;H33&amp;"*",'8M'!B$300:B$400,0)),"  ")</f>
        <v xml:space="preserve">  </v>
      </c>
      <c r="AG33" s="907" t="str">
        <f>IFERROR(INDEX('8N'!C$300:C$400,MATCH("*"&amp;H33&amp;"*",'8N'!B$300:B$400,0)),"  ")</f>
        <v xml:space="preserve">  </v>
      </c>
      <c r="AH33" s="440"/>
      <c r="AI33" s="75" t="str">
        <f>IFERROR(INDEX('9'!C$300:C$400,MATCH("*"&amp;H33&amp;"*",'9'!B$300:B$400,0)),"  ")</f>
        <v xml:space="preserve">  </v>
      </c>
      <c r="AJ33" s="830">
        <f>IFERROR(INDEX('10'!C$300:C$400,MATCH("*"&amp;H33&amp;"*",'10'!B$300:B$400,0)),"  ")</f>
        <v>115</v>
      </c>
      <c r="AK33" s="75">
        <f>IFERROR(INDEX('11'!C$300:C$400,MATCH("*"&amp;H33&amp;"*",'11'!B$300:B$400,0)),"  ")</f>
        <v>126</v>
      </c>
      <c r="AL33" s="75">
        <f>IFERROR(INDEX('12'!C$300:C$400,MATCH("*"&amp;H33&amp;"*",'12'!B$300:B$400,0)),"  ")</f>
        <v>64</v>
      </c>
      <c r="AM33" s="26">
        <f t="shared" ca="1" si="11"/>
        <v>7</v>
      </c>
      <c r="AN33" s="579">
        <f t="shared" ca="1" si="12"/>
        <v>1</v>
      </c>
      <c r="AO33" s="580">
        <f t="shared" ca="1" si="13"/>
        <v>1</v>
      </c>
      <c r="AP33" s="27">
        <f t="shared" ca="1" si="14"/>
        <v>0</v>
      </c>
      <c r="AQ33" s="933">
        <f t="shared" si="17"/>
        <v>6.9999999999999999E-4</v>
      </c>
      <c r="AR33" s="933">
        <f t="shared" ca="1" si="18"/>
        <v>5.0000000000000001E-4</v>
      </c>
    </row>
    <row r="34" spans="1:44" x14ac:dyDescent="0.2">
      <c r="A34" s="851">
        <f t="shared" ca="1" si="2"/>
        <v>18</v>
      </c>
      <c r="B34" s="77">
        <f t="shared" ca="1" si="3"/>
        <v>10555</v>
      </c>
      <c r="C34" s="853" t="str">
        <f t="shared" ca="1" si="15"/>
        <v/>
      </c>
      <c r="D34" s="76">
        <f t="shared" si="4"/>
        <v>0</v>
      </c>
      <c r="E34" s="855" t="str">
        <f t="shared" ca="1" si="16"/>
        <v/>
      </c>
      <c r="F34" s="899">
        <f t="shared" si="5"/>
        <v>0</v>
      </c>
      <c r="G34" s="897">
        <f t="shared" ca="1" si="6"/>
        <v>26</v>
      </c>
      <c r="H34" s="265" t="s">
        <v>787</v>
      </c>
      <c r="I34" s="38"/>
      <c r="J34" s="585"/>
      <c r="K34" s="586" t="s">
        <v>718</v>
      </c>
      <c r="L34" s="587"/>
      <c r="M34" s="857">
        <f ca="1">(IF(COUNT(V34,AA34,AD34,AI34,AJ34,AL34)&lt;5,SUM(V34,AA34,AD34,AI34,AJ34,AL34),SUM(LARGE((V34,AA34,AD34,AI34,AJ34,AL34),{1;2;3;4;5}))))+(IF(COUNT(U34,W34,AB34,AC34,AE34,AK34)&lt;5,SUM(U34,W34,AB34,AC34,AE34,AK34),SUM(LARGE((U34,W34,AB34,AC34,AE34,AK34),{1;2;3;4;5}))))+T34</f>
        <v>555</v>
      </c>
      <c r="N34" s="862">
        <f>IF(I34="n",((IF(COUNT(V34,AA34,AD34,AI34,AJ34,AL34)&lt;5,SUM(V34,AA34,AD34,AI34,AJ34,AL34),SUM(LARGE((V34,AA34,AD34,AI34,AJ34,AL34),{1;2;3;4;5}))))+(IF(COUNT(U34,Y34,AB34,AC34,AG34,AK34)&lt;5,SUM(U34,Y34,AB34,AC34,AG34,AK34),SUM(LARGE((U34,Y34,AB34,AC34,AG34,AK34),{1;2;3;4;5}))))+T34),0)</f>
        <v>0</v>
      </c>
      <c r="O34" s="863">
        <f>IF(J34="j",((IF(COUNT(V34,AA34,AD34,AI34,AJ34,AL34)&lt;5,SUM(V34,AA34,AD34,AI34,AJ34,AL34),SUM(LARGE((V34,AA34,AD34,AI34,AJ34,AL34),{1;2;3;4;5}))))+(IF(COUNT(U34,W34,AB34,AC34,AE34,AK34)&lt;5,SUM(U34,W34,AB34,AC34,AE34,AK34),SUM(LARGE((U34,W34,AB34,AC34,AE34,AK34),{1;2;3;4;5}))))+T34),0)</f>
        <v>0</v>
      </c>
      <c r="P34" s="886" t="str">
        <f t="shared" ca="1" si="7"/>
        <v>555,0</v>
      </c>
      <c r="Q34" s="890">
        <f t="shared" si="8"/>
        <v>109</v>
      </c>
      <c r="R34" s="886" t="str">
        <f t="shared" ca="1" si="9"/>
        <v>0555,0-109</v>
      </c>
      <c r="S34" s="889">
        <f t="shared" ca="1" si="10"/>
        <v>168</v>
      </c>
      <c r="T34" s="847"/>
      <c r="U34" s="75" t="str">
        <f>IFERROR(INDEX('1'!C$300:C$400,MATCH("*"&amp;H34&amp;"*",'1'!B$300:B$400,0)),"  ")</f>
        <v xml:space="preserve">  </v>
      </c>
      <c r="V34" s="199">
        <f>IFERROR(INDEX('2'!C$300:C$400,MATCH("*"&amp;H34&amp;"*",'2'!B$300:B$400,0)),"  ")</f>
        <v>52</v>
      </c>
      <c r="W34" s="199" t="str">
        <f ca="1">IF(I34="",IFERROR(INDEX('3M'!C$300:C$400,MATCH("*"&amp;H34&amp;"*",'3M'!B$300:B$400,0)),"  "),IFERROR(INDEX('3N'!D$300:D$400,MATCH("*"&amp;H34&amp;"*",'3N'!B$300:B$400,0)),"  "))</f>
        <v xml:space="preserve">  </v>
      </c>
      <c r="X34" s="908" t="str">
        <f ca="1">IFERROR(INDEX('3M'!C$300:C$400,MATCH("*"&amp;H34&amp;"*",'3M'!B$300:B$400,0)),"  ")</f>
        <v xml:space="preserve">  </v>
      </c>
      <c r="Y34" s="907" t="str">
        <f ca="1">IFERROR(INDEX('3N'!C$300:C$400,MATCH("*"&amp;H34&amp;"*",'3N'!B$300:B$400,0)),"  ")</f>
        <v xml:space="preserve">  </v>
      </c>
      <c r="Z34" s="440"/>
      <c r="AA34" s="75">
        <f>IFERROR(INDEX('4'!C$300:C$400,MATCH("*"&amp;H34&amp;"*",'4'!B$300:B$400,0)),"  ")</f>
        <v>46</v>
      </c>
      <c r="AB34" s="75" t="str">
        <f>IFERROR(INDEX('5'!C$300:C$400,MATCH("*"&amp;H34&amp;"*",'5'!B$300:B$400,0)),"  ")</f>
        <v xml:space="preserve">  </v>
      </c>
      <c r="AC34" s="75">
        <f>IFERROR(INDEX('6'!C$300:C$400,MATCH("*"&amp;H34&amp;"*",'6'!B$300:B$400,0)),"  ")</f>
        <v>104</v>
      </c>
      <c r="AD34" s="75">
        <f>IFERROR(INDEX('7'!C$300:C$400,MATCH("*"&amp;H34&amp;"*",'7'!B$300:B$400,0)),"  ")</f>
        <v>52</v>
      </c>
      <c r="AE34" s="75">
        <f>IF(I34="",IFERROR(INDEX('8M'!C$300:C$400,MATCH("*"&amp;H34&amp;"*",'8M'!B$300:B$400,0)),"  "),IFERROR(INDEX('8N'!D$300:D$400,MATCH("*"&amp;H34&amp;"*",'8N'!B$300:B$400,0)),"  "))</f>
        <v>104</v>
      </c>
      <c r="AF34" s="908">
        <f>IFERROR(INDEX('8M'!C$300:C$400,MATCH("*"&amp;H34&amp;"*",'8M'!B$300:B$400,0)),"  ")</f>
        <v>104</v>
      </c>
      <c r="AG34" s="907" t="str">
        <f>IFERROR(INDEX('8N'!C$300:C$400,MATCH("*"&amp;H34&amp;"*",'8N'!B$300:B$400,0)),"  ")</f>
        <v xml:space="preserve">  </v>
      </c>
      <c r="AH34" s="440"/>
      <c r="AI34" s="75">
        <f>IFERROR(INDEX('9'!C$300:C$400,MATCH("*"&amp;H34&amp;"*",'9'!B$300:B$400,0)),"  ")</f>
        <v>115</v>
      </c>
      <c r="AJ34" s="830" t="str">
        <f>IFERROR(INDEX('10'!C$300:C$400,MATCH("*"&amp;H34&amp;"*",'10'!B$300:B$400,0)),"  ")</f>
        <v xml:space="preserve">  </v>
      </c>
      <c r="AK34" s="75">
        <f>IFERROR(INDEX('11'!C$300:C$400,MATCH("*"&amp;H34&amp;"*",'11'!B$300:B$400,0)),"  ")</f>
        <v>51</v>
      </c>
      <c r="AL34" s="75">
        <f>IFERROR(INDEX('12'!C$300:C$400,MATCH("*"&amp;H34&amp;"*",'12'!B$300:B$400,0)),"  ")</f>
        <v>31</v>
      </c>
      <c r="AM34" s="26">
        <f t="shared" ca="1" si="11"/>
        <v>8</v>
      </c>
      <c r="AN34" s="579">
        <f t="shared" ca="1" si="12"/>
        <v>1</v>
      </c>
      <c r="AO34" s="580">
        <f t="shared" ca="1" si="13"/>
        <v>1</v>
      </c>
      <c r="AP34" s="27">
        <f t="shared" ca="1" si="14"/>
        <v>0</v>
      </c>
      <c r="AQ34" s="933">
        <f t="shared" si="17"/>
        <v>1E-3</v>
      </c>
      <c r="AR34" s="933">
        <f t="shared" ca="1" si="18"/>
        <v>1E-4</v>
      </c>
    </row>
    <row r="35" spans="1:44" x14ac:dyDescent="0.2">
      <c r="A35" s="851">
        <f t="shared" ca="1" si="2"/>
        <v>19</v>
      </c>
      <c r="B35" s="77">
        <f t="shared" ca="1" si="3"/>
        <v>10554.5</v>
      </c>
      <c r="C35" s="853" t="str">
        <f t="shared" ca="1" si="15"/>
        <v/>
      </c>
      <c r="D35" s="76">
        <f t="shared" si="4"/>
        <v>0</v>
      </c>
      <c r="E35" s="855" t="str">
        <f t="shared" ca="1" si="16"/>
        <v/>
      </c>
      <c r="F35" s="899">
        <f t="shared" si="5"/>
        <v>0</v>
      </c>
      <c r="G35" s="897">
        <f t="shared" ca="1" si="6"/>
        <v>27</v>
      </c>
      <c r="H35" s="133" t="s">
        <v>294</v>
      </c>
      <c r="I35" s="38"/>
      <c r="J35" s="585"/>
      <c r="K35" s="586"/>
      <c r="L35" s="587"/>
      <c r="M35" s="857">
        <f ca="1">(IF(COUNT(V35,AA35,AD35,AI35,AJ35,AL35)&lt;5,SUM(V35,AA35,AD35,AI35,AJ35,AL35),SUM(LARGE((V35,AA35,AD35,AI35,AJ35,AL35),{1;2;3;4;5}))))+(IF(COUNT(U35,W35,AB35,AC35,AE35,AK35)&lt;5,SUM(U35,W35,AB35,AC35,AE35,AK35),SUM(LARGE((U35,W35,AB35,AC35,AE35,AK35),{1;2;3;4;5}))))+T35</f>
        <v>554.5</v>
      </c>
      <c r="N35" s="862">
        <f>IF(I35="n",((IF(COUNT(V35,AA35,AD35,AI35,AJ35,AL35)&lt;5,SUM(V35,AA35,AD35,AI35,AJ35,AL35),SUM(LARGE((V35,AA35,AD35,AI35,AJ35,AL35),{1;2;3;4;5}))))+(IF(COUNT(U35,Y35,AB35,AC35,AG35,AK35)&lt;5,SUM(U35,Y35,AB35,AC35,AG35,AK35),SUM(LARGE((U35,Y35,AB35,AC35,AG35,AK35),{1;2;3;4;5}))))+T35),0)</f>
        <v>0</v>
      </c>
      <c r="O35" s="863">
        <f>IF(J35="j",((IF(COUNT(V35,AA35,AD35,AI35,AJ35,AL35)&lt;5,SUM(V35,AA35,AD35,AI35,AJ35,AL35),SUM(LARGE((V35,AA35,AD35,AI35,AJ35,AL35),{1;2;3;4;5}))))+(IF(COUNT(U35,W35,AB35,AC35,AE35,AK35)&lt;5,SUM(U35,W35,AB35,AC35,AE35,AK35),SUM(LARGE((U35,W35,AB35,AC35,AE35,AK35),{1;2;3;4;5}))))+T35),0)</f>
        <v>0</v>
      </c>
      <c r="P35" s="886" t="str">
        <f t="shared" ca="1" si="7"/>
        <v>554,5</v>
      </c>
      <c r="Q35" s="890">
        <f t="shared" si="8"/>
        <v>10</v>
      </c>
      <c r="R35" s="886" t="str">
        <f t="shared" ca="1" si="9"/>
        <v>0554,5-010</v>
      </c>
      <c r="S35" s="889">
        <f t="shared" ca="1" si="10"/>
        <v>167</v>
      </c>
      <c r="T35" s="849">
        <v>35.5</v>
      </c>
      <c r="U35" s="75" t="str">
        <f>IFERROR(INDEX('1'!C$300:C$400,MATCH("*"&amp;H35&amp;"*",'1'!B$300:B$400,0)),"  ")</f>
        <v xml:space="preserve">  </v>
      </c>
      <c r="V35" s="199" t="str">
        <f>IFERROR(INDEX('2'!C$300:C$400,MATCH("*"&amp;H35&amp;"*",'2'!B$300:B$400,0)),"  ")</f>
        <v xml:space="preserve">  </v>
      </c>
      <c r="W35" s="199" t="str">
        <f ca="1">IF(I35="",IFERROR(INDEX('3M'!C$300:C$400,MATCH("*"&amp;H35&amp;"*",'3M'!B$300:B$400,0)),"  "),IFERROR(INDEX('3N'!D$300:D$400,MATCH("*"&amp;H35&amp;"*",'3N'!B$300:B$400,0)),"  "))</f>
        <v xml:space="preserve">  </v>
      </c>
      <c r="X35" s="908" t="str">
        <f ca="1">IFERROR(INDEX('3M'!C$300:C$400,MATCH("*"&amp;H35&amp;"*",'3M'!B$300:B$400,0)),"  ")</f>
        <v xml:space="preserve">  </v>
      </c>
      <c r="Y35" s="907" t="str">
        <f ca="1">IFERROR(INDEX('3N'!C$300:C$400,MATCH("*"&amp;H35&amp;"*",'3N'!B$300:B$400,0)),"  ")</f>
        <v xml:space="preserve">  </v>
      </c>
      <c r="Z35" s="440"/>
      <c r="AA35" s="75" t="str">
        <f>IFERROR(INDEX('4'!C$300:C$400,MATCH("*"&amp;H35&amp;"*",'4'!B$300:B$400,0)),"  ")</f>
        <v xml:space="preserve">  </v>
      </c>
      <c r="AB35" s="75" t="str">
        <f>IFERROR(INDEX('5'!C$300:C$400,MATCH("*"&amp;H35&amp;"*",'5'!B$300:B$400,0)),"  ")</f>
        <v xml:space="preserve">  </v>
      </c>
      <c r="AC35" s="75">
        <f>IFERROR(INDEX('6'!C$300:C$400,MATCH("*"&amp;H35&amp;"*",'6'!B$300:B$400,0)),"  ")</f>
        <v>173</v>
      </c>
      <c r="AD35" s="75" t="str">
        <f>IFERROR(INDEX('7'!C$300:C$400,MATCH("*"&amp;H35&amp;"*",'7'!B$300:B$400,0)),"  ")</f>
        <v xml:space="preserve">  </v>
      </c>
      <c r="AE35" s="75">
        <f>IF(I35="",IFERROR(INDEX('8M'!C$300:C$400,MATCH("*"&amp;H35&amp;"*",'8M'!B$300:B$400,0)),"  "),IFERROR(INDEX('8N'!D$300:D$400,MATCH("*"&amp;H35&amp;"*",'8N'!B$300:B$400,0)),"  "))</f>
        <v>173</v>
      </c>
      <c r="AF35" s="908">
        <f>IFERROR(INDEX('8M'!C$300:C$400,MATCH("*"&amp;H35&amp;"*",'8M'!B$300:B$400,0)),"  ")</f>
        <v>173</v>
      </c>
      <c r="AG35" s="907" t="str">
        <f>IFERROR(INDEX('8N'!C$300:C$400,MATCH("*"&amp;H35&amp;"*",'8N'!B$300:B$400,0)),"  ")</f>
        <v xml:space="preserve">  </v>
      </c>
      <c r="AH35" s="440"/>
      <c r="AI35" s="75" t="str">
        <f>IFERROR(INDEX('9'!C$300:C$400,MATCH("*"&amp;H35&amp;"*",'9'!B$300:B$400,0)),"  ")</f>
        <v xml:space="preserve">  </v>
      </c>
      <c r="AJ35" s="830" t="str">
        <f>IFERROR(INDEX('10'!C$300:C$400,MATCH("*"&amp;H35&amp;"*",'10'!B$300:B$400,0)),"  ")</f>
        <v xml:space="preserve">  </v>
      </c>
      <c r="AK35" s="75">
        <f>IFERROR(INDEX('11'!C$300:C$400,MATCH("*"&amp;H35&amp;"*",'11'!B$300:B$400,0)),"  ")</f>
        <v>173</v>
      </c>
      <c r="AL35" s="75" t="str">
        <f>IFERROR(INDEX('12'!C$300:C$400,MATCH("*"&amp;H35&amp;"*",'12'!B$300:B$400,0)),"  ")</f>
        <v xml:space="preserve">  </v>
      </c>
      <c r="AM35" s="26">
        <f t="shared" ca="1" si="11"/>
        <v>3</v>
      </c>
      <c r="AN35" s="579">
        <f t="shared" ca="1" si="12"/>
        <v>3</v>
      </c>
      <c r="AO35" s="580">
        <f t="shared" ca="1" si="13"/>
        <v>4</v>
      </c>
      <c r="AP35" s="27">
        <f t="shared" ca="1" si="14"/>
        <v>3</v>
      </c>
      <c r="AQ35" s="933">
        <f t="shared" si="17"/>
        <v>2.0000000000000001E-4</v>
      </c>
      <c r="AR35" s="933">
        <f t="shared" ca="1" si="18"/>
        <v>1E-4</v>
      </c>
    </row>
    <row r="36" spans="1:44" x14ac:dyDescent="0.2">
      <c r="A36" s="851">
        <f t="shared" ca="1" si="2"/>
        <v>20</v>
      </c>
      <c r="B36" s="77">
        <f t="shared" ca="1" si="3"/>
        <v>10546</v>
      </c>
      <c r="C36" s="853" t="str">
        <f t="shared" ca="1" si="15"/>
        <v/>
      </c>
      <c r="D36" s="76">
        <f t="shared" si="4"/>
        <v>0</v>
      </c>
      <c r="E36" s="855" t="str">
        <f t="shared" ca="1" si="16"/>
        <v/>
      </c>
      <c r="F36" s="899">
        <f t="shared" si="5"/>
        <v>0</v>
      </c>
      <c r="G36" s="897">
        <f t="shared" ca="1" si="6"/>
        <v>28</v>
      </c>
      <c r="H36" s="133" t="s">
        <v>70</v>
      </c>
      <c r="I36" s="38"/>
      <c r="J36" s="585"/>
      <c r="K36" s="586"/>
      <c r="L36" s="587"/>
      <c r="M36" s="857">
        <f ca="1">(IF(COUNT(V36,AA36,AD36,AI36,AJ36,AL36)&lt;5,SUM(V36,AA36,AD36,AI36,AJ36,AL36),SUM(LARGE((V36,AA36,AD36,AI36,AJ36,AL36),{1;2;3;4;5}))))+(IF(COUNT(U36,W36,AB36,AC36,AE36,AK36)&lt;5,SUM(U36,W36,AB36,AC36,AE36,AK36),SUM(LARGE((U36,W36,AB36,AC36,AE36,AK36),{1;2;3;4;5}))))+T36</f>
        <v>546</v>
      </c>
      <c r="N36" s="862">
        <f>IF(I36="n",((IF(COUNT(V36,AA36,AD36,AI36,AJ36,AL36)&lt;5,SUM(V36,AA36,AD36,AI36,AJ36,AL36),SUM(LARGE((V36,AA36,AD36,AI36,AJ36,AL36),{1;2;3;4;5}))))+(IF(COUNT(U36,Y36,AB36,AC36,AG36,AK36)&lt;5,SUM(U36,Y36,AB36,AC36,AG36,AK36),SUM(LARGE((U36,Y36,AB36,AC36,AG36,AK36),{1;2;3;4;5}))))+T36),0)</f>
        <v>0</v>
      </c>
      <c r="O36" s="863">
        <f>IF(J36="j",((IF(COUNT(V36,AA36,AD36,AI36,AJ36,AL36)&lt;5,SUM(V36,AA36,AD36,AI36,AJ36,AL36),SUM(LARGE((V36,AA36,AD36,AI36,AJ36,AL36),{1;2;3;4;5}))))+(IF(COUNT(U36,W36,AB36,AC36,AE36,AK36)&lt;5,SUM(U36,W36,AB36,AC36,AE36,AK36),SUM(LARGE((U36,W36,AB36,AC36,AE36,AK36),{1;2;3;4;5}))))+T36),0)</f>
        <v>0</v>
      </c>
      <c r="P36" s="886" t="str">
        <f t="shared" ca="1" si="7"/>
        <v>546,0</v>
      </c>
      <c r="Q36" s="890">
        <f t="shared" si="8"/>
        <v>187</v>
      </c>
      <c r="R36" s="886" t="str">
        <f t="shared" ca="1" si="9"/>
        <v>0546,0-187</v>
      </c>
      <c r="S36" s="889">
        <f t="shared" ca="1" si="10"/>
        <v>166</v>
      </c>
      <c r="T36" s="847">
        <v>1</v>
      </c>
      <c r="U36" s="75">
        <f>IFERROR(INDEX('1'!C$300:C$400,MATCH("*"&amp;H36&amp;"*",'1'!B$300:B$400,0)),"  ")</f>
        <v>104</v>
      </c>
      <c r="V36" s="199">
        <f>IFERROR(INDEX('2'!C$300:C$400,MATCH("*"&amp;H36&amp;"*",'2'!B$300:B$400,0)),"  ")</f>
        <v>115</v>
      </c>
      <c r="W36" s="199" t="str">
        <f ca="1">IF(I36="",IFERROR(INDEX('3M'!C$300:C$400,MATCH("*"&amp;H36&amp;"*",'3M'!B$300:B$400,0)),"  "),IFERROR(INDEX('3N'!D$300:D$400,MATCH("*"&amp;H36&amp;"*",'3N'!B$300:B$400,0)),"  "))</f>
        <v xml:space="preserve">  </v>
      </c>
      <c r="X36" s="908" t="str">
        <f ca="1">IFERROR(INDEX('3M'!C$300:C$400,MATCH("*"&amp;H36&amp;"*",'3M'!B$300:B$400,0)),"  ")</f>
        <v xml:space="preserve">  </v>
      </c>
      <c r="Y36" s="907" t="str">
        <f ca="1">IFERROR(INDEX('3N'!C$300:C$400,MATCH("*"&amp;H36&amp;"*",'3N'!B$300:B$400,0)),"  ")</f>
        <v xml:space="preserve">  </v>
      </c>
      <c r="Z36" s="440"/>
      <c r="AA36" s="75" t="str">
        <f>IFERROR(INDEX('4'!C$300:C$400,MATCH("*"&amp;H36&amp;"*",'4'!B$300:B$400,0)),"  ")</f>
        <v xml:space="preserve">  </v>
      </c>
      <c r="AB36" s="75" t="str">
        <f>IFERROR(INDEX('5'!C$300:C$400,MATCH("*"&amp;H36&amp;"*",'5'!B$300:B$400,0)),"  ")</f>
        <v xml:space="preserve">  </v>
      </c>
      <c r="AC36" s="75">
        <f>IFERROR(INDEX('6'!C$300:C$400,MATCH("*"&amp;H36&amp;"*",'6'!B$300:B$400,0)),"  ")</f>
        <v>90</v>
      </c>
      <c r="AD36" s="75" t="str">
        <f>IFERROR(INDEX('7'!C$300:C$400,MATCH("*"&amp;H36&amp;"*",'7'!B$300:B$400,0)),"  ")</f>
        <v xml:space="preserve">  </v>
      </c>
      <c r="AE36" s="75" t="str">
        <f>IF(I36="",IFERROR(INDEX('8M'!C$300:C$400,MATCH("*"&amp;H36&amp;"*",'8M'!B$300:B$400,0)),"  "),IFERROR(INDEX('8N'!D$300:D$400,MATCH("*"&amp;H36&amp;"*",'8N'!B$300:B$400,0)),"  "))</f>
        <v xml:space="preserve">  </v>
      </c>
      <c r="AF36" s="908" t="str">
        <f>IFERROR(INDEX('8M'!C$300:C$400,MATCH("*"&amp;H36&amp;"*",'8M'!B$300:B$400,0)),"  ")</f>
        <v xml:space="preserve">  </v>
      </c>
      <c r="AG36" s="907" t="str">
        <f>IFERROR(INDEX('8N'!C$300:C$400,MATCH("*"&amp;H36&amp;"*",'8N'!B$300:B$400,0)),"  ")</f>
        <v xml:space="preserve">  </v>
      </c>
      <c r="AH36" s="440"/>
      <c r="AI36" s="75" t="str">
        <f>IFERROR(INDEX('9'!C$300:C$400,MATCH("*"&amp;H36&amp;"*",'9'!B$300:B$400,0)),"  ")</f>
        <v xml:space="preserve">  </v>
      </c>
      <c r="AJ36" s="830">
        <f>IFERROR(INDEX('10'!C$300:C$400,MATCH("*"&amp;H36&amp;"*",'10'!B$300:B$400,0)),"  ")</f>
        <v>74</v>
      </c>
      <c r="AK36" s="75">
        <f>IFERROR(INDEX('11'!C$300:C$400,MATCH("*"&amp;H36&amp;"*",'11'!B$300:B$400,0)),"  ")</f>
        <v>146</v>
      </c>
      <c r="AL36" s="75">
        <f>IFERROR(INDEX('12'!C$300:C$400,MATCH("*"&amp;H36&amp;"*",'12'!B$300:B$400,0)),"  ")</f>
        <v>16</v>
      </c>
      <c r="AM36" s="26">
        <f t="shared" ca="1" si="11"/>
        <v>6</v>
      </c>
      <c r="AN36" s="579">
        <f t="shared" ca="1" si="12"/>
        <v>2</v>
      </c>
      <c r="AO36" s="580">
        <f t="shared" ca="1" si="13"/>
        <v>1</v>
      </c>
      <c r="AP36" s="27">
        <f t="shared" ca="1" si="14"/>
        <v>0</v>
      </c>
      <c r="AQ36" s="933">
        <f t="shared" si="17"/>
        <v>4.0000000000000002E-4</v>
      </c>
      <c r="AR36" s="933">
        <f t="shared" ca="1" si="18"/>
        <v>2.9999999999999997E-4</v>
      </c>
    </row>
    <row r="37" spans="1:44" x14ac:dyDescent="0.2">
      <c r="A37" s="851" t="str">
        <f t="shared" ca="1" si="2"/>
        <v/>
      </c>
      <c r="B37" s="77">
        <f t="shared" si="3"/>
        <v>0</v>
      </c>
      <c r="C37" s="853">
        <f t="shared" ca="1" si="15"/>
        <v>8</v>
      </c>
      <c r="D37" s="76">
        <f t="shared" ca="1" si="4"/>
        <v>10603</v>
      </c>
      <c r="E37" s="855" t="str">
        <f t="shared" ca="1" si="16"/>
        <v/>
      </c>
      <c r="F37" s="899">
        <f t="shared" si="5"/>
        <v>0</v>
      </c>
      <c r="G37" s="897">
        <f t="shared" ca="1" si="6"/>
        <v>29</v>
      </c>
      <c r="H37" s="133" t="s">
        <v>177</v>
      </c>
      <c r="I37" s="38" t="s">
        <v>32</v>
      </c>
      <c r="J37" s="585"/>
      <c r="K37" s="586"/>
      <c r="L37" s="587"/>
      <c r="M37" s="857">
        <f ca="1">(IF(COUNT(V37,AA37,AD37,AI37,AJ37,AL37)&lt;5,SUM(V37,AA37,AD37,AI37,AJ37,AL37),SUM(LARGE((V37,AA37,AD37,AI37,AJ37,AL37),{1;2;3;4;5}))))+(IF(COUNT(U37,W37,AB37,AC37,AE37,AK37)&lt;5,SUM(U37,W37,AB37,AC37,AE37,AK37),SUM(LARGE((U37,W37,AB37,AC37,AE37,AK37),{1;2;3;4;5}))))+T37</f>
        <v>542</v>
      </c>
      <c r="N37" s="862">
        <f ca="1">IF(I37="n",((IF(COUNT(V37,AA37,AD37,AI37,AJ37,AL37)&lt;5,SUM(V37,AA37,AD37,AI37,AJ37,AL37),SUM(LARGE((V37,AA37,AD37,AI37,AJ37,AL37),{1;2;3;4;5}))))+(IF(COUNT(U37,Y37,AB37,AC37,AG37,AK37)&lt;5,SUM(U37,Y37,AB37,AC37,AG37,AK37),SUM(LARGE((U37,Y37,AB37,AC37,AG37,AK37),{1;2;3;4;5}))))+T37),0)</f>
        <v>603</v>
      </c>
      <c r="O37" s="863">
        <f>IF(J37="j",((IF(COUNT(V37,AA37,AD37,AI37,AJ37,AL37)&lt;5,SUM(V37,AA37,AD37,AI37,AJ37,AL37),SUM(LARGE((V37,AA37,AD37,AI37,AJ37,AL37),{1;2;3;4;5}))))+(IF(COUNT(U37,W37,AB37,AC37,AE37,AK37)&lt;5,SUM(U37,W37,AB37,AC37,AE37,AK37),SUM(LARGE((U37,W37,AB37,AC37,AE37,AK37),{1;2;3;4;5}))))+T37),0)</f>
        <v>0</v>
      </c>
      <c r="P37" s="886" t="str">
        <f t="shared" ca="1" si="7"/>
        <v>542,0</v>
      </c>
      <c r="Q37" s="890">
        <f t="shared" si="8"/>
        <v>83</v>
      </c>
      <c r="R37" s="886" t="str">
        <f t="shared" ca="1" si="9"/>
        <v>0542,0-083</v>
      </c>
      <c r="S37" s="889">
        <f t="shared" ca="1" si="10"/>
        <v>165</v>
      </c>
      <c r="T37" s="847">
        <v>1</v>
      </c>
      <c r="U37" s="75">
        <f>IFERROR(INDEX('1'!C$300:C$400,MATCH("*"&amp;H37&amp;"*",'1'!B$300:B$400,0)),"  ")</f>
        <v>119</v>
      </c>
      <c r="V37" s="199" t="str">
        <f>IFERROR(INDEX('2'!C$300:C$400,MATCH("*"&amp;H37&amp;"*",'2'!B$300:B$400,0)),"  ")</f>
        <v xml:space="preserve">  </v>
      </c>
      <c r="W37" s="199">
        <f ca="1">IF(I37="",IFERROR(INDEX('3M'!C$300:C$400,MATCH("*"&amp;H37&amp;"*",'3M'!B$300:B$400,0)),"  "),IFERROR(INDEX('3N'!D$300:D$400,MATCH("*"&amp;H37&amp;"*",'3N'!B$300:B$400,0)),"  "))</f>
        <v>65</v>
      </c>
      <c r="X37" s="908" t="str">
        <f ca="1">IFERROR(INDEX('3M'!C$300:C$400,MATCH("*"&amp;H37&amp;"*",'3M'!B$300:B$400,0)),"  ")</f>
        <v xml:space="preserve">  </v>
      </c>
      <c r="Y37" s="907">
        <f ca="1">IFERROR(INDEX('3N'!C$300:C$400,MATCH("*"&amp;H37&amp;"*",'3N'!B$300:B$400,0)),"  ")</f>
        <v>126</v>
      </c>
      <c r="Z37" s="440"/>
      <c r="AA37" s="75">
        <f>IFERROR(INDEX('4'!C$300:C$400,MATCH("*"&amp;H37&amp;"*",'4'!B$300:B$400,0)),"  ")</f>
        <v>105</v>
      </c>
      <c r="AB37" s="75">
        <f>IFERROR(INDEX('5'!C$300:C$400,MATCH("*"&amp;H37&amp;"*",'5'!B$300:B$400,0)),"  ")</f>
        <v>69</v>
      </c>
      <c r="AC37" s="75">
        <f>IFERROR(INDEX('6'!C$300:C$400,MATCH("*"&amp;H37&amp;"*",'6'!B$300:B$400,0)),"  ")</f>
        <v>90</v>
      </c>
      <c r="AD37" s="75" t="str">
        <f>IFERROR(INDEX('7'!C$300:C$400,MATCH("*"&amp;H37&amp;"*",'7'!B$300:B$400,0)),"  ")</f>
        <v xml:space="preserve">  </v>
      </c>
      <c r="AE37" s="75" t="str">
        <f>IF(I37="",IFERROR(INDEX('8M'!C$300:C$400,MATCH("*"&amp;H37&amp;"*",'8M'!B$300:B$400,0)),"  "),IFERROR(INDEX('8N'!D$300:D$400,MATCH("*"&amp;H37&amp;"*",'8N'!B$300:B$400,0)),"  "))</f>
        <v xml:space="preserve">  </v>
      </c>
      <c r="AF37" s="908" t="str">
        <f>IFERROR(INDEX('8M'!C$300:C$400,MATCH("*"&amp;H37&amp;"*",'8M'!B$300:B$400,0)),"  ")</f>
        <v xml:space="preserve">  </v>
      </c>
      <c r="AG37" s="907" t="str">
        <f>IFERROR(INDEX('8N'!C$300:C$400,MATCH("*"&amp;H37&amp;"*",'8N'!B$300:B$400,0)),"  ")</f>
        <v xml:space="preserve">  </v>
      </c>
      <c r="AH37" s="440"/>
      <c r="AI37" s="75" t="str">
        <f>IFERROR(INDEX('9'!C$300:C$400,MATCH("*"&amp;H37&amp;"*",'9'!B$300:B$400,0)),"  ")</f>
        <v xml:space="preserve">  </v>
      </c>
      <c r="AJ37" s="830" t="str">
        <f>IFERROR(INDEX('10'!C$300:C$400,MATCH("*"&amp;H37&amp;"*",'10'!B$300:B$400,0)),"  ")</f>
        <v xml:space="preserve">  </v>
      </c>
      <c r="AK37" s="75">
        <f>IFERROR(INDEX('11'!C$300:C$400,MATCH("*"&amp;H37&amp;"*",'11'!B$300:B$400,0)),"  ")</f>
        <v>47</v>
      </c>
      <c r="AL37" s="75">
        <f>IFERROR(INDEX('12'!C$300:C$400,MATCH("*"&amp;H37&amp;"*",'12'!B$300:B$400,0)),"  ")</f>
        <v>46</v>
      </c>
      <c r="AM37" s="26">
        <f t="shared" ca="1" si="11"/>
        <v>7</v>
      </c>
      <c r="AN37" s="579">
        <f t="shared" ca="1" si="12"/>
        <v>1</v>
      </c>
      <c r="AO37" s="580">
        <f t="shared" ca="1" si="13"/>
        <v>0</v>
      </c>
      <c r="AP37" s="27">
        <f t="shared" ca="1" si="14"/>
        <v>0</v>
      </c>
      <c r="AQ37" s="933">
        <f t="shared" si="17"/>
        <v>2.0000000000000001E-4</v>
      </c>
      <c r="AR37" s="933">
        <f t="shared" ca="1" si="18"/>
        <v>8.0000000000000004E-4</v>
      </c>
    </row>
    <row r="38" spans="1:44" x14ac:dyDescent="0.2">
      <c r="A38" s="851" t="str">
        <f t="shared" ca="1" si="2"/>
        <v/>
      </c>
      <c r="B38" s="77">
        <f t="shared" si="3"/>
        <v>0</v>
      </c>
      <c r="C38" s="853">
        <f t="shared" ca="1" si="15"/>
        <v>9</v>
      </c>
      <c r="D38" s="76">
        <f t="shared" ca="1" si="4"/>
        <v>10599</v>
      </c>
      <c r="E38" s="855" t="str">
        <f t="shared" ca="1" si="16"/>
        <v/>
      </c>
      <c r="F38" s="899">
        <f t="shared" si="5"/>
        <v>0</v>
      </c>
      <c r="G38" s="897">
        <f t="shared" ca="1" si="6"/>
        <v>30</v>
      </c>
      <c r="H38" s="133" t="s">
        <v>31</v>
      </c>
      <c r="I38" s="38" t="s">
        <v>32</v>
      </c>
      <c r="J38" s="585"/>
      <c r="K38" s="586"/>
      <c r="L38" s="587"/>
      <c r="M38" s="857">
        <f ca="1">(IF(COUNT(V38,AA38,AD38,AI38,AJ38,AL38)&lt;5,SUM(V38,AA38,AD38,AI38,AJ38,AL38),SUM(LARGE((V38,AA38,AD38,AI38,AJ38,AL38),{1;2;3;4;5}))))+(IF(COUNT(U38,W38,AB38,AC38,AE38,AK38)&lt;5,SUM(U38,W38,AB38,AC38,AE38,AK38),SUM(LARGE((U38,W38,AB38,AC38,AE38,AK38),{1;2;3;4;5}))))+T38</f>
        <v>536</v>
      </c>
      <c r="N38" s="862">
        <f ca="1">IF(I38="n",((IF(COUNT(V38,AA38,AD38,AI38,AJ38,AL38)&lt;5,SUM(V38,AA38,AD38,AI38,AJ38,AL38),SUM(LARGE((V38,AA38,AD38,AI38,AJ38,AL38),{1;2;3;4;5}))))+(IF(COUNT(U38,Y38,AB38,AC38,AG38,AK38)&lt;5,SUM(U38,Y38,AB38,AC38,AG38,AK38),SUM(LARGE((U38,Y38,AB38,AC38,AG38,AK38),{1;2;3;4;5}))))+T38),0)</f>
        <v>599</v>
      </c>
      <c r="O38" s="863">
        <f>IF(J38="j",((IF(COUNT(V38,AA38,AD38,AI38,AJ38,AL38)&lt;5,SUM(V38,AA38,AD38,AI38,AJ38,AL38),SUM(LARGE((V38,AA38,AD38,AI38,AJ38,AL38),{1;2;3;4;5}))))+(IF(COUNT(U38,W38,AB38,AC38,AE38,AK38)&lt;5,SUM(U38,W38,AB38,AC38,AE38,AK38),SUM(LARGE((U38,W38,AB38,AC38,AE38,AK38),{1;2;3;4;5}))))+T38),0)</f>
        <v>0</v>
      </c>
      <c r="P38" s="886" t="str">
        <f t="shared" ca="1" si="7"/>
        <v>536,0</v>
      </c>
      <c r="Q38" s="890">
        <f t="shared" si="8"/>
        <v>70</v>
      </c>
      <c r="R38" s="886" t="str">
        <f t="shared" ca="1" si="9"/>
        <v>0536,0-070</v>
      </c>
      <c r="S38" s="889">
        <f t="shared" ca="1" si="10"/>
        <v>164</v>
      </c>
      <c r="T38" s="847">
        <v>8</v>
      </c>
      <c r="U38" s="75" t="str">
        <f>IFERROR(INDEX('1'!C$300:C$400,MATCH("*"&amp;H38&amp;"*",'1'!B$300:B$400,0)),"  ")</f>
        <v xml:space="preserve">  </v>
      </c>
      <c r="V38" s="199" t="str">
        <f>IFERROR(INDEX('2'!C$300:C$400,MATCH("*"&amp;H38&amp;"*",'2'!B$300:B$400,0)),"  ")</f>
        <v xml:space="preserve">  </v>
      </c>
      <c r="W38" s="199" t="str">
        <f ca="1">IF(I38="",IFERROR(INDEX('3M'!C$300:C$400,MATCH("*"&amp;H38&amp;"*",'3M'!B$300:B$400,0)),"  "),IFERROR(INDEX('3N'!D$300:D$400,MATCH("*"&amp;H38&amp;"*",'3N'!B$300:B$400,0)),"  "))</f>
        <v xml:space="preserve">  </v>
      </c>
      <c r="X38" s="908" t="str">
        <f ca="1">IFERROR(INDEX('3M'!C$300:C$400,MATCH("*"&amp;H38&amp;"*",'3M'!B$300:B$400,0)),"  ")</f>
        <v xml:space="preserve">  </v>
      </c>
      <c r="Y38" s="907" t="str">
        <f ca="1">IFERROR(INDEX('3N'!C$300:C$400,MATCH("*"&amp;H38&amp;"*",'3N'!B$300:B$400,0)),"  ")</f>
        <v xml:space="preserve">  </v>
      </c>
      <c r="Z38" s="440"/>
      <c r="AA38" s="75" t="str">
        <f>IFERROR(INDEX('4'!C$300:C$400,MATCH("*"&amp;H38&amp;"*",'4'!B$300:B$400,0)),"  ")</f>
        <v xml:space="preserve">  </v>
      </c>
      <c r="AB38" s="75">
        <f>IFERROR(INDEX('5'!C$300:C$400,MATCH("*"&amp;H38&amp;"*",'5'!B$300:B$400,0)),"  ")</f>
        <v>146</v>
      </c>
      <c r="AC38" s="75">
        <f>IFERROR(INDEX('6'!C$300:C$400,MATCH("*"&amp;H38&amp;"*",'6'!B$300:B$400,0)),"  ")</f>
        <v>146</v>
      </c>
      <c r="AD38" s="75" t="str">
        <f>IFERROR(INDEX('7'!C$300:C$400,MATCH("*"&amp;H38&amp;"*",'7'!B$300:B$400,0)),"  ")</f>
        <v xml:space="preserve">  </v>
      </c>
      <c r="AE38" s="75">
        <f>IF(I38="",IFERROR(INDEX('8M'!C$300:C$400,MATCH("*"&amp;H38&amp;"*",'8M'!B$300:B$400,0)),"  "),IFERROR(INDEX('8N'!D$300:D$400,MATCH("*"&amp;H38&amp;"*",'8N'!B$300:B$400,0)),"  "))</f>
        <v>83</v>
      </c>
      <c r="AF38" s="908" t="str">
        <f>IFERROR(INDEX('8M'!C$300:C$400,MATCH("*"&amp;H38&amp;"*",'8M'!B$300:B$400,0)),"  ")</f>
        <v xml:space="preserve">  </v>
      </c>
      <c r="AG38" s="907">
        <f>IFERROR(INDEX('8N'!C$300:C$400,MATCH("*"&amp;H38&amp;"*",'8N'!B$300:B$400,0)),"  ")</f>
        <v>146</v>
      </c>
      <c r="AH38" s="440"/>
      <c r="AI38" s="75">
        <f>IFERROR(INDEX('9'!C$300:C$400,MATCH("*"&amp;H38&amp;"*",'9'!B$300:B$400,0)),"  ")</f>
        <v>56</v>
      </c>
      <c r="AJ38" s="830" t="str">
        <f>IFERROR(INDEX('10'!C$300:C$400,MATCH("*"&amp;H38&amp;"*",'10'!B$300:B$400,0)),"  ")</f>
        <v xml:space="preserve">  </v>
      </c>
      <c r="AK38" s="75" t="str">
        <f>IFERROR(INDEX('11'!C$300:C$400,MATCH("*"&amp;H38&amp;"*",'11'!B$300:B$400,0)),"  ")</f>
        <v xml:space="preserve">  </v>
      </c>
      <c r="AL38" s="75">
        <f>IFERROR(INDEX('12'!C$300:C$400,MATCH("*"&amp;H38&amp;"*",'12'!B$300:B$400,0)),"  ")</f>
        <v>97</v>
      </c>
      <c r="AM38" s="26">
        <f t="shared" ca="1" si="11"/>
        <v>5</v>
      </c>
      <c r="AN38" s="579">
        <f t="shared" ca="1" si="12"/>
        <v>4</v>
      </c>
      <c r="AO38" s="580">
        <f t="shared" ca="1" si="13"/>
        <v>0</v>
      </c>
      <c r="AP38" s="27">
        <f t="shared" ca="1" si="14"/>
        <v>0</v>
      </c>
      <c r="AQ38" s="933">
        <f t="shared" si="17"/>
        <v>2.0000000000000001E-4</v>
      </c>
      <c r="AR38" s="933">
        <f t="shared" ca="1" si="18"/>
        <v>1E-4</v>
      </c>
    </row>
    <row r="39" spans="1:44" x14ac:dyDescent="0.2">
      <c r="A39" s="851">
        <f t="shared" ca="1" si="2"/>
        <v>21</v>
      </c>
      <c r="B39" s="77">
        <f t="shared" ca="1" si="3"/>
        <v>10511</v>
      </c>
      <c r="C39" s="853" t="str">
        <f t="shared" ca="1" si="15"/>
        <v/>
      </c>
      <c r="D39" s="76">
        <f t="shared" si="4"/>
        <v>0</v>
      </c>
      <c r="E39" s="855" t="str">
        <f t="shared" ca="1" si="16"/>
        <v/>
      </c>
      <c r="F39" s="899">
        <f t="shared" si="5"/>
        <v>0</v>
      </c>
      <c r="G39" s="897">
        <f t="shared" ca="1" si="6"/>
        <v>31</v>
      </c>
      <c r="H39" s="133" t="s">
        <v>647</v>
      </c>
      <c r="I39" s="38"/>
      <c r="J39" s="585"/>
      <c r="K39" s="586"/>
      <c r="L39" s="587"/>
      <c r="M39" s="857">
        <f ca="1">(IF(COUNT(V39,AA39,AD39,AI39,AJ39,AL39)&lt;5,SUM(V39,AA39,AD39,AI39,AJ39,AL39),SUM(LARGE((V39,AA39,AD39,AI39,AJ39,AL39),{1;2;3;4;5}))))+(IF(COUNT(U39,W39,AB39,AC39,AE39,AK39)&lt;5,SUM(U39,W39,AB39,AC39,AE39,AK39),SUM(LARGE((U39,W39,AB39,AC39,AE39,AK39),{1;2;3;4;5}))))+T39</f>
        <v>511</v>
      </c>
      <c r="N39" s="862">
        <f>IF(I39="n",((IF(COUNT(V39,AA39,AD39,AI39,AJ39,AL39)&lt;5,SUM(V39,AA39,AD39,AI39,AJ39,AL39),SUM(LARGE((V39,AA39,AD39,AI39,AJ39,AL39),{1;2;3;4;5}))))+(IF(COUNT(U39,Y39,AB39,AC39,AG39,AK39)&lt;5,SUM(U39,Y39,AB39,AC39,AG39,AK39),SUM(LARGE((U39,Y39,AB39,AC39,AG39,AK39),{1;2;3;4;5}))))+T39),0)</f>
        <v>0</v>
      </c>
      <c r="O39" s="863">
        <f>IF(J39="j",((IF(COUNT(V39,AA39,AD39,AI39,AJ39,AL39)&lt;5,SUM(V39,AA39,AD39,AI39,AJ39,AL39),SUM(LARGE((V39,AA39,AD39,AI39,AJ39,AL39),{1;2;3;4;5}))))+(IF(COUNT(U39,W39,AB39,AC39,AE39,AK39)&lt;5,SUM(U39,W39,AB39,AC39,AE39,AK39),SUM(LARGE((U39,W39,AB39,AC39,AE39,AK39),{1;2;3;4;5}))))+T39),0)</f>
        <v>0</v>
      </c>
      <c r="P39" s="886" t="str">
        <f t="shared" ca="1" si="7"/>
        <v>511,0</v>
      </c>
      <c r="Q39" s="890">
        <f t="shared" si="8"/>
        <v>71</v>
      </c>
      <c r="R39" s="886" t="str">
        <f t="shared" ca="1" si="9"/>
        <v>0511,0-071</v>
      </c>
      <c r="S39" s="889">
        <f t="shared" ca="1" si="10"/>
        <v>163</v>
      </c>
      <c r="T39" s="847">
        <v>12</v>
      </c>
      <c r="U39" s="75">
        <f>IFERROR(INDEX('1'!C$300:C$400,MATCH("*"&amp;H39&amp;"*",'1'!B$300:B$400,0)),"  ")</f>
        <v>84</v>
      </c>
      <c r="V39" s="199" t="str">
        <f>IFERROR(INDEX('2'!C$300:C$400,MATCH("*"&amp;H39&amp;"*",'2'!B$300:B$400,0)),"  ")</f>
        <v xml:space="preserve">  </v>
      </c>
      <c r="W39" s="199" t="str">
        <f ca="1">IF(I39="",IFERROR(INDEX('3M'!C$300:C$400,MATCH("*"&amp;H39&amp;"*",'3M'!B$300:B$400,0)),"  "),IFERROR(INDEX('3N'!D$300:D$400,MATCH("*"&amp;H39&amp;"*",'3N'!B$300:B$400,0)),"  "))</f>
        <v xml:space="preserve">  </v>
      </c>
      <c r="X39" s="908" t="str">
        <f ca="1">IFERROR(INDEX('3M'!C$300:C$400,MATCH("*"&amp;H39&amp;"*",'3M'!B$300:B$400,0)),"  ")</f>
        <v xml:space="preserve">  </v>
      </c>
      <c r="Y39" s="907" t="str">
        <f ca="1">IFERROR(INDEX('3N'!C$300:C$400,MATCH("*"&amp;H39&amp;"*",'3N'!B$300:B$400,0)),"  ")</f>
        <v xml:space="preserve">  </v>
      </c>
      <c r="Z39" s="440"/>
      <c r="AA39" s="75" t="str">
        <f>IFERROR(INDEX('4'!C$300:C$400,MATCH("*"&amp;H39&amp;"*",'4'!B$300:B$400,0)),"  ")</f>
        <v xml:space="preserve">  </v>
      </c>
      <c r="AB39" s="75">
        <f>IFERROR(INDEX('5'!C$300:C$400,MATCH("*"&amp;H39&amp;"*",'5'!B$300:B$400,0)),"  ")</f>
        <v>173</v>
      </c>
      <c r="AC39" s="75" t="str">
        <f>IFERROR(INDEX('6'!C$300:C$400,MATCH("*"&amp;H39&amp;"*",'6'!B$300:B$400,0)),"  ")</f>
        <v xml:space="preserve">  </v>
      </c>
      <c r="AD39" s="75" t="str">
        <f>IFERROR(INDEX('7'!C$300:C$400,MATCH("*"&amp;H39&amp;"*",'7'!B$300:B$400,0)),"  ")</f>
        <v xml:space="preserve">  </v>
      </c>
      <c r="AE39" s="75" t="str">
        <f>IF(I39="",IFERROR(INDEX('8M'!C$300:C$400,MATCH("*"&amp;H39&amp;"*",'8M'!B$300:B$400,0)),"  "),IFERROR(INDEX('8N'!D$300:D$400,MATCH("*"&amp;H39&amp;"*",'8N'!B$300:B$400,0)),"  "))</f>
        <v xml:space="preserve">  </v>
      </c>
      <c r="AF39" s="908" t="str">
        <f>IFERROR(INDEX('8M'!C$300:C$400,MATCH("*"&amp;H39&amp;"*",'8M'!B$300:B$400,0)),"  ")</f>
        <v xml:space="preserve">  </v>
      </c>
      <c r="AG39" s="907" t="str">
        <f>IFERROR(INDEX('8N'!C$300:C$400,MATCH("*"&amp;H39&amp;"*",'8N'!B$300:B$400,0)),"  ")</f>
        <v xml:space="preserve">  </v>
      </c>
      <c r="AH39" s="440"/>
      <c r="AI39" s="75" t="str">
        <f>IFERROR(INDEX('9'!C$300:C$400,MATCH("*"&amp;H39&amp;"*",'9'!B$300:B$400,0)),"  ")</f>
        <v xml:space="preserve">  </v>
      </c>
      <c r="AJ39" s="830" t="str">
        <f>IFERROR(INDEX('10'!C$300:C$400,MATCH("*"&amp;H39&amp;"*",'10'!B$300:B$400,0)),"  ")</f>
        <v xml:space="preserve">  </v>
      </c>
      <c r="AK39" s="75">
        <f>IFERROR(INDEX('11'!C$300:C$400,MATCH("*"&amp;H39&amp;"*",'11'!B$300:B$400,0)),"  ")</f>
        <v>173</v>
      </c>
      <c r="AL39" s="75">
        <f>IFERROR(INDEX('12'!C$300:C$400,MATCH("*"&amp;H39&amp;"*",'12'!B$300:B$400,0)),"  ")</f>
        <v>69</v>
      </c>
      <c r="AM39" s="26">
        <f t="shared" ca="1" si="11"/>
        <v>4</v>
      </c>
      <c r="AN39" s="579">
        <f t="shared" ca="1" si="12"/>
        <v>2</v>
      </c>
      <c r="AO39" s="580">
        <f t="shared" ca="1" si="13"/>
        <v>2</v>
      </c>
      <c r="AP39" s="27">
        <f t="shared" ca="1" si="14"/>
        <v>2</v>
      </c>
      <c r="AQ39" s="933">
        <f t="shared" si="17"/>
        <v>2.0000000000000001E-4</v>
      </c>
      <c r="AR39" s="933">
        <f t="shared" ca="1" si="18"/>
        <v>2.9999999999999997E-4</v>
      </c>
    </row>
    <row r="40" spans="1:44" x14ac:dyDescent="0.2">
      <c r="A40" s="851">
        <f t="shared" ca="1" si="2"/>
        <v>22</v>
      </c>
      <c r="B40" s="77">
        <f t="shared" ca="1" si="3"/>
        <v>10510</v>
      </c>
      <c r="C40" s="853" t="str">
        <f t="shared" ca="1" si="15"/>
        <v/>
      </c>
      <c r="D40" s="76">
        <f t="shared" si="4"/>
        <v>0</v>
      </c>
      <c r="E40" s="855" t="str">
        <f t="shared" ca="1" si="16"/>
        <v/>
      </c>
      <c r="F40" s="899">
        <f t="shared" si="5"/>
        <v>0</v>
      </c>
      <c r="G40" s="897">
        <f t="shared" ca="1" si="6"/>
        <v>32</v>
      </c>
      <c r="H40" s="133" t="s">
        <v>73</v>
      </c>
      <c r="I40" s="38"/>
      <c r="J40" s="585"/>
      <c r="K40" s="586"/>
      <c r="L40" s="587"/>
      <c r="M40" s="857">
        <f ca="1">(IF(COUNT(V40,AA40,AD40,AI40,AJ40,AL40)&lt;5,SUM(V40,AA40,AD40,AI40,AJ40,AL40),SUM(LARGE((V40,AA40,AD40,AI40,AJ40,AL40),{1;2;3;4;5}))))+(IF(COUNT(U40,W40,AB40,AC40,AE40,AK40)&lt;5,SUM(U40,W40,AB40,AC40,AE40,AK40),SUM(LARGE((U40,W40,AB40,AC40,AE40,AK40),{1;2;3;4;5}))))+T40</f>
        <v>510</v>
      </c>
      <c r="N40" s="862">
        <f>IF(I40="n",((IF(COUNT(V40,AA40,AD40,AI40,AJ40,AL40)&lt;5,SUM(V40,AA40,AD40,AI40,AJ40,AL40),SUM(LARGE((V40,AA40,AD40,AI40,AJ40,AL40),{1;2;3;4;5}))))+(IF(COUNT(U40,Y40,AB40,AC40,AG40,AK40)&lt;5,SUM(U40,Y40,AB40,AC40,AG40,AK40),SUM(LARGE((U40,Y40,AB40,AC40,AG40,AK40),{1;2;3;4;5}))))+T40),0)</f>
        <v>0</v>
      </c>
      <c r="O40" s="863">
        <f>IF(J40="j",((IF(COUNT(V40,AA40,AD40,AI40,AJ40,AL40)&lt;5,SUM(V40,AA40,AD40,AI40,AJ40,AL40),SUM(LARGE((V40,AA40,AD40,AI40,AJ40,AL40),{1;2;3;4;5}))))+(IF(COUNT(U40,W40,AB40,AC40,AE40,AK40)&lt;5,SUM(U40,W40,AB40,AC40,AE40,AK40),SUM(LARGE((U40,W40,AB40,AC40,AE40,AK40),{1;2;3;4;5}))))+T40),0)</f>
        <v>0</v>
      </c>
      <c r="P40" s="886" t="str">
        <f t="shared" ca="1" si="7"/>
        <v>510,0</v>
      </c>
      <c r="Q40" s="890">
        <f t="shared" si="8"/>
        <v>147</v>
      </c>
      <c r="R40" s="886" t="str">
        <f t="shared" ca="1" si="9"/>
        <v>0510,0-147</v>
      </c>
      <c r="S40" s="889">
        <f t="shared" ca="1" si="10"/>
        <v>162</v>
      </c>
      <c r="T40" s="847">
        <v>97</v>
      </c>
      <c r="U40" s="75" t="str">
        <f>IFERROR(INDEX('1'!C$300:C$400,MATCH("*"&amp;H40&amp;"*",'1'!B$300:B$400,0)),"  ")</f>
        <v xml:space="preserve">  </v>
      </c>
      <c r="V40" s="199" t="str">
        <f>IFERROR(INDEX('2'!C$300:C$400,MATCH("*"&amp;H40&amp;"*",'2'!B$300:B$400,0)),"  ")</f>
        <v xml:space="preserve">  </v>
      </c>
      <c r="W40" s="199">
        <f ca="1">IF(I40="",IFERROR(INDEX('3M'!C$300:C$400,MATCH("*"&amp;H40&amp;"*",'3M'!B$300:B$400,0)),"  "),IFERROR(INDEX('3N'!D$300:D$400,MATCH("*"&amp;H40&amp;"*",'3N'!B$300:B$400,0)),"  "))</f>
        <v>56</v>
      </c>
      <c r="X40" s="908">
        <f ca="1">IFERROR(INDEX('3M'!C$300:C$400,MATCH("*"&amp;H40&amp;"*",'3M'!B$300:B$400,0)),"  ")</f>
        <v>56</v>
      </c>
      <c r="Y40" s="907" t="str">
        <f ca="1">IFERROR(INDEX('3N'!C$300:C$400,MATCH("*"&amp;H40&amp;"*",'3N'!B$300:B$400,0)),"  ")</f>
        <v xml:space="preserve">  </v>
      </c>
      <c r="Z40" s="440"/>
      <c r="AA40" s="75">
        <f>IFERROR(INDEX('4'!C$300:C$400,MATCH("*"&amp;H40&amp;"*",'4'!B$300:B$400,0)),"  ")</f>
        <v>115</v>
      </c>
      <c r="AB40" s="75">
        <f>IFERROR(INDEX('5'!C$300:C$400,MATCH("*"&amp;H40&amp;"*",'5'!B$300:B$400,0)),"  ")</f>
        <v>126</v>
      </c>
      <c r="AC40" s="75" t="str">
        <f>IFERROR(INDEX('6'!C$300:C$400,MATCH("*"&amp;H40&amp;"*",'6'!B$300:B$400,0)),"  ")</f>
        <v xml:space="preserve">  </v>
      </c>
      <c r="AD40" s="75" t="str">
        <f>IFERROR(INDEX('7'!C$300:C$400,MATCH("*"&amp;H40&amp;"*",'7'!B$300:B$400,0)),"  ")</f>
        <v xml:space="preserve">  </v>
      </c>
      <c r="AE40" s="75" t="str">
        <f>IF(I40="",IFERROR(INDEX('8M'!C$300:C$400,MATCH("*"&amp;H40&amp;"*",'8M'!B$300:B$400,0)),"  "),IFERROR(INDEX('8N'!D$300:D$400,MATCH("*"&amp;H40&amp;"*",'8N'!B$300:B$400,0)),"  "))</f>
        <v xml:space="preserve">  </v>
      </c>
      <c r="AF40" s="908" t="str">
        <f>IFERROR(INDEX('8M'!C$300:C$400,MATCH("*"&amp;H40&amp;"*",'8M'!B$300:B$400,0)),"  ")</f>
        <v xml:space="preserve">  </v>
      </c>
      <c r="AG40" s="907" t="str">
        <f>IFERROR(INDEX('8N'!C$300:C$400,MATCH("*"&amp;H40&amp;"*",'8N'!B$300:B$400,0)),"  ")</f>
        <v xml:space="preserve">  </v>
      </c>
      <c r="AH40" s="440"/>
      <c r="AI40" s="75" t="str">
        <f>IFERROR(INDEX('9'!C$300:C$400,MATCH("*"&amp;H40&amp;"*",'9'!B$300:B$400,0)),"  ")</f>
        <v xml:space="preserve">  </v>
      </c>
      <c r="AJ40" s="830" t="str">
        <f>IFERROR(INDEX('10'!C$300:C$400,MATCH("*"&amp;H40&amp;"*",'10'!B$300:B$400,0)),"  ")</f>
        <v xml:space="preserve">  </v>
      </c>
      <c r="AK40" s="75">
        <f>IFERROR(INDEX('11'!C$300:C$400,MATCH("*"&amp;H40&amp;"*",'11'!B$300:B$400,0)),"  ")</f>
        <v>56</v>
      </c>
      <c r="AL40" s="75">
        <f>IFERROR(INDEX('12'!C$300:C$400,MATCH("*"&amp;H40&amp;"*",'12'!B$300:B$400,0)),"  ")</f>
        <v>60</v>
      </c>
      <c r="AM40" s="26">
        <f t="shared" ca="1" si="11"/>
        <v>5</v>
      </c>
      <c r="AN40" s="579">
        <f t="shared" ca="1" si="12"/>
        <v>1</v>
      </c>
      <c r="AO40" s="580">
        <f t="shared" ca="1" si="13"/>
        <v>1</v>
      </c>
      <c r="AP40" s="27">
        <f t="shared" ca="1" si="14"/>
        <v>0</v>
      </c>
      <c r="AQ40" s="933">
        <f t="shared" si="17"/>
        <v>2.0000000000000001E-4</v>
      </c>
      <c r="AR40" s="933">
        <f t="shared" ca="1" si="18"/>
        <v>1E-4</v>
      </c>
    </row>
    <row r="41" spans="1:44" x14ac:dyDescent="0.2">
      <c r="A41" s="851" t="str">
        <f t="shared" ref="A41:A72" ca="1" si="19">IF(M41=0,"",IF(I41="n","",RANK(B41,B$9:B$201,0)))</f>
        <v/>
      </c>
      <c r="B41" s="77">
        <f t="shared" ref="B41:B72" si="20">IF(I41="n",0,M41+10000)</f>
        <v>0</v>
      </c>
      <c r="C41" s="853">
        <f t="shared" ca="1" si="15"/>
        <v>11</v>
      </c>
      <c r="D41" s="76">
        <f t="shared" ref="D41:D72" ca="1" si="21">IF(AND((J41="j"),(I41="n")),M41+10000,IF((I41="n"),N41+10000,0))</f>
        <v>10577</v>
      </c>
      <c r="E41" s="855" t="str">
        <f t="shared" ca="1" si="16"/>
        <v/>
      </c>
      <c r="F41" s="899">
        <f t="shared" ref="F41:F72" si="22">IF((J41="j"),O41+10000,0)</f>
        <v>0</v>
      </c>
      <c r="G41" s="897">
        <f t="shared" ca="1" si="6"/>
        <v>33</v>
      </c>
      <c r="H41" s="139" t="s">
        <v>41</v>
      </c>
      <c r="I41" s="38" t="s">
        <v>32</v>
      </c>
      <c r="J41" s="585"/>
      <c r="K41" s="586"/>
      <c r="L41" s="587"/>
      <c r="M41" s="857">
        <f ca="1">(IF(COUNT(V41,AA41,AD41,AI41,AJ41,AL41)&lt;5,SUM(V41,AA41,AD41,AI41,AJ41,AL41),SUM(LARGE((V41,AA41,AD41,AI41,AJ41,AL41),{1;2;3;4;5}))))+(IF(COUNT(U41,W41,AB41,AC41,AE41,AK41)&lt;5,SUM(U41,W41,AB41,AC41,AE41,AK41),SUM(LARGE((U41,W41,AB41,AC41,AE41,AK41),{1;2;3;4;5}))))+T41</f>
        <v>509</v>
      </c>
      <c r="N41" s="862">
        <f ca="1">IF(I41="n",((IF(COUNT(V41,AA41,AD41,AI41,AJ41,AL41)&lt;5,SUM(V41,AA41,AD41,AI41,AJ41,AL41),SUM(LARGE((V41,AA41,AD41,AI41,AJ41,AL41),{1;2;3;4;5}))))+(IF(COUNT(U41,Y41,AB41,AC41,AG41,AK41)&lt;5,SUM(U41,Y41,AB41,AC41,AG41,AK41),SUM(LARGE((U41,Y41,AB41,AC41,AG41,AK41),{1;2;3;4;5}))))+T41),0)</f>
        <v>577</v>
      </c>
      <c r="O41" s="863">
        <f>IF(J41="j",((IF(COUNT(V41,AA41,AD41,AI41,AJ41,AL41)&lt;5,SUM(V41,AA41,AD41,AI41,AJ41,AL41),SUM(LARGE((V41,AA41,AD41,AI41,AJ41,AL41),{1;2;3;4;5}))))+(IF(COUNT(U41,W41,AB41,AC41,AE41,AK41)&lt;5,SUM(U41,W41,AB41,AC41,AE41,AK41),SUM(LARGE((U41,W41,AB41,AC41,AE41,AK41),{1;2;3;4;5}))))+T41),0)</f>
        <v>0</v>
      </c>
      <c r="P41" s="886" t="str">
        <f t="shared" ref="P41:P72" ca="1" si="23">TEXT(M41,"000,0")</f>
        <v>509,0</v>
      </c>
      <c r="Q41" s="890">
        <f t="shared" ref="Q41:Q72" si="24">COUNTIF(H$9:H$201,"&gt;="&amp;H41)</f>
        <v>122</v>
      </c>
      <c r="R41" s="886" t="str">
        <f t="shared" ref="R41:R72" ca="1" si="25">TEXT(M41,"0000,0")&amp;"-"&amp;TEXT(Q41,"000")</f>
        <v>0509,0-122</v>
      </c>
      <c r="S41" s="889">
        <f t="shared" ref="S41:S72" ca="1" si="26">COUNTIF(R$9:R$201,"&lt;="&amp;R41)</f>
        <v>161</v>
      </c>
      <c r="T41" s="847">
        <v>40</v>
      </c>
      <c r="U41" s="75">
        <f>IFERROR(INDEX('1'!C$300:C$400,MATCH("*"&amp;H41&amp;"*",'1'!B$300:B$400,0)),"  ")</f>
        <v>84</v>
      </c>
      <c r="V41" s="199">
        <f>IFERROR(INDEX('2'!C$300:C$400,MATCH("*"&amp;H41&amp;"*",'2'!B$300:B$400,0)),"  ")</f>
        <v>84</v>
      </c>
      <c r="W41" s="199">
        <f ca="1">IF(I41="",IFERROR(INDEX('3M'!C$300:C$400,MATCH("*"&amp;H41&amp;"*",'3M'!B$300:B$400,0)),"  "),IFERROR(INDEX('3N'!D$300:D$400,MATCH("*"&amp;H41&amp;"*",'3N'!B$300:B$400,0)),"  "))</f>
        <v>105</v>
      </c>
      <c r="X41" s="908" t="str">
        <f ca="1">IFERROR(INDEX('3M'!C$300:C$400,MATCH("*"&amp;H41&amp;"*",'3M'!B$300:B$400,0)),"  ")</f>
        <v xml:space="preserve">  </v>
      </c>
      <c r="Y41" s="907">
        <f ca="1">IFERROR(INDEX('3N'!C$300:C$400,MATCH("*"&amp;H41&amp;"*",'3N'!B$300:B$400,0)),"  ")</f>
        <v>173</v>
      </c>
      <c r="Z41" s="440"/>
      <c r="AA41" s="75">
        <f>IFERROR(INDEX('4'!C$300:C$400,MATCH("*"&amp;H41&amp;"*",'4'!B$300:B$400,0)),"  ")</f>
        <v>90</v>
      </c>
      <c r="AB41" s="75" t="str">
        <f>IFERROR(INDEX('5'!C$300:C$400,MATCH("*"&amp;H41&amp;"*",'5'!B$300:B$400,0)),"  ")</f>
        <v xml:space="preserve">  </v>
      </c>
      <c r="AC41" s="75" t="str">
        <f>IFERROR(INDEX('6'!C$300:C$400,MATCH("*"&amp;H41&amp;"*",'6'!B$300:B$400,0)),"  ")</f>
        <v xml:space="preserve">  </v>
      </c>
      <c r="AD41" s="75" t="str">
        <f>IFERROR(INDEX('7'!C$300:C$400,MATCH("*"&amp;H41&amp;"*",'7'!B$300:B$400,0)),"  ")</f>
        <v xml:space="preserve">  </v>
      </c>
      <c r="AE41" s="75" t="str">
        <f>IF(I41="",IFERROR(INDEX('8M'!C$300:C$400,MATCH("*"&amp;H41&amp;"*",'8M'!B$300:B$400,0)),"  "),IFERROR(INDEX('8N'!D$300:D$400,MATCH("*"&amp;H41&amp;"*",'8N'!B$300:B$400,0)),"  "))</f>
        <v xml:space="preserve">  </v>
      </c>
      <c r="AF41" s="908" t="str">
        <f>IFERROR(INDEX('8M'!C$300:C$400,MATCH("*"&amp;H41&amp;"*",'8M'!B$300:B$400,0)),"  ")</f>
        <v xml:space="preserve">  </v>
      </c>
      <c r="AG41" s="907" t="str">
        <f>IFERROR(INDEX('8N'!C$300:C$400,MATCH("*"&amp;H41&amp;"*",'8N'!B$300:B$400,0)),"  ")</f>
        <v xml:space="preserve">  </v>
      </c>
      <c r="AH41" s="440"/>
      <c r="AI41" s="75" t="str">
        <f>IFERROR(INDEX('9'!C$300:C$400,MATCH("*"&amp;H41&amp;"*",'9'!B$300:B$400,0)),"  ")</f>
        <v xml:space="preserve">  </v>
      </c>
      <c r="AJ41" s="830">
        <f>IFERROR(INDEX('10'!C$300:C$400,MATCH("*"&amp;H41&amp;"*",'10'!B$300:B$400,0)),"  ")</f>
        <v>60</v>
      </c>
      <c r="AK41" s="75" t="str">
        <f>IFERROR(INDEX('11'!C$300:C$400,MATCH("*"&amp;H41&amp;"*",'11'!B$300:B$400,0)),"  ")</f>
        <v xml:space="preserve">  </v>
      </c>
      <c r="AL41" s="75">
        <f>IFERROR(INDEX('12'!C$300:C$400,MATCH("*"&amp;H41&amp;"*",'12'!B$300:B$400,0)),"  ")</f>
        <v>46</v>
      </c>
      <c r="AM41" s="26">
        <f t="shared" ref="AM41:AM72" ca="1" si="27">COUNTIF(U41:W41,"&gt;=0")+COUNTIF(AA41:AE41,"&gt;=0")+COUNTIF(AI41:AL41,"&gt;=0")</f>
        <v>6</v>
      </c>
      <c r="AN41" s="579">
        <f t="shared" ref="AN41:AN72" ca="1" si="28">COUNTIF(V41,"&gt;=97")+COUNTIF(AA41,"&gt;=97")+COUNTIF(AI41,"&gt;=97")+COUNTIF(AJ41,"&gt;=97")+COUNTIF(AD41,"&gt;=97")+COUNTIF(AL41,"&gt;=97")+COUNTIF(U41,"&gt;=146")+COUNTIF(AE41,"&gt;=146")+COUNTIF(W41,"&gt;=146")+COUNTIF(AB41,"&gt;=146")+COUNTIF(AC41,"&gt;=146")+COUNTIF(AK41,"&gt;=146")+IF((I41="n"),(COUNTIF(AE41,"=83")+COUNTIF(AE41,"=93")+COUNTIF(AE41,"=105")+COUNTIF(W41,"=83")+COUNTIF(W41,"=93")+COUNTIF(W41,"=105")))+IF((J41="j"),(COUNTIF(AE41,"=33")+COUNTIF(AE41,"=42")+COUNTIF(AE41,"=53")+COUNTIF(W41,"=33")+COUNTIF(W41,"=42")+COUNTIF(W41,"=53")))</f>
        <v>1</v>
      </c>
      <c r="AO41" s="580">
        <f t="shared" ref="AO41:AO72" ca="1" si="29">COUNTIF(V41,"=115")+COUNTIF(AA41,"=115")+COUNTIF(AD41,"=115")+COUNTIF(AI41,"=115")+COUNTIF(AJ41,"=115")+COUNTIF(AL41,"=115")+COUNTIF(U41:AL41,"=173")</f>
        <v>1</v>
      </c>
      <c r="AP41" s="27">
        <f t="shared" ref="AP41:AP72" ca="1" si="30">COUNTIF(U41:V41,"=173")+COUNTIF(X41:AD41,"=173")+COUNTIF(AF41:AL41,"=173")</f>
        <v>1</v>
      </c>
      <c r="AQ41" s="933">
        <f t="shared" si="17"/>
        <v>6.9999999999999999E-4</v>
      </c>
      <c r="AR41" s="933">
        <f t="shared" ca="1" si="18"/>
        <v>5.0000000000000001E-4</v>
      </c>
    </row>
    <row r="42" spans="1:44" x14ac:dyDescent="0.2">
      <c r="A42" s="851">
        <f t="shared" ca="1" si="19"/>
        <v>23</v>
      </c>
      <c r="B42" s="77">
        <f t="shared" ca="1" si="20"/>
        <v>10502</v>
      </c>
      <c r="C42" s="853" t="str">
        <f t="shared" ca="1" si="15"/>
        <v/>
      </c>
      <c r="D42" s="76">
        <f t="shared" si="21"/>
        <v>0</v>
      </c>
      <c r="E42" s="855" t="str">
        <f t="shared" ca="1" si="16"/>
        <v/>
      </c>
      <c r="F42" s="899">
        <f t="shared" si="22"/>
        <v>0</v>
      </c>
      <c r="G42" s="897">
        <f t="shared" ca="1" si="6"/>
        <v>34</v>
      </c>
      <c r="H42" s="133" t="s">
        <v>61</v>
      </c>
      <c r="I42" s="38"/>
      <c r="J42" s="585"/>
      <c r="K42" s="586" t="s">
        <v>718</v>
      </c>
      <c r="L42" s="587"/>
      <c r="M42" s="857">
        <f ca="1">(IF(COUNT(V42,AA42,AD42,AI42,AJ42,AL42)&lt;5,SUM(V42,AA42,AD42,AI42,AJ42,AL42),SUM(LARGE((V42,AA42,AD42,AI42,AJ42,AL42),{1;2;3;4;5}))))+(IF(COUNT(U42,W42,AB42,AC42,AE42,AK42)&lt;5,SUM(U42,W42,AB42,AC42,AE42,AK42),SUM(LARGE((U42,W42,AB42,AC42,AE42,AK42),{1;2;3;4;5}))))+T42</f>
        <v>502</v>
      </c>
      <c r="N42" s="862">
        <f>IF(I42="n",((IF(COUNT(V42,AA42,AD42,AI42,AJ42,AL42)&lt;5,SUM(V42,AA42,AD42,AI42,AJ42,AL42),SUM(LARGE((V42,AA42,AD42,AI42,AJ42,AL42),{1;2;3;4;5}))))+(IF(COUNT(U42,Y42,AB42,AC42,AG42,AK42)&lt;5,SUM(U42,Y42,AB42,AC42,AG42,AK42),SUM(LARGE((U42,Y42,AB42,AC42,AG42,AK42),{1;2;3;4;5}))))+T42),0)</f>
        <v>0</v>
      </c>
      <c r="O42" s="863">
        <f>IF(J42="j",((IF(COUNT(V42,AA42,AD42,AI42,AJ42,AL42)&lt;5,SUM(V42,AA42,AD42,AI42,AJ42,AL42),SUM(LARGE((V42,AA42,AD42,AI42,AJ42,AL42),{1;2;3;4;5}))))+(IF(COUNT(U42,W42,AB42,AC42,AE42,AK42)&lt;5,SUM(U42,W42,AB42,AC42,AE42,AK42),SUM(LARGE((U42,W42,AB42,AC42,AE42,AK42),{1;2;3;4;5}))))+T42),0)</f>
        <v>0</v>
      </c>
      <c r="P42" s="886" t="str">
        <f t="shared" ca="1" si="23"/>
        <v>502,0</v>
      </c>
      <c r="Q42" s="890">
        <f t="shared" si="24"/>
        <v>98</v>
      </c>
      <c r="R42" s="886" t="str">
        <f t="shared" ca="1" si="25"/>
        <v>0502,0-098</v>
      </c>
      <c r="S42" s="889">
        <f t="shared" ca="1" si="26"/>
        <v>160</v>
      </c>
      <c r="T42" s="849">
        <v>15</v>
      </c>
      <c r="U42" s="75" t="str">
        <f>IFERROR(INDEX('1'!C$300:C$400,MATCH("*"&amp;H42&amp;"*",'1'!B$300:B$400,0)),"  ")</f>
        <v xml:space="preserve">  </v>
      </c>
      <c r="V42" s="199">
        <f>IFERROR(INDEX('2'!C$300:C$400,MATCH("*"&amp;H42&amp;"*",'2'!B$300:B$400,0)),"  ")</f>
        <v>64</v>
      </c>
      <c r="W42" s="199" t="str">
        <f ca="1">IF(I42="",IFERROR(INDEX('3M'!C$300:C$400,MATCH("*"&amp;H42&amp;"*",'3M'!B$300:B$400,0)),"  "),IFERROR(INDEX('3N'!D$300:D$400,MATCH("*"&amp;H42&amp;"*",'3N'!B$300:B$400,0)),"  "))</f>
        <v xml:space="preserve">  </v>
      </c>
      <c r="X42" s="908" t="str">
        <f ca="1">IFERROR(INDEX('3M'!C$300:C$400,MATCH("*"&amp;H42&amp;"*",'3M'!B$300:B$400,0)),"  ")</f>
        <v xml:space="preserve">  </v>
      </c>
      <c r="Y42" s="907" t="str">
        <f ca="1">IFERROR(INDEX('3N'!C$300:C$400,MATCH("*"&amp;H42&amp;"*",'3N'!B$300:B$400,0)),"  ")</f>
        <v xml:space="preserve">  </v>
      </c>
      <c r="Z42" s="440"/>
      <c r="AA42" s="75">
        <f>IFERROR(INDEX('4'!C$300:C$400,MATCH("*"&amp;H42&amp;"*",'4'!B$300:B$400,0)),"  ")</f>
        <v>49</v>
      </c>
      <c r="AB42" s="75">
        <f>IFERROR(INDEX('5'!C$300:C$400,MATCH("*"&amp;H42&amp;"*",'5'!B$300:B$400,0)),"  ")</f>
        <v>47</v>
      </c>
      <c r="AC42" s="75">
        <f>IFERROR(INDEX('6'!C$300:C$400,MATCH("*"&amp;H42&amp;"*",'6'!B$300:B$400,0)),"  ")</f>
        <v>135</v>
      </c>
      <c r="AD42" s="75">
        <f>IFERROR(INDEX('7'!C$300:C$400,MATCH("*"&amp;H42&amp;"*",'7'!B$300:B$400,0)),"  ")</f>
        <v>74</v>
      </c>
      <c r="AE42" s="75" t="str">
        <f>IF(I42="",IFERROR(INDEX('8M'!C$300:C$400,MATCH("*"&amp;H42&amp;"*",'8M'!B$300:B$400,0)),"  "),IFERROR(INDEX('8N'!D$300:D$400,MATCH("*"&amp;H42&amp;"*",'8N'!B$300:B$400,0)),"  "))</f>
        <v xml:space="preserve">  </v>
      </c>
      <c r="AF42" s="908" t="str">
        <f>IFERROR(INDEX('8M'!C$300:C$400,MATCH("*"&amp;H42&amp;"*",'8M'!B$300:B$400,0)),"  ")</f>
        <v xml:space="preserve">  </v>
      </c>
      <c r="AG42" s="907" t="str">
        <f>IFERROR(INDEX('8N'!C$300:C$400,MATCH("*"&amp;H42&amp;"*",'8N'!B$300:B$400,0)),"  ")</f>
        <v xml:space="preserve">  </v>
      </c>
      <c r="AH42" s="440"/>
      <c r="AI42" s="75">
        <f>IFERROR(INDEX('9'!C$300:C$400,MATCH("*"&amp;H42&amp;"*",'9'!B$300:B$400,0)),"  ")</f>
        <v>49</v>
      </c>
      <c r="AJ42" s="830">
        <f>IFERROR(INDEX('10'!C$300:C$400,MATCH("*"&amp;H42&amp;"*",'10'!B$300:B$400,0)),"  ")</f>
        <v>69</v>
      </c>
      <c r="AK42" s="75" t="str">
        <f>IFERROR(INDEX('11'!C$300:C$400,MATCH("*"&amp;H42&amp;"*",'11'!B$300:B$400,0)),"  ")</f>
        <v xml:space="preserve">  </v>
      </c>
      <c r="AL42" s="75" t="str">
        <f>IFERROR(INDEX('12'!C$300:C$400,MATCH("*"&amp;H42&amp;"*",'12'!B$300:B$400,0)),"  ")</f>
        <v xml:space="preserve">  </v>
      </c>
      <c r="AM42" s="26">
        <f t="shared" ca="1" si="27"/>
        <v>7</v>
      </c>
      <c r="AN42" s="579">
        <f t="shared" ca="1" si="28"/>
        <v>0</v>
      </c>
      <c r="AO42" s="580">
        <f t="shared" ca="1" si="29"/>
        <v>0</v>
      </c>
      <c r="AP42" s="27">
        <f t="shared" ca="1" si="30"/>
        <v>0</v>
      </c>
      <c r="AQ42" s="933">
        <f t="shared" si="17"/>
        <v>1.1999999999999999E-3</v>
      </c>
      <c r="AR42" s="933">
        <f t="shared" ca="1" si="18"/>
        <v>1E-4</v>
      </c>
    </row>
    <row r="43" spans="1:44" x14ac:dyDescent="0.2">
      <c r="A43" s="851">
        <f t="shared" ca="1" si="19"/>
        <v>24</v>
      </c>
      <c r="B43" s="77">
        <f t="shared" ca="1" si="20"/>
        <v>10489</v>
      </c>
      <c r="C43" s="853" t="str">
        <f t="shared" ca="1" si="15"/>
        <v/>
      </c>
      <c r="D43" s="76">
        <f t="shared" si="21"/>
        <v>0</v>
      </c>
      <c r="E43" s="855" t="str">
        <f t="shared" ca="1" si="16"/>
        <v/>
      </c>
      <c r="F43" s="899">
        <f t="shared" si="22"/>
        <v>0</v>
      </c>
      <c r="G43" s="897">
        <f t="shared" ca="1" si="6"/>
        <v>35</v>
      </c>
      <c r="H43" s="133" t="s">
        <v>63</v>
      </c>
      <c r="I43" s="38"/>
      <c r="J43" s="585"/>
      <c r="K43" s="586" t="s">
        <v>718</v>
      </c>
      <c r="L43" s="587"/>
      <c r="M43" s="857">
        <f ca="1">(IF(COUNT(V43,AA43,AD43,AI43,AJ43,AL43)&lt;5,SUM(V43,AA43,AD43,AI43,AJ43,AL43),SUM(LARGE((V43,AA43,AD43,AI43,AJ43,AL43),{1;2;3;4;5}))))+(IF(COUNT(U43,W43,AB43,AC43,AE43,AK43)&lt;5,SUM(U43,W43,AB43,AC43,AE43,AK43),SUM(LARGE((U43,W43,AB43,AC43,AE43,AK43),{1;2;3;4;5}))))+T43</f>
        <v>489</v>
      </c>
      <c r="N43" s="862">
        <f>IF(I43="n",((IF(COUNT(V43,AA43,AD43,AI43,AJ43,AL43)&lt;5,SUM(V43,AA43,AD43,AI43,AJ43,AL43),SUM(LARGE((V43,AA43,AD43,AI43,AJ43,AL43),{1;2;3;4;5}))))+(IF(COUNT(U43,Y43,AB43,AC43,AG43,AK43)&lt;5,SUM(U43,Y43,AB43,AC43,AG43,AK43),SUM(LARGE((U43,Y43,AB43,AC43,AG43,AK43),{1;2;3;4;5}))))+T43),0)</f>
        <v>0</v>
      </c>
      <c r="O43" s="863">
        <f>IF(J43="j",((IF(COUNT(V43,AA43,AD43,AI43,AJ43,AL43)&lt;5,SUM(V43,AA43,AD43,AI43,AJ43,AL43),SUM(LARGE((V43,AA43,AD43,AI43,AJ43,AL43),{1;2;3;4;5}))))+(IF(COUNT(U43,W43,AB43,AC43,AE43,AK43)&lt;5,SUM(U43,W43,AB43,AC43,AE43,AK43),SUM(LARGE((U43,W43,AB43,AC43,AE43,AK43),{1;2;3;4;5}))))+T43),0)</f>
        <v>0</v>
      </c>
      <c r="P43" s="886" t="str">
        <f t="shared" ca="1" si="23"/>
        <v>489,0</v>
      </c>
      <c r="Q43" s="890">
        <f t="shared" si="24"/>
        <v>1</v>
      </c>
      <c r="R43" s="886" t="str">
        <f t="shared" ca="1" si="25"/>
        <v>0489,0-001</v>
      </c>
      <c r="S43" s="889">
        <f t="shared" ca="1" si="26"/>
        <v>159</v>
      </c>
      <c r="T43" s="847">
        <v>79</v>
      </c>
      <c r="U43" s="75" t="str">
        <f>IFERROR(INDEX('1'!C$300:C$400,MATCH("*"&amp;H43&amp;"*",'1'!B$300:B$400,0)),"  ")</f>
        <v xml:space="preserve">  </v>
      </c>
      <c r="V43" s="199" t="str">
        <f>IFERROR(INDEX('2'!C$300:C$400,MATCH("*"&amp;H43&amp;"*",'2'!B$300:B$400,0)),"  ")</f>
        <v xml:space="preserve">  </v>
      </c>
      <c r="W43" s="199">
        <f ca="1">IF(I43="",IFERROR(INDEX('3M'!C$300:C$400,MATCH("*"&amp;H43&amp;"*",'3M'!B$300:B$400,0)),"  "),IFERROR(INDEX('3N'!D$300:D$400,MATCH("*"&amp;H43&amp;"*",'3N'!B$300:B$400,0)),"  "))</f>
        <v>146</v>
      </c>
      <c r="X43" s="908">
        <f ca="1">IFERROR(INDEX('3M'!C$300:C$400,MATCH("*"&amp;H43&amp;"*",'3M'!B$300:B$400,0)),"  ")</f>
        <v>146</v>
      </c>
      <c r="Y43" s="907" t="str">
        <f ca="1">IFERROR(INDEX('3N'!C$300:C$400,MATCH("*"&amp;H43&amp;"*",'3N'!B$300:B$400,0)),"  ")</f>
        <v xml:space="preserve">  </v>
      </c>
      <c r="Z43" s="440"/>
      <c r="AA43" s="75">
        <f>IFERROR(INDEX('4'!C$300:C$400,MATCH("*"&amp;H43&amp;"*",'4'!B$300:B$400,0)),"  ")</f>
        <v>74</v>
      </c>
      <c r="AB43" s="75">
        <f>IFERROR(INDEX('5'!C$300:C$400,MATCH("*"&amp;H43&amp;"*",'5'!B$300:B$400,0)),"  ")</f>
        <v>51</v>
      </c>
      <c r="AC43" s="75" t="str">
        <f>IFERROR(INDEX('6'!C$300:C$400,MATCH("*"&amp;H43&amp;"*",'6'!B$300:B$400,0)),"  ")</f>
        <v xml:space="preserve">  </v>
      </c>
      <c r="AD43" s="75" t="str">
        <f>IFERROR(INDEX('7'!C$300:C$400,MATCH("*"&amp;H43&amp;"*",'7'!B$300:B$400,0)),"  ")</f>
        <v xml:space="preserve">  </v>
      </c>
      <c r="AE43" s="75">
        <f>IF(I43="",IFERROR(INDEX('8M'!C$300:C$400,MATCH("*"&amp;H43&amp;"*",'8M'!B$300:B$400,0)),"  "),IFERROR(INDEX('8N'!D$300:D$400,MATCH("*"&amp;H43&amp;"*",'8N'!B$300:B$400,0)),"  "))</f>
        <v>42</v>
      </c>
      <c r="AF43" s="908">
        <f>IFERROR(INDEX('8M'!C$300:C$400,MATCH("*"&amp;H43&amp;"*",'8M'!B$300:B$400,0)),"  ")</f>
        <v>42</v>
      </c>
      <c r="AG43" s="907" t="str">
        <f>IFERROR(INDEX('8N'!C$300:C$400,MATCH("*"&amp;H43&amp;"*",'8N'!B$300:B$400,0)),"  ")</f>
        <v xml:space="preserve">  </v>
      </c>
      <c r="AH43" s="440"/>
      <c r="AI43" s="75">
        <f>IFERROR(INDEX('9'!C$300:C$400,MATCH("*"&amp;H43&amp;"*",'9'!B$300:B$400,0)),"  ")</f>
        <v>97</v>
      </c>
      <c r="AJ43" s="830" t="str">
        <f>IFERROR(INDEX('10'!C$300:C$400,MATCH("*"&amp;H43&amp;"*",'10'!B$300:B$400,0)),"  ")</f>
        <v xml:space="preserve">  </v>
      </c>
      <c r="AK43" s="75" t="str">
        <f>IFERROR(INDEX('11'!C$300:C$400,MATCH("*"&amp;H43&amp;"*",'11'!B$300:B$400,0)),"  ")</f>
        <v xml:space="preserve">  </v>
      </c>
      <c r="AL43" s="75" t="str">
        <f>IFERROR(INDEX('12'!C$300:C$400,MATCH("*"&amp;H43&amp;"*",'12'!B$300:B$400,0)),"  ")</f>
        <v xml:space="preserve">  </v>
      </c>
      <c r="AM43" s="26">
        <f t="shared" ca="1" si="27"/>
        <v>5</v>
      </c>
      <c r="AN43" s="579">
        <f t="shared" ca="1" si="28"/>
        <v>2</v>
      </c>
      <c r="AO43" s="580">
        <f t="shared" ca="1" si="29"/>
        <v>0</v>
      </c>
      <c r="AP43" s="27">
        <f t="shared" ca="1" si="30"/>
        <v>0</v>
      </c>
      <c r="AQ43" s="933">
        <f t="shared" si="17"/>
        <v>2.0000000000000001E-4</v>
      </c>
      <c r="AR43" s="933">
        <f t="shared" ca="1" si="18"/>
        <v>1E-4</v>
      </c>
    </row>
    <row r="44" spans="1:44" x14ac:dyDescent="0.2">
      <c r="A44" s="851">
        <f t="shared" ca="1" si="19"/>
        <v>25</v>
      </c>
      <c r="B44" s="77">
        <f t="shared" ca="1" si="20"/>
        <v>10468</v>
      </c>
      <c r="C44" s="853" t="str">
        <f t="shared" ca="1" si="15"/>
        <v/>
      </c>
      <c r="D44" s="76">
        <f t="shared" si="21"/>
        <v>0</v>
      </c>
      <c r="E44" s="855" t="str">
        <f t="shared" ca="1" si="16"/>
        <v/>
      </c>
      <c r="F44" s="899">
        <f t="shared" si="22"/>
        <v>0</v>
      </c>
      <c r="G44" s="897">
        <f t="shared" ca="1" si="6"/>
        <v>36</v>
      </c>
      <c r="H44" s="133" t="s">
        <v>174</v>
      </c>
      <c r="I44" s="38"/>
      <c r="J44" s="585"/>
      <c r="K44" s="586"/>
      <c r="L44" s="587"/>
      <c r="M44" s="857">
        <f ca="1">(IF(COUNT(V44,AA44,AD44,AI44,AJ44,AL44)&lt;5,SUM(V44,AA44,AD44,AI44,AJ44,AL44),SUM(LARGE((V44,AA44,AD44,AI44,AJ44,AL44),{1;2;3;4;5}))))+(IF(COUNT(U44,W44,AB44,AC44,AE44,AK44)&lt;5,SUM(U44,W44,AB44,AC44,AE44,AK44),SUM(LARGE((U44,W44,AB44,AC44,AE44,AK44),{1;2;3;4;5}))))+T44</f>
        <v>468</v>
      </c>
      <c r="N44" s="862">
        <f>IF(I44="n",((IF(COUNT(V44,AA44,AD44,AI44,AJ44,AL44)&lt;5,SUM(V44,AA44,AD44,AI44,AJ44,AL44),SUM(LARGE((V44,AA44,AD44,AI44,AJ44,AL44),{1;2;3;4;5}))))+(IF(COUNT(U44,Y44,AB44,AC44,AG44,AK44)&lt;5,SUM(U44,Y44,AB44,AC44,AG44,AK44),SUM(LARGE((U44,Y44,AB44,AC44,AG44,AK44),{1;2;3;4;5}))))+T44),0)</f>
        <v>0</v>
      </c>
      <c r="O44" s="863">
        <f>IF(J44="j",((IF(COUNT(V44,AA44,AD44,AI44,AJ44,AL44)&lt;5,SUM(V44,AA44,AD44,AI44,AJ44,AL44),SUM(LARGE((V44,AA44,AD44,AI44,AJ44,AL44),{1;2;3;4;5}))))+(IF(COUNT(U44,W44,AB44,AC44,AE44,AK44)&lt;5,SUM(U44,W44,AB44,AC44,AE44,AK44),SUM(LARGE((U44,W44,AB44,AC44,AE44,AK44),{1;2;3;4;5}))))+T44),0)</f>
        <v>0</v>
      </c>
      <c r="P44" s="886" t="str">
        <f t="shared" ca="1" si="23"/>
        <v>468,0</v>
      </c>
      <c r="Q44" s="890">
        <f t="shared" si="24"/>
        <v>31</v>
      </c>
      <c r="R44" s="886" t="str">
        <f t="shared" ca="1" si="25"/>
        <v>0468,0-031</v>
      </c>
      <c r="S44" s="889">
        <f t="shared" ca="1" si="26"/>
        <v>158</v>
      </c>
      <c r="T44" s="847">
        <v>1</v>
      </c>
      <c r="U44" s="75" t="str">
        <f>IFERROR(INDEX('1'!C$300:C$400,MATCH("*"&amp;H44&amp;"*",'1'!B$300:B$400,0)),"  ")</f>
        <v xml:space="preserve">  </v>
      </c>
      <c r="V44" s="199" t="str">
        <f>IFERROR(INDEX('2'!C$300:C$400,MATCH("*"&amp;H44&amp;"*",'2'!B$300:B$400,0)),"  ")</f>
        <v xml:space="preserve">  </v>
      </c>
      <c r="W44" s="199" t="str">
        <f ca="1">IF(I44="",IFERROR(INDEX('3M'!C$300:C$400,MATCH("*"&amp;H44&amp;"*",'3M'!B$300:B$400,0)),"  "),IFERROR(INDEX('3N'!D$300:D$400,MATCH("*"&amp;H44&amp;"*",'3N'!B$300:B$400,0)),"  "))</f>
        <v xml:space="preserve">  </v>
      </c>
      <c r="X44" s="908" t="str">
        <f ca="1">IFERROR(INDEX('3M'!C$300:C$400,MATCH("*"&amp;H44&amp;"*",'3M'!B$300:B$400,0)),"  ")</f>
        <v xml:space="preserve">  </v>
      </c>
      <c r="Y44" s="907" t="str">
        <f ca="1">IFERROR(INDEX('3N'!C$300:C$400,MATCH("*"&amp;H44&amp;"*",'3N'!B$300:B$400,0)),"  ")</f>
        <v xml:space="preserve">  </v>
      </c>
      <c r="Z44" s="440"/>
      <c r="AA44" s="75" t="str">
        <f>IFERROR(INDEX('4'!C$300:C$400,MATCH("*"&amp;H44&amp;"*",'4'!B$300:B$400,0)),"  ")</f>
        <v xml:space="preserve">  </v>
      </c>
      <c r="AB44" s="75">
        <f>IFERROR(INDEX('5'!C$300:C$400,MATCH("*"&amp;H44&amp;"*",'5'!B$300:B$400,0)),"  ")</f>
        <v>74</v>
      </c>
      <c r="AC44" s="75" t="str">
        <f>IFERROR(INDEX('6'!C$300:C$400,MATCH("*"&amp;H44&amp;"*",'6'!B$300:B$400,0)),"  ")</f>
        <v xml:space="preserve">  </v>
      </c>
      <c r="AD44" s="75" t="str">
        <f>IFERROR(INDEX('7'!C$300:C$400,MATCH("*"&amp;H44&amp;"*",'7'!B$300:B$400,0)),"  ")</f>
        <v xml:space="preserve">  </v>
      </c>
      <c r="AE44" s="75">
        <f>IF(I44="",IFERROR(INDEX('8M'!C$300:C$400,MATCH("*"&amp;H44&amp;"*",'8M'!B$300:B$400,0)),"  "),IFERROR(INDEX('8N'!D$300:D$400,MATCH("*"&amp;H44&amp;"*",'8N'!B$300:B$400,0)),"  "))</f>
        <v>69</v>
      </c>
      <c r="AF44" s="908">
        <f>IFERROR(INDEX('8M'!C$300:C$400,MATCH("*"&amp;H44&amp;"*",'8M'!B$300:B$400,0)),"  ")</f>
        <v>69</v>
      </c>
      <c r="AG44" s="907" t="str">
        <f>IFERROR(INDEX('8N'!C$300:C$400,MATCH("*"&amp;H44&amp;"*",'8N'!B$300:B$400,0)),"  ")</f>
        <v xml:space="preserve">  </v>
      </c>
      <c r="AH44" s="440"/>
      <c r="AI44" s="75">
        <f>IFERROR(INDEX('9'!C$300:C$400,MATCH("*"&amp;H44&amp;"*",'9'!B$300:B$400,0)),"  ")</f>
        <v>52</v>
      </c>
      <c r="AJ44" s="830">
        <f>IFERROR(INDEX('10'!C$300:C$400,MATCH("*"&amp;H44&amp;"*",'10'!B$300:B$400,0)),"  ")</f>
        <v>97</v>
      </c>
      <c r="AK44" s="75">
        <f>IFERROR(INDEX('11'!C$300:C$400,MATCH("*"&amp;H44&amp;"*",'11'!B$300:B$400,0)),"  ")</f>
        <v>119</v>
      </c>
      <c r="AL44" s="75">
        <f>IFERROR(INDEX('12'!C$300:C$400,MATCH("*"&amp;H44&amp;"*",'12'!B$300:B$400,0)),"  ")</f>
        <v>56</v>
      </c>
      <c r="AM44" s="26">
        <f t="shared" ca="1" si="27"/>
        <v>6</v>
      </c>
      <c r="AN44" s="579">
        <f t="shared" ca="1" si="28"/>
        <v>1</v>
      </c>
      <c r="AO44" s="580">
        <f t="shared" ca="1" si="29"/>
        <v>0</v>
      </c>
      <c r="AP44" s="27">
        <f t="shared" ca="1" si="30"/>
        <v>0</v>
      </c>
      <c r="AQ44" s="933">
        <f t="shared" si="17"/>
        <v>2.0000000000000001E-4</v>
      </c>
      <c r="AR44" s="933">
        <f t="shared" ca="1" si="18"/>
        <v>1E-4</v>
      </c>
    </row>
    <row r="45" spans="1:44" x14ac:dyDescent="0.2">
      <c r="A45" s="851" t="str">
        <f t="shared" ca="1" si="19"/>
        <v/>
      </c>
      <c r="B45" s="77">
        <f t="shared" si="20"/>
        <v>0</v>
      </c>
      <c r="C45" s="853">
        <f t="shared" ca="1" si="15"/>
        <v>13</v>
      </c>
      <c r="D45" s="76">
        <f t="shared" ca="1" si="21"/>
        <v>10453</v>
      </c>
      <c r="E45" s="855" t="str">
        <f t="shared" ca="1" si="16"/>
        <v/>
      </c>
      <c r="F45" s="899">
        <f t="shared" si="22"/>
        <v>0</v>
      </c>
      <c r="G45" s="897">
        <f t="shared" ca="1" si="6"/>
        <v>37</v>
      </c>
      <c r="H45" s="133" t="s">
        <v>726</v>
      </c>
      <c r="I45" s="38" t="s">
        <v>32</v>
      </c>
      <c r="J45" s="585"/>
      <c r="K45" s="586"/>
      <c r="L45" s="587"/>
      <c r="M45" s="857">
        <f ca="1">(IF(COUNT(V45,AA45,AD45,AI45,AJ45,AL45)&lt;5,SUM(V45,AA45,AD45,AI45,AJ45,AL45),SUM(LARGE((V45,AA45,AD45,AI45,AJ45,AL45),{1;2;3;4;5}))))+(IF(COUNT(U45,W45,AB45,AC45,AE45,AK45)&lt;5,SUM(U45,W45,AB45,AC45,AE45,AK45),SUM(LARGE((U45,W45,AB45,AC45,AE45,AK45),{1;2;3;4;5}))))+T45</f>
        <v>453</v>
      </c>
      <c r="N45" s="862">
        <f ca="1">IF(I45="n",((IF(COUNT(V45,AA45,AD45,AI45,AJ45,AL45)&lt;5,SUM(V45,AA45,AD45,AI45,AJ45,AL45),SUM(LARGE((V45,AA45,AD45,AI45,AJ45,AL45),{1;2;3;4;5}))))+(IF(COUNT(U45,Y45,AB45,AC45,AG45,AK45)&lt;5,SUM(U45,Y45,AB45,AC45,AG45,AK45),SUM(LARGE((U45,Y45,AB45,AC45,AG45,AK45),{1;2;3;4;5}))))+T45),0)</f>
        <v>453</v>
      </c>
      <c r="O45" s="863">
        <f>IF(J45="j",((IF(COUNT(V45,AA45,AD45,AI45,AJ45,AL45)&lt;5,SUM(V45,AA45,AD45,AI45,AJ45,AL45),SUM(LARGE((V45,AA45,AD45,AI45,AJ45,AL45),{1;2;3;4;5}))))+(IF(COUNT(U45,W45,AB45,AC45,AE45,AK45)&lt;5,SUM(U45,W45,AB45,AC45,AE45,AK45),SUM(LARGE((U45,W45,AB45,AC45,AE45,AK45),{1;2;3;4;5}))))+T45),0)</f>
        <v>0</v>
      </c>
      <c r="P45" s="886" t="str">
        <f t="shared" ca="1" si="23"/>
        <v>453,0</v>
      </c>
      <c r="Q45" s="890">
        <f t="shared" si="24"/>
        <v>81</v>
      </c>
      <c r="R45" s="886" t="str">
        <f t="shared" ca="1" si="25"/>
        <v>0453,0-081</v>
      </c>
      <c r="S45" s="889">
        <f t="shared" ca="1" si="26"/>
        <v>157</v>
      </c>
      <c r="T45" s="847">
        <v>1</v>
      </c>
      <c r="U45" s="75">
        <f>IFERROR(INDEX('1'!C$300:C$400,MATCH("*"&amp;H45&amp;"*",'1'!B$300:B$400,0)),"  ")</f>
        <v>96</v>
      </c>
      <c r="V45" s="199" t="str">
        <f>IFERROR(INDEX('2'!C$300:C$400,MATCH("*"&amp;H45&amp;"*",'2'!B$300:B$400,0)),"  ")</f>
        <v xml:space="preserve">  </v>
      </c>
      <c r="W45" s="199" t="str">
        <f ca="1">IF(I45="",IFERROR(INDEX('3M'!C$300:C$400,MATCH("*"&amp;H45&amp;"*",'3M'!B$300:B$400,0)),"  "),IFERROR(INDEX('3N'!D$300:D$400,MATCH("*"&amp;H45&amp;"*",'3N'!B$300:B$400,0)),"  "))</f>
        <v xml:space="preserve">  </v>
      </c>
      <c r="X45" s="908" t="str">
        <f ca="1">IFERROR(INDEX('3M'!C$300:C$400,MATCH("*"&amp;H45&amp;"*",'3M'!B$300:B$400,0)),"  ")</f>
        <v xml:space="preserve">  </v>
      </c>
      <c r="Y45" s="907" t="str">
        <f ca="1">IFERROR(INDEX('3N'!C$300:C$400,MATCH("*"&amp;H45&amp;"*",'3N'!B$300:B$400,0)),"  ")</f>
        <v xml:space="preserve">  </v>
      </c>
      <c r="Z45" s="440"/>
      <c r="AA45" s="75" t="str">
        <f>IFERROR(INDEX('4'!C$300:C$400,MATCH("*"&amp;H45&amp;"*",'4'!B$300:B$400,0)),"  ")</f>
        <v xml:space="preserve">  </v>
      </c>
      <c r="AB45" s="75">
        <f>IFERROR(INDEX('5'!C$300:C$400,MATCH("*"&amp;H45&amp;"*",'5'!B$300:B$400,0)),"  ")</f>
        <v>33</v>
      </c>
      <c r="AC45" s="75">
        <f>IFERROR(INDEX('6'!C$300:C$400,MATCH("*"&amp;H45&amp;"*",'6'!B$300:B$400,0)),"  ")</f>
        <v>84</v>
      </c>
      <c r="AD45" s="75">
        <f>IFERROR(INDEX('7'!C$300:C$400,MATCH("*"&amp;H45&amp;"*",'7'!B$300:B$400,0)),"  ")</f>
        <v>69</v>
      </c>
      <c r="AE45" s="75" t="str">
        <f>IF(I45="",IFERROR(INDEX('8M'!C$300:C$400,MATCH("*"&amp;H45&amp;"*",'8M'!B$300:B$400,0)),"  "),IFERROR(INDEX('8N'!D$300:D$400,MATCH("*"&amp;H45&amp;"*",'8N'!B$300:B$400,0)),"  "))</f>
        <v xml:space="preserve">  </v>
      </c>
      <c r="AF45" s="908" t="str">
        <f>IFERROR(INDEX('8M'!C$300:C$400,MATCH("*"&amp;H45&amp;"*",'8M'!B$300:B$400,0)),"  ")</f>
        <v xml:space="preserve">  </v>
      </c>
      <c r="AG45" s="907" t="str">
        <f>IFERROR(INDEX('8N'!C$300:C$400,MATCH("*"&amp;H45&amp;"*",'8N'!B$300:B$400,0)),"  ")</f>
        <v xml:space="preserve">  </v>
      </c>
      <c r="AH45" s="440"/>
      <c r="AI45" s="75">
        <f>IFERROR(INDEX('9'!C$300:C$400,MATCH("*"&amp;H45&amp;"*",'9'!B$300:B$400,0)),"  ")</f>
        <v>46</v>
      </c>
      <c r="AJ45" s="830" t="str">
        <f>IFERROR(INDEX('10'!C$300:C$400,MATCH("*"&amp;H45&amp;"*",'10'!B$300:B$400,0)),"  ")</f>
        <v xml:space="preserve">  </v>
      </c>
      <c r="AK45" s="75">
        <f>IFERROR(INDEX('11'!C$300:C$400,MATCH("*"&amp;H45&amp;"*",'11'!B$300:B$400,0)),"  ")</f>
        <v>90</v>
      </c>
      <c r="AL45" s="75">
        <f>IFERROR(INDEX('12'!C$300:C$400,MATCH("*"&amp;H45&amp;"*",'12'!B$300:B$400,0)),"  ")</f>
        <v>34</v>
      </c>
      <c r="AM45" s="26">
        <f t="shared" ca="1" si="27"/>
        <v>7</v>
      </c>
      <c r="AN45" s="579">
        <f t="shared" ca="1" si="28"/>
        <v>0</v>
      </c>
      <c r="AO45" s="580">
        <f t="shared" ca="1" si="29"/>
        <v>0</v>
      </c>
      <c r="AP45" s="27">
        <f t="shared" ca="1" si="30"/>
        <v>0</v>
      </c>
      <c r="AQ45" s="933">
        <f t="shared" si="17"/>
        <v>2.0000000000000001E-4</v>
      </c>
      <c r="AR45" s="933">
        <f t="shared" ca="1" si="18"/>
        <v>2.9999999999999997E-4</v>
      </c>
    </row>
    <row r="46" spans="1:44" x14ac:dyDescent="0.2">
      <c r="A46" s="851" t="str">
        <f t="shared" ca="1" si="19"/>
        <v/>
      </c>
      <c r="B46" s="77">
        <f t="shared" si="20"/>
        <v>0</v>
      </c>
      <c r="C46" s="853">
        <f t="shared" ca="1" si="15"/>
        <v>14</v>
      </c>
      <c r="D46" s="76">
        <f t="shared" ca="1" si="21"/>
        <v>10401.5</v>
      </c>
      <c r="E46" s="855" t="str">
        <f t="shared" ca="1" si="16"/>
        <v/>
      </c>
      <c r="F46" s="899">
        <f t="shared" si="22"/>
        <v>0</v>
      </c>
      <c r="G46" s="897">
        <f t="shared" ca="1" si="6"/>
        <v>38</v>
      </c>
      <c r="H46" s="133" t="s">
        <v>168</v>
      </c>
      <c r="I46" s="38" t="s">
        <v>32</v>
      </c>
      <c r="J46" s="585"/>
      <c r="K46" s="586" t="s">
        <v>718</v>
      </c>
      <c r="L46" s="587"/>
      <c r="M46" s="857">
        <f ca="1">(IF(COUNT(V46,AA46,AD46,AI46,AJ46,AL46)&lt;5,SUM(V46,AA46,AD46,AI46,AJ46,AL46),SUM(LARGE((V46,AA46,AD46,AI46,AJ46,AL46),{1;2;3;4;5}))))+(IF(COUNT(U46,W46,AB46,AC46,AE46,AK46)&lt;5,SUM(U46,W46,AB46,AC46,AE46,AK46),SUM(LARGE((U46,W46,AB46,AC46,AE46,AK46),{1;2;3;4;5}))))+T46</f>
        <v>401.5</v>
      </c>
      <c r="N46" s="862">
        <f ca="1">IF(I46="n",((IF(COUNT(V46,AA46,AD46,AI46,AJ46,AL46)&lt;5,SUM(V46,AA46,AD46,AI46,AJ46,AL46),SUM(LARGE((V46,AA46,AD46,AI46,AJ46,AL46),{1;2;3;4;5}))))+(IF(COUNT(U46,Y46,AB46,AC46,AG46,AK46)&lt;5,SUM(U46,Y46,AB46,AC46,AG46,AK46),SUM(LARGE((U46,Y46,AB46,AC46,AG46,AK46),{1;2;3;4;5}))))+T46),0)</f>
        <v>401.5</v>
      </c>
      <c r="O46" s="863">
        <f>IF(J46="j",((IF(COUNT(V46,AA46,AD46,AI46,AJ46,AL46)&lt;5,SUM(V46,AA46,AD46,AI46,AJ46,AL46),SUM(LARGE((V46,AA46,AD46,AI46,AJ46,AL46),{1;2;3;4;5}))))+(IF(COUNT(U46,W46,AB46,AC46,AE46,AK46)&lt;5,SUM(U46,W46,AB46,AC46,AE46,AK46),SUM(LARGE((U46,W46,AB46,AC46,AE46,AK46),{1;2;3;4;5}))))+T46),0)</f>
        <v>0</v>
      </c>
      <c r="P46" s="886" t="str">
        <f t="shared" ca="1" si="23"/>
        <v>401,5</v>
      </c>
      <c r="Q46" s="890">
        <f t="shared" si="24"/>
        <v>37</v>
      </c>
      <c r="R46" s="886" t="str">
        <f t="shared" ca="1" si="25"/>
        <v>0401,5-037</v>
      </c>
      <c r="S46" s="889">
        <f t="shared" ca="1" si="26"/>
        <v>156</v>
      </c>
      <c r="T46" s="849">
        <v>4.5</v>
      </c>
      <c r="U46" s="75" t="str">
        <f>IFERROR(INDEX('1'!C$300:C$400,MATCH("*"&amp;H46&amp;"*",'1'!B$300:B$400,0)),"  ")</f>
        <v xml:space="preserve">  </v>
      </c>
      <c r="V46" s="199">
        <f>IFERROR(INDEX('2'!C$300:C$400,MATCH("*"&amp;H46&amp;"*",'2'!B$300:B$400,0)),"  ")</f>
        <v>52</v>
      </c>
      <c r="W46" s="199" t="str">
        <f ca="1">IF(I46="",IFERROR(INDEX('3M'!C$300:C$400,MATCH("*"&amp;H46&amp;"*",'3M'!B$300:B$400,0)),"  "),IFERROR(INDEX('3N'!D$300:D$400,MATCH("*"&amp;H46&amp;"*",'3N'!B$300:B$400,0)),"  "))</f>
        <v xml:space="preserve">  </v>
      </c>
      <c r="X46" s="908" t="str">
        <f ca="1">IFERROR(INDEX('3M'!C$300:C$400,MATCH("*"&amp;H46&amp;"*",'3M'!B$300:B$400,0)),"  ")</f>
        <v xml:space="preserve">  </v>
      </c>
      <c r="Y46" s="907" t="str">
        <f ca="1">IFERROR(INDEX('3N'!C$300:C$400,MATCH("*"&amp;H46&amp;"*",'3N'!B$300:B$400,0)),"  ")</f>
        <v xml:space="preserve">  </v>
      </c>
      <c r="Z46" s="440"/>
      <c r="AA46" s="75">
        <f>IFERROR(INDEX('4'!C$300:C$400,MATCH("*"&amp;H46&amp;"*",'4'!B$300:B$400,0)),"  ")</f>
        <v>46</v>
      </c>
      <c r="AB46" s="75" t="str">
        <f>IFERROR(INDEX('5'!C$300:C$400,MATCH("*"&amp;H46&amp;"*",'5'!B$300:B$400,0)),"  ")</f>
        <v xml:space="preserve">  </v>
      </c>
      <c r="AC46" s="75">
        <f>IFERROR(INDEX('6'!C$300:C$400,MATCH("*"&amp;H46&amp;"*",'6'!B$300:B$400,0)),"  ")</f>
        <v>104</v>
      </c>
      <c r="AD46" s="75" t="str">
        <f>IFERROR(INDEX('7'!C$300:C$400,MATCH("*"&amp;H46&amp;"*",'7'!B$300:B$400,0)),"  ")</f>
        <v xml:space="preserve">  </v>
      </c>
      <c r="AE46" s="75" t="str">
        <f>IF(I46="",IFERROR(INDEX('8M'!C$300:C$400,MATCH("*"&amp;H46&amp;"*",'8M'!B$300:B$400,0)),"  "),IFERROR(INDEX('8N'!D$300:D$400,MATCH("*"&amp;H46&amp;"*",'8N'!B$300:B$400,0)),"  "))</f>
        <v xml:space="preserve">  </v>
      </c>
      <c r="AF46" s="908" t="str">
        <f>IFERROR(INDEX('8M'!C$300:C$400,MATCH("*"&amp;H46&amp;"*",'8M'!B$300:B$400,0)),"  ")</f>
        <v xml:space="preserve">  </v>
      </c>
      <c r="AG46" s="907" t="str">
        <f>IFERROR(INDEX('8N'!C$300:C$400,MATCH("*"&amp;H46&amp;"*",'8N'!B$300:B$400,0)),"  ")</f>
        <v xml:space="preserve">  </v>
      </c>
      <c r="AH46" s="440"/>
      <c r="AI46" s="75">
        <f>IFERROR(INDEX('9'!C$300:C$400,MATCH("*"&amp;H46&amp;"*",'9'!B$300:B$400,0)),"  ")</f>
        <v>90</v>
      </c>
      <c r="AJ46" s="830">
        <f>IFERROR(INDEX('10'!C$300:C$400,MATCH("*"&amp;H46&amp;"*",'10'!B$300:B$400,0)),"  ")</f>
        <v>105</v>
      </c>
      <c r="AK46" s="75" t="str">
        <f>IFERROR(INDEX('11'!C$300:C$400,MATCH("*"&amp;H46&amp;"*",'11'!B$300:B$400,0)),"  ")</f>
        <v xml:space="preserve">  </v>
      </c>
      <c r="AL46" s="75" t="str">
        <f>IFERROR(INDEX('12'!C$300:C$400,MATCH("*"&amp;H46&amp;"*",'12'!B$300:B$400,0)),"  ")</f>
        <v xml:space="preserve">  </v>
      </c>
      <c r="AM46" s="26">
        <f t="shared" ca="1" si="27"/>
        <v>5</v>
      </c>
      <c r="AN46" s="579">
        <f t="shared" ca="1" si="28"/>
        <v>1</v>
      </c>
      <c r="AO46" s="580">
        <f t="shared" ca="1" si="29"/>
        <v>0</v>
      </c>
      <c r="AP46" s="27">
        <f t="shared" ca="1" si="30"/>
        <v>0</v>
      </c>
      <c r="AQ46" s="933">
        <f t="shared" si="17"/>
        <v>6.9999999999999999E-4</v>
      </c>
      <c r="AR46" s="933">
        <f t="shared" ca="1" si="18"/>
        <v>1E-4</v>
      </c>
    </row>
    <row r="47" spans="1:44" x14ac:dyDescent="0.2">
      <c r="A47" s="851">
        <f t="shared" ca="1" si="19"/>
        <v>26</v>
      </c>
      <c r="B47" s="77">
        <f t="shared" ca="1" si="20"/>
        <v>10397</v>
      </c>
      <c r="C47" s="853" t="str">
        <f t="shared" ca="1" si="15"/>
        <v/>
      </c>
      <c r="D47" s="76">
        <f t="shared" si="21"/>
        <v>0</v>
      </c>
      <c r="E47" s="855" t="str">
        <f t="shared" ca="1" si="16"/>
        <v/>
      </c>
      <c r="F47" s="899">
        <f t="shared" si="22"/>
        <v>0</v>
      </c>
      <c r="G47" s="897">
        <f t="shared" ca="1" si="6"/>
        <v>39</v>
      </c>
      <c r="H47" s="265" t="s">
        <v>786</v>
      </c>
      <c r="I47" s="38"/>
      <c r="J47" s="585"/>
      <c r="K47" s="586" t="s">
        <v>718</v>
      </c>
      <c r="L47" s="587"/>
      <c r="M47" s="857">
        <f ca="1">(IF(COUNT(V47,AA47,AD47,AI47,AJ47,AL47)&lt;5,SUM(V47,AA47,AD47,AI47,AJ47,AL47),SUM(LARGE((V47,AA47,AD47,AI47,AJ47,AL47),{1;2;3;4;5}))))+(IF(COUNT(U47,W47,AB47,AC47,AE47,AK47)&lt;5,SUM(U47,W47,AB47,AC47,AE47,AK47),SUM(LARGE((U47,W47,AB47,AC47,AE47,AK47),{1;2;3;4;5}))))+T47</f>
        <v>397</v>
      </c>
      <c r="N47" s="862">
        <f>IF(I47="n",((IF(COUNT(V47,AA47,AD47,AI47,AJ47,AL47)&lt;5,SUM(V47,AA47,AD47,AI47,AJ47,AL47),SUM(LARGE((V47,AA47,AD47,AI47,AJ47,AL47),{1;2;3;4;5}))))+(IF(COUNT(U47,Y47,AB47,AC47,AG47,AK47)&lt;5,SUM(U47,Y47,AB47,AC47,AG47,AK47),SUM(LARGE((U47,Y47,AB47,AC47,AG47,AK47),{1;2;3;4;5}))))+T47),0)</f>
        <v>0</v>
      </c>
      <c r="O47" s="863">
        <f>IF(J47="j",((IF(COUNT(V47,AA47,AD47,AI47,AJ47,AL47)&lt;5,SUM(V47,AA47,AD47,AI47,AJ47,AL47),SUM(LARGE((V47,AA47,AD47,AI47,AJ47,AL47),{1;2;3;4;5}))))+(IF(COUNT(U47,W47,AB47,AC47,AE47,AK47)&lt;5,SUM(U47,W47,AB47,AC47,AE47,AK47),SUM(LARGE((U47,W47,AB47,AC47,AE47,AK47),{1;2;3;4;5}))))+T47),0)</f>
        <v>0</v>
      </c>
      <c r="P47" s="886" t="str">
        <f t="shared" ca="1" si="23"/>
        <v>397,0</v>
      </c>
      <c r="Q47" s="890">
        <f t="shared" si="24"/>
        <v>125</v>
      </c>
      <c r="R47" s="886" t="str">
        <f t="shared" ca="1" si="25"/>
        <v>0397,0-125</v>
      </c>
      <c r="S47" s="889">
        <f t="shared" ca="1" si="26"/>
        <v>155</v>
      </c>
      <c r="T47" s="847"/>
      <c r="U47" s="75" t="str">
        <f>IFERROR(INDEX('1'!C$300:C$400,MATCH("*"&amp;H47&amp;"*",'1'!B$300:B$400,0)),"  ")</f>
        <v xml:space="preserve">  </v>
      </c>
      <c r="V47" s="199">
        <f>IFERROR(INDEX('2'!C$300:C$400,MATCH("*"&amp;H47&amp;"*",'2'!B$300:B$400,0)),"  ")</f>
        <v>56</v>
      </c>
      <c r="W47" s="199" t="str">
        <f ca="1">IF(I47="",IFERROR(INDEX('3M'!C$300:C$400,MATCH("*"&amp;H47&amp;"*",'3M'!B$300:B$400,0)),"  "),IFERROR(INDEX('3N'!D$300:D$400,MATCH("*"&amp;H47&amp;"*",'3N'!B$300:B$400,0)),"  "))</f>
        <v xml:space="preserve">  </v>
      </c>
      <c r="X47" s="908" t="str">
        <f ca="1">IFERROR(INDEX('3M'!C$300:C$400,MATCH("*"&amp;H47&amp;"*",'3M'!B$300:B$400,0)),"  ")</f>
        <v xml:space="preserve">  </v>
      </c>
      <c r="Y47" s="907" t="str">
        <f ca="1">IFERROR(INDEX('3N'!C$300:C$400,MATCH("*"&amp;H47&amp;"*",'3N'!B$300:B$400,0)),"  ")</f>
        <v xml:space="preserve">  </v>
      </c>
      <c r="Z47" s="440"/>
      <c r="AA47" s="75">
        <f>IFERROR(INDEX('4'!C$300:C$400,MATCH("*"&amp;H47&amp;"*",'4'!B$300:B$400,0)),"  ")</f>
        <v>60</v>
      </c>
      <c r="AB47" s="75">
        <f>IFERROR(INDEX('5'!C$300:C$400,MATCH("*"&amp;H47&amp;"*",'5'!B$300:B$400,0)),"  ")</f>
        <v>65</v>
      </c>
      <c r="AC47" s="75" t="str">
        <f>IFERROR(INDEX('6'!C$300:C$400,MATCH("*"&amp;H47&amp;"*",'6'!B$300:B$400,0)),"  ")</f>
        <v xml:space="preserve">  </v>
      </c>
      <c r="AD47" s="75">
        <f>IFERROR(INDEX('7'!C$300:C$400,MATCH("*"&amp;H47&amp;"*",'7'!B$300:B$400,0)),"  ")</f>
        <v>49</v>
      </c>
      <c r="AE47" s="75" t="str">
        <f>IF(I47="",IFERROR(INDEX('8M'!C$300:C$400,MATCH("*"&amp;H47&amp;"*",'8M'!B$300:B$400,0)),"  "),IFERROR(INDEX('8N'!D$300:D$400,MATCH("*"&amp;H47&amp;"*",'8N'!B$300:B$400,0)),"  "))</f>
        <v xml:space="preserve">  </v>
      </c>
      <c r="AF47" s="908" t="str">
        <f>IFERROR(INDEX('8M'!C$300:C$400,MATCH("*"&amp;H47&amp;"*",'8M'!B$300:B$400,0)),"  ")</f>
        <v xml:space="preserve">  </v>
      </c>
      <c r="AG47" s="907" t="str">
        <f>IFERROR(INDEX('8N'!C$300:C$400,MATCH("*"&amp;H47&amp;"*",'8N'!B$300:B$400,0)),"  ")</f>
        <v xml:space="preserve">  </v>
      </c>
      <c r="AH47" s="440"/>
      <c r="AI47" s="75">
        <f>IFERROR(INDEX('9'!C$300:C$400,MATCH("*"&amp;H47&amp;"*",'9'!B$300:B$400,0)),"  ")</f>
        <v>97</v>
      </c>
      <c r="AJ47" s="830" t="str">
        <f>IFERROR(INDEX('10'!C$300:C$400,MATCH("*"&amp;H47&amp;"*",'10'!B$300:B$400,0)),"  ")</f>
        <v xml:space="preserve">  </v>
      </c>
      <c r="AK47" s="75">
        <f>IFERROR(INDEX('11'!C$300:C$400,MATCH("*"&amp;H47&amp;"*",'11'!B$300:B$400,0)),"  ")</f>
        <v>51</v>
      </c>
      <c r="AL47" s="75">
        <f>IFERROR(INDEX('12'!C$300:C$400,MATCH("*"&amp;H47&amp;"*",'12'!B$300:B$400,0)),"  ")</f>
        <v>19</v>
      </c>
      <c r="AM47" s="26">
        <f t="shared" ca="1" si="27"/>
        <v>7</v>
      </c>
      <c r="AN47" s="579">
        <f t="shared" ca="1" si="28"/>
        <v>1</v>
      </c>
      <c r="AO47" s="580">
        <f t="shared" ca="1" si="29"/>
        <v>0</v>
      </c>
      <c r="AP47" s="27">
        <f t="shared" ca="1" si="30"/>
        <v>0</v>
      </c>
      <c r="AQ47" s="933">
        <f t="shared" si="17"/>
        <v>1E-3</v>
      </c>
      <c r="AR47" s="933">
        <f t="shared" ca="1" si="18"/>
        <v>1E-4</v>
      </c>
    </row>
    <row r="48" spans="1:44" x14ac:dyDescent="0.2">
      <c r="A48" s="851">
        <f t="shared" ca="1" si="19"/>
        <v>27</v>
      </c>
      <c r="B48" s="77">
        <f t="shared" ca="1" si="20"/>
        <v>10386</v>
      </c>
      <c r="C48" s="853" t="str">
        <f t="shared" ca="1" si="15"/>
        <v/>
      </c>
      <c r="D48" s="76">
        <f t="shared" si="21"/>
        <v>0</v>
      </c>
      <c r="E48" s="855" t="str">
        <f t="shared" ca="1" si="16"/>
        <v/>
      </c>
      <c r="F48" s="899">
        <f t="shared" si="22"/>
        <v>0</v>
      </c>
      <c r="G48" s="897">
        <f t="shared" ca="1" si="6"/>
        <v>40</v>
      </c>
      <c r="H48" s="265" t="s">
        <v>43</v>
      </c>
      <c r="I48" s="38"/>
      <c r="J48" s="585"/>
      <c r="K48" s="586"/>
      <c r="L48" s="587"/>
      <c r="M48" s="857">
        <f ca="1">(IF(COUNT(V48,AA48,AD48,AI48,AJ48,AL48)&lt;5,SUM(V48,AA48,AD48,AI48,AJ48,AL48),SUM(LARGE((V48,AA48,AD48,AI48,AJ48,AL48),{1;2;3;4;5}))))+(IF(COUNT(U48,W48,AB48,AC48,AE48,AK48)&lt;5,SUM(U48,W48,AB48,AC48,AE48,AK48),SUM(LARGE((U48,W48,AB48,AC48,AE48,AK48),{1;2;3;4;5}))))+T48</f>
        <v>386</v>
      </c>
      <c r="N48" s="862">
        <f>IF(I48="n",((IF(COUNT(V48,AA48,AD48,AI48,AJ48,AL48)&lt;5,SUM(V48,AA48,AD48,AI48,AJ48,AL48),SUM(LARGE((V48,AA48,AD48,AI48,AJ48,AL48),{1;2;3;4;5}))))+(IF(COUNT(U48,Y48,AB48,AC48,AG48,AK48)&lt;5,SUM(U48,Y48,AB48,AC48,AG48,AK48),SUM(LARGE((U48,Y48,AB48,AC48,AG48,AK48),{1;2;3;4;5}))))+T48),0)</f>
        <v>0</v>
      </c>
      <c r="O48" s="863">
        <f>IF(J48="j",((IF(COUNT(V48,AA48,AD48,AI48,AJ48,AL48)&lt;5,SUM(V48,AA48,AD48,AI48,AJ48,AL48),SUM(LARGE((V48,AA48,AD48,AI48,AJ48,AL48),{1;2;3;4;5}))))+(IF(COUNT(U48,W48,AB48,AC48,AE48,AK48)&lt;5,SUM(U48,W48,AB48,AC48,AE48,AK48),SUM(LARGE((U48,W48,AB48,AC48,AE48,AK48),{1;2;3;4;5}))))+T48),0)</f>
        <v>0</v>
      </c>
      <c r="P48" s="886" t="str">
        <f t="shared" ca="1" si="23"/>
        <v>386,0</v>
      </c>
      <c r="Q48" s="890">
        <f t="shared" si="24"/>
        <v>163</v>
      </c>
      <c r="R48" s="886" t="str">
        <f t="shared" ca="1" si="25"/>
        <v>0386,0-163</v>
      </c>
      <c r="S48" s="889">
        <f t="shared" ca="1" si="26"/>
        <v>154</v>
      </c>
      <c r="T48" s="847">
        <v>1</v>
      </c>
      <c r="U48" s="75">
        <f>IFERROR(INDEX('1'!C$300:C$400,MATCH("*"&amp;H48&amp;"*",'1'!B$300:B$400,0)),"  ")</f>
        <v>90</v>
      </c>
      <c r="V48" s="199">
        <f>IFERROR(INDEX('2'!C$300:C$400,MATCH("*"&amp;H48&amp;"*",'2'!B$300:B$400,0)),"  ")</f>
        <v>79</v>
      </c>
      <c r="W48" s="199">
        <f ca="1">IF(I48="",IFERROR(INDEX('3M'!C$300:C$400,MATCH("*"&amp;H48&amp;"*",'3M'!B$300:B$400,0)),"  "),IFERROR(INDEX('3N'!D$300:D$400,MATCH("*"&amp;H48&amp;"*",'3N'!B$300:B$400,0)),"  "))</f>
        <v>42</v>
      </c>
      <c r="X48" s="908">
        <f ca="1">IFERROR(INDEX('3M'!C$300:C$400,MATCH("*"&amp;H48&amp;"*",'3M'!B$300:B$400,0)),"  ")</f>
        <v>42</v>
      </c>
      <c r="Y48" s="907" t="str">
        <f ca="1">IFERROR(INDEX('3N'!C$300:C$400,MATCH("*"&amp;H48&amp;"*",'3N'!B$300:B$400,0)),"  ")</f>
        <v xml:space="preserve">  </v>
      </c>
      <c r="Z48" s="440"/>
      <c r="AA48" s="75">
        <f>IFERROR(INDEX('4'!C$300:C$400,MATCH("*"&amp;H48&amp;"*",'4'!B$300:B$400,0)),"  ")</f>
        <v>97</v>
      </c>
      <c r="AB48" s="75" t="str">
        <f>IFERROR(INDEX('5'!C$300:C$400,MATCH("*"&amp;H48&amp;"*",'5'!B$300:B$400,0)),"  ")</f>
        <v xml:space="preserve">  </v>
      </c>
      <c r="AC48" s="75" t="str">
        <f>IFERROR(INDEX('6'!C$300:C$400,MATCH("*"&amp;H48&amp;"*",'6'!B$300:B$400,0)),"  ")</f>
        <v xml:space="preserve">  </v>
      </c>
      <c r="AD48" s="75" t="str">
        <f>IFERROR(INDEX('7'!C$300:C$400,MATCH("*"&amp;H48&amp;"*",'7'!B$300:B$400,0)),"  ")</f>
        <v xml:space="preserve">  </v>
      </c>
      <c r="AE48" s="75" t="str">
        <f>IF(I48="",IFERROR(INDEX('8M'!C$300:C$400,MATCH("*"&amp;H48&amp;"*",'8M'!B$300:B$400,0)),"  "),IFERROR(INDEX('8N'!D$300:D$400,MATCH("*"&amp;H48&amp;"*",'8N'!B$300:B$400,0)),"  "))</f>
        <v xml:space="preserve">  </v>
      </c>
      <c r="AF48" s="908" t="str">
        <f>IFERROR(INDEX('8M'!C$300:C$400,MATCH("*"&amp;H48&amp;"*",'8M'!B$300:B$400,0)),"  ")</f>
        <v xml:space="preserve">  </v>
      </c>
      <c r="AG48" s="907" t="str">
        <f>IFERROR(INDEX('8N'!C$300:C$400,MATCH("*"&amp;H48&amp;"*",'8N'!B$300:B$400,0)),"  ")</f>
        <v xml:space="preserve">  </v>
      </c>
      <c r="AH48" s="440"/>
      <c r="AI48" s="75" t="str">
        <f>IFERROR(INDEX('9'!C$300:C$400,MATCH("*"&amp;H48&amp;"*",'9'!B$300:B$400,0)),"  ")</f>
        <v xml:space="preserve">  </v>
      </c>
      <c r="AJ48" s="830" t="str">
        <f>IFERROR(INDEX('10'!C$300:C$400,MATCH("*"&amp;H48&amp;"*",'10'!B$300:B$400,0)),"  ")</f>
        <v xml:space="preserve">  </v>
      </c>
      <c r="AK48" s="75">
        <f>IFERROR(INDEX('11'!C$300:C$400,MATCH("*"&amp;H48&amp;"*",'11'!B$300:B$400,0)),"  ")</f>
        <v>65</v>
      </c>
      <c r="AL48" s="75">
        <f>IFERROR(INDEX('12'!C$300:C$400,MATCH("*"&amp;H48&amp;"*",'12'!B$300:B$400,0)),"  ")</f>
        <v>12</v>
      </c>
      <c r="AM48" s="26">
        <f t="shared" ca="1" si="27"/>
        <v>6</v>
      </c>
      <c r="AN48" s="579">
        <f t="shared" ca="1" si="28"/>
        <v>1</v>
      </c>
      <c r="AO48" s="580">
        <f t="shared" ca="1" si="29"/>
        <v>0</v>
      </c>
      <c r="AP48" s="27">
        <f t="shared" ca="1" si="30"/>
        <v>0</v>
      </c>
      <c r="AQ48" s="933">
        <f t="shared" si="17"/>
        <v>6.9999999999999999E-4</v>
      </c>
      <c r="AR48" s="933">
        <f t="shared" ca="1" si="18"/>
        <v>5.0000000000000001E-4</v>
      </c>
    </row>
    <row r="49" spans="1:44" x14ac:dyDescent="0.2">
      <c r="A49" s="851">
        <f t="shared" ca="1" si="19"/>
        <v>27</v>
      </c>
      <c r="B49" s="77">
        <f t="shared" ca="1" si="20"/>
        <v>10386</v>
      </c>
      <c r="C49" s="853" t="str">
        <f t="shared" ca="1" si="15"/>
        <v/>
      </c>
      <c r="D49" s="76">
        <f t="shared" si="21"/>
        <v>0</v>
      </c>
      <c r="E49" s="855" t="str">
        <f t="shared" ca="1" si="16"/>
        <v/>
      </c>
      <c r="F49" s="899">
        <f t="shared" si="22"/>
        <v>0</v>
      </c>
      <c r="G49" s="897">
        <f t="shared" ca="1" si="6"/>
        <v>40</v>
      </c>
      <c r="H49" s="133" t="s">
        <v>46</v>
      </c>
      <c r="I49" s="38"/>
      <c r="J49" s="585"/>
      <c r="K49" s="586" t="s">
        <v>718</v>
      </c>
      <c r="L49" s="587"/>
      <c r="M49" s="857">
        <f ca="1">(IF(COUNT(V49,AA49,AD49,AI49,AJ49,AL49)&lt;5,SUM(V49,AA49,AD49,AI49,AJ49,AL49),SUM(LARGE((V49,AA49,AD49,AI49,AJ49,AL49),{1;2;3;4;5}))))+(IF(COUNT(U49,W49,AB49,AC49,AE49,AK49)&lt;5,SUM(U49,W49,AB49,AC49,AE49,AK49),SUM(LARGE((U49,W49,AB49,AC49,AE49,AK49),{1;2;3;4;5}))))+T49</f>
        <v>386</v>
      </c>
      <c r="N49" s="862">
        <f>IF(I49="n",((IF(COUNT(V49,AA49,AD49,AI49,AJ49,AL49)&lt;5,SUM(V49,AA49,AD49,AI49,AJ49,AL49),SUM(LARGE((V49,AA49,AD49,AI49,AJ49,AL49),{1;2;3;4;5}))))+(IF(COUNT(U49,Y49,AB49,AC49,AG49,AK49)&lt;5,SUM(U49,Y49,AB49,AC49,AG49,AK49),SUM(LARGE((U49,Y49,AB49,AC49,AG49,AK49),{1;2;3;4;5}))))+T49),0)</f>
        <v>0</v>
      </c>
      <c r="O49" s="863">
        <f>IF(J49="j",((IF(COUNT(V49,AA49,AD49,AI49,AJ49,AL49)&lt;5,SUM(V49,AA49,AD49,AI49,AJ49,AL49),SUM(LARGE((V49,AA49,AD49,AI49,AJ49,AL49),{1;2;3;4;5}))))+(IF(COUNT(U49,W49,AB49,AC49,AE49,AK49)&lt;5,SUM(U49,W49,AB49,AC49,AE49,AK49),SUM(LARGE((U49,W49,AB49,AC49,AE49,AK49),{1;2;3;4;5}))))+T49),0)</f>
        <v>0</v>
      </c>
      <c r="P49" s="886" t="str">
        <f t="shared" ca="1" si="23"/>
        <v>386,0</v>
      </c>
      <c r="Q49" s="890">
        <f t="shared" si="24"/>
        <v>133</v>
      </c>
      <c r="R49" s="886" t="str">
        <f t="shared" ca="1" si="25"/>
        <v>0386,0-133</v>
      </c>
      <c r="S49" s="889">
        <f t="shared" ca="1" si="26"/>
        <v>153</v>
      </c>
      <c r="T49" s="847">
        <v>1</v>
      </c>
      <c r="U49" s="75" t="str">
        <f>IFERROR(INDEX('1'!C$300:C$400,MATCH("*"&amp;H49&amp;"*",'1'!B$300:B$400,0)),"  ")</f>
        <v xml:space="preserve">  </v>
      </c>
      <c r="V49" s="199">
        <f>IFERROR(INDEX('2'!C$300:C$400,MATCH("*"&amp;H49&amp;"*",'2'!B$300:B$400,0)),"  ")</f>
        <v>64</v>
      </c>
      <c r="W49" s="199" t="str">
        <f ca="1">IF(I49="",IFERROR(INDEX('3M'!C$300:C$400,MATCH("*"&amp;H49&amp;"*",'3M'!B$300:B$400,0)),"  "),IFERROR(INDEX('3N'!D$300:D$400,MATCH("*"&amp;H49&amp;"*",'3N'!B$300:B$400,0)),"  "))</f>
        <v xml:space="preserve">  </v>
      </c>
      <c r="X49" s="908" t="str">
        <f ca="1">IFERROR(INDEX('3M'!C$300:C$400,MATCH("*"&amp;H49&amp;"*",'3M'!B$300:B$400,0)),"  ")</f>
        <v xml:space="preserve">  </v>
      </c>
      <c r="Y49" s="907" t="str">
        <f ca="1">IFERROR(INDEX('3N'!C$300:C$400,MATCH("*"&amp;H49&amp;"*",'3N'!B$300:B$400,0)),"  ")</f>
        <v xml:space="preserve">  </v>
      </c>
      <c r="Z49" s="440"/>
      <c r="AA49" s="75">
        <f>IFERROR(INDEX('4'!C$300:C$400,MATCH("*"&amp;H49&amp;"*",'4'!B$300:B$400,0)),"  ")</f>
        <v>49</v>
      </c>
      <c r="AB49" s="75">
        <f>IFERROR(INDEX('5'!C$300:C$400,MATCH("*"&amp;H49&amp;"*",'5'!B$300:B$400,0)),"  ")</f>
        <v>47</v>
      </c>
      <c r="AC49" s="75" t="str">
        <f>IFERROR(INDEX('6'!C$300:C$400,MATCH("*"&amp;H49&amp;"*",'6'!B$300:B$400,0)),"  ")</f>
        <v xml:space="preserve">  </v>
      </c>
      <c r="AD49" s="75" t="str">
        <f>IFERROR(INDEX('7'!C$300:C$400,MATCH("*"&amp;H49&amp;"*",'7'!B$300:B$400,0)),"  ")</f>
        <v xml:space="preserve">  </v>
      </c>
      <c r="AE49" s="75">
        <f>IF(I49="",IFERROR(INDEX('8M'!C$300:C$400,MATCH("*"&amp;H49&amp;"*",'8M'!B$300:B$400,0)),"  "),IFERROR(INDEX('8N'!D$300:D$400,MATCH("*"&amp;H49&amp;"*",'8N'!B$300:B$400,0)),"  "))</f>
        <v>96</v>
      </c>
      <c r="AF49" s="908">
        <f>IFERROR(INDEX('8M'!C$300:C$400,MATCH("*"&amp;H49&amp;"*",'8M'!B$300:B$400,0)),"  ")</f>
        <v>96</v>
      </c>
      <c r="AG49" s="907" t="str">
        <f>IFERROR(INDEX('8N'!C$300:C$400,MATCH("*"&amp;H49&amp;"*",'8N'!B$300:B$400,0)),"  ")</f>
        <v xml:space="preserve">  </v>
      </c>
      <c r="AH49" s="440"/>
      <c r="AI49" s="75">
        <f>IFERROR(INDEX('9'!C$300:C$400,MATCH("*"&amp;H49&amp;"*",'9'!B$300:B$400,0)),"  ")</f>
        <v>60</v>
      </c>
      <c r="AJ49" s="830">
        <f>IFERROR(INDEX('10'!C$300:C$400,MATCH("*"&amp;H49&amp;"*",'10'!B$300:B$400,0)),"  ")</f>
        <v>69</v>
      </c>
      <c r="AK49" s="75" t="str">
        <f>IFERROR(INDEX('11'!C$300:C$400,MATCH("*"&amp;H49&amp;"*",'11'!B$300:B$400,0)),"  ")</f>
        <v xml:space="preserve">  </v>
      </c>
      <c r="AL49" s="75" t="str">
        <f>IFERROR(INDEX('12'!C$300:C$400,MATCH("*"&amp;H49&amp;"*",'12'!B$300:B$400,0)),"  ")</f>
        <v xml:space="preserve">  </v>
      </c>
      <c r="AM49" s="26">
        <f t="shared" ca="1" si="27"/>
        <v>6</v>
      </c>
      <c r="AN49" s="579">
        <f t="shared" ca="1" si="28"/>
        <v>0</v>
      </c>
      <c r="AO49" s="580">
        <f t="shared" ca="1" si="29"/>
        <v>0</v>
      </c>
      <c r="AP49" s="27">
        <f t="shared" ca="1" si="30"/>
        <v>0</v>
      </c>
      <c r="AQ49" s="933">
        <f t="shared" si="17"/>
        <v>6.9999999999999999E-4</v>
      </c>
      <c r="AR49" s="933">
        <f t="shared" ca="1" si="18"/>
        <v>1E-4</v>
      </c>
    </row>
    <row r="50" spans="1:44" x14ac:dyDescent="0.2">
      <c r="A50" s="851" t="str">
        <f t="shared" ca="1" si="19"/>
        <v/>
      </c>
      <c r="B50" s="77">
        <f t="shared" si="20"/>
        <v>0</v>
      </c>
      <c r="C50" s="853">
        <f t="shared" ca="1" si="15"/>
        <v>12</v>
      </c>
      <c r="D50" s="76">
        <f t="shared" ca="1" si="21"/>
        <v>10493</v>
      </c>
      <c r="E50" s="855" t="str">
        <f t="shared" ca="1" si="16"/>
        <v/>
      </c>
      <c r="F50" s="899">
        <f t="shared" si="22"/>
        <v>0</v>
      </c>
      <c r="G50" s="897">
        <f t="shared" ca="1" si="6"/>
        <v>42</v>
      </c>
      <c r="H50" s="133" t="s">
        <v>204</v>
      </c>
      <c r="I50" s="38" t="s">
        <v>32</v>
      </c>
      <c r="J50" s="585"/>
      <c r="K50" s="586"/>
      <c r="L50" s="587"/>
      <c r="M50" s="857">
        <f ca="1">(IF(COUNT(V50,AA50,AD50,AI50,AJ50,AL50)&lt;5,SUM(V50,AA50,AD50,AI50,AJ50,AL50),SUM(LARGE((V50,AA50,AD50,AI50,AJ50,AL50),{1;2;3;4;5}))))+(IF(COUNT(U50,W50,AB50,AC50,AE50,AK50)&lt;5,SUM(U50,W50,AB50,AC50,AE50,AK50),SUM(LARGE((U50,W50,AB50,AC50,AE50,AK50),{1;2;3;4;5}))))+T50</f>
        <v>371</v>
      </c>
      <c r="N50" s="862">
        <f ca="1">IF(I50="n",((IF(COUNT(V50,AA50,AD50,AI50,AJ50,AL50)&lt;5,SUM(V50,AA50,AD50,AI50,AJ50,AL50),SUM(LARGE((V50,AA50,AD50,AI50,AJ50,AL50),{1;2;3;4;5}))))+(IF(COUNT(U50,Y50,AB50,AC50,AG50,AK50)&lt;5,SUM(U50,Y50,AB50,AC50,AG50,AK50),SUM(LARGE((U50,Y50,AB50,AC50,AG50,AK50),{1;2;3;4;5}))))+T50),0)</f>
        <v>493</v>
      </c>
      <c r="O50" s="863">
        <f>IF(J50="j",((IF(COUNT(V50,AA50,AD50,AI50,AJ50,AL50)&lt;5,SUM(V50,AA50,AD50,AI50,AJ50,AL50),SUM(LARGE((V50,AA50,AD50,AI50,AJ50,AL50),{1;2;3;4;5}))))+(IF(COUNT(U50,W50,AB50,AC50,AE50,AK50)&lt;5,SUM(U50,W50,AB50,AC50,AE50,AK50),SUM(LARGE((U50,W50,AB50,AC50,AE50,AK50),{1;2;3;4;5}))))+T50),0)</f>
        <v>0</v>
      </c>
      <c r="P50" s="886" t="str">
        <f t="shared" ca="1" si="23"/>
        <v>371,0</v>
      </c>
      <c r="Q50" s="890">
        <f t="shared" si="24"/>
        <v>77</v>
      </c>
      <c r="R50" s="886" t="str">
        <f t="shared" ca="1" si="25"/>
        <v>0371,0-077</v>
      </c>
      <c r="S50" s="889">
        <f t="shared" ca="1" si="26"/>
        <v>152</v>
      </c>
      <c r="T50" s="847">
        <v>1</v>
      </c>
      <c r="U50" s="75">
        <f>IFERROR(INDEX('1'!C$300:C$400,MATCH("*"&amp;H50&amp;"*",'1'!B$300:B$400,0)),"  ")</f>
        <v>51</v>
      </c>
      <c r="V50" s="199">
        <f>IFERROR(INDEX('2'!C$300:C$400,MATCH("*"&amp;H50&amp;"*",'2'!B$300:B$400,0)),"  ")</f>
        <v>90</v>
      </c>
      <c r="W50" s="199">
        <f ca="1">IF(I50="",IFERROR(INDEX('3M'!C$300:C$400,MATCH("*"&amp;H50&amp;"*",'3M'!B$300:B$400,0)),"  "),IFERROR(INDEX('3N'!D$300:D$400,MATCH("*"&amp;H50&amp;"*",'3N'!B$300:B$400,0)),"  "))</f>
        <v>50</v>
      </c>
      <c r="X50" s="908" t="str">
        <f ca="1">IFERROR(INDEX('3M'!C$300:C$400,MATCH("*"&amp;H50&amp;"*",'3M'!B$300:B$400,0)),"  ")</f>
        <v xml:space="preserve">  </v>
      </c>
      <c r="Y50" s="907">
        <f ca="1">IFERROR(INDEX('3N'!C$300:C$400,MATCH("*"&amp;H50&amp;"*",'3N'!B$300:B$400,0)),"  ")</f>
        <v>111</v>
      </c>
      <c r="Z50" s="440"/>
      <c r="AA50" s="75">
        <f>IFERROR(INDEX('4'!C$300:C$400,MATCH("*"&amp;H50&amp;"*",'4'!B$300:B$400,0)),"  ")</f>
        <v>69</v>
      </c>
      <c r="AB50" s="75">
        <f>IFERROR(INDEX('5'!C$300:C$400,MATCH("*"&amp;H50&amp;"*",'5'!B$300:B$400,0)),"  ")</f>
        <v>60</v>
      </c>
      <c r="AC50" s="75" t="str">
        <f>IFERROR(INDEX('6'!C$300:C$400,MATCH("*"&amp;H50&amp;"*",'6'!B$300:B$400,0)),"  ")</f>
        <v xml:space="preserve">  </v>
      </c>
      <c r="AD50" s="75" t="str">
        <f>IFERROR(INDEX('7'!C$300:C$400,MATCH("*"&amp;H50&amp;"*",'7'!B$300:B$400,0)),"  ")</f>
        <v xml:space="preserve">  </v>
      </c>
      <c r="AE50" s="75">
        <f>IF(I50="",IFERROR(INDEX('8M'!C$300:C$400,MATCH("*"&amp;H50&amp;"*",'8M'!B$300:B$400,0)),"  "),IFERROR(INDEX('8N'!D$300:D$400,MATCH("*"&amp;H50&amp;"*",'8N'!B$300:B$400,0)),"  "))</f>
        <v>50</v>
      </c>
      <c r="AF50" s="908" t="str">
        <f>IFERROR(INDEX('8M'!C$300:C$400,MATCH("*"&amp;H50&amp;"*",'8M'!B$300:B$400,0)),"  ")</f>
        <v xml:space="preserve">  </v>
      </c>
      <c r="AG50" s="907">
        <f>IFERROR(INDEX('8N'!C$300:C$400,MATCH("*"&amp;H50&amp;"*",'8N'!B$300:B$400,0)),"  ")</f>
        <v>111</v>
      </c>
      <c r="AH50" s="440"/>
      <c r="AI50" s="75" t="str">
        <f>IFERROR(INDEX('9'!C$300:C$400,MATCH("*"&amp;H50&amp;"*",'9'!B$300:B$400,0)),"  ")</f>
        <v xml:space="preserve">  </v>
      </c>
      <c r="AJ50" s="830" t="str">
        <f>IFERROR(INDEX('10'!C$300:C$400,MATCH("*"&amp;H50&amp;"*",'10'!B$300:B$400,0)),"  ")</f>
        <v xml:space="preserve">  </v>
      </c>
      <c r="AK50" s="75" t="str">
        <f>IFERROR(INDEX('11'!C$300:C$400,MATCH("*"&amp;H50&amp;"*",'11'!B$300:B$400,0)),"  ")</f>
        <v xml:space="preserve">  </v>
      </c>
      <c r="AL50" s="75" t="str">
        <f>IFERROR(INDEX('12'!C$300:C$400,MATCH("*"&amp;H50&amp;"*",'12'!B$300:B$400,0)),"  ")</f>
        <v xml:space="preserve">  </v>
      </c>
      <c r="AM50" s="26">
        <f t="shared" ca="1" si="27"/>
        <v>6</v>
      </c>
      <c r="AN50" s="579">
        <f t="shared" ca="1" si="28"/>
        <v>0</v>
      </c>
      <c r="AO50" s="580">
        <f t="shared" ca="1" si="29"/>
        <v>0</v>
      </c>
      <c r="AP50" s="27">
        <f t="shared" ca="1" si="30"/>
        <v>0</v>
      </c>
      <c r="AQ50" s="933">
        <f t="shared" si="17"/>
        <v>6.9999999999999999E-4</v>
      </c>
      <c r="AR50" s="933">
        <f t="shared" ca="1" si="18"/>
        <v>5.9999999999999995E-4</v>
      </c>
    </row>
    <row r="51" spans="1:44" x14ac:dyDescent="0.2">
      <c r="A51" s="851" t="str">
        <f t="shared" ca="1" si="19"/>
        <v/>
      </c>
      <c r="B51" s="77">
        <f t="shared" si="20"/>
        <v>0</v>
      </c>
      <c r="C51" s="853">
        <f t="shared" ca="1" si="15"/>
        <v>15</v>
      </c>
      <c r="D51" s="76">
        <f t="shared" ca="1" si="21"/>
        <v>10361</v>
      </c>
      <c r="E51" s="855" t="str">
        <f t="shared" ca="1" si="16"/>
        <v/>
      </c>
      <c r="F51" s="899">
        <f t="shared" si="22"/>
        <v>0</v>
      </c>
      <c r="G51" s="897">
        <f t="shared" ca="1" si="6"/>
        <v>43</v>
      </c>
      <c r="H51" s="139" t="s">
        <v>58</v>
      </c>
      <c r="I51" s="38" t="s">
        <v>32</v>
      </c>
      <c r="J51" s="585"/>
      <c r="K51" s="586"/>
      <c r="L51" s="587"/>
      <c r="M51" s="857">
        <f ca="1">(IF(COUNT(V51,AA51,AD51,AI51,AJ51,AL51)&lt;5,SUM(V51,AA51,AD51,AI51,AJ51,AL51),SUM(LARGE((V51,AA51,AD51,AI51,AJ51,AL51),{1;2;3;4;5}))))+(IF(COUNT(U51,W51,AB51,AC51,AE51,AK51)&lt;5,SUM(U51,W51,AB51,AC51,AE51,AK51),SUM(LARGE((U51,W51,AB51,AC51,AE51,AK51),{1;2;3;4;5}))))+T51</f>
        <v>361</v>
      </c>
      <c r="N51" s="862">
        <f ca="1">IF(I51="n",((IF(COUNT(V51,AA51,AD51,AI51,AJ51,AL51)&lt;5,SUM(V51,AA51,AD51,AI51,AJ51,AL51),SUM(LARGE((V51,AA51,AD51,AI51,AJ51,AL51),{1;2;3;4;5}))))+(IF(COUNT(U51,Y51,AB51,AC51,AG51,AK51)&lt;5,SUM(U51,Y51,AB51,AC51,AG51,AK51),SUM(LARGE((U51,Y51,AB51,AC51,AG51,AK51),{1;2;3;4;5}))))+T51),0)</f>
        <v>361</v>
      </c>
      <c r="O51" s="863">
        <f>IF(J51="j",((IF(COUNT(V51,AA51,AD51,AI51,AJ51,AL51)&lt;5,SUM(V51,AA51,AD51,AI51,AJ51,AL51),SUM(LARGE((V51,AA51,AD51,AI51,AJ51,AL51),{1;2;3;4;5}))))+(IF(COUNT(U51,W51,AB51,AC51,AE51,AK51)&lt;5,SUM(U51,W51,AB51,AC51,AE51,AK51),SUM(LARGE((U51,W51,AB51,AC51,AE51,AK51),{1;2;3;4;5}))))+T51),0)</f>
        <v>0</v>
      </c>
      <c r="P51" s="886" t="str">
        <f t="shared" ca="1" si="23"/>
        <v>361,0</v>
      </c>
      <c r="Q51" s="890">
        <f t="shared" si="24"/>
        <v>121</v>
      </c>
      <c r="R51" s="886" t="str">
        <f t="shared" ca="1" si="25"/>
        <v>0361,0-121</v>
      </c>
      <c r="S51" s="889">
        <f t="shared" ca="1" si="26"/>
        <v>151</v>
      </c>
      <c r="T51" s="849">
        <v>2</v>
      </c>
      <c r="U51" s="75">
        <f>IFERROR(INDEX('1'!C$300:C$400,MATCH("*"&amp;H51&amp;"*",'1'!B$300:B$400,0)),"  ")</f>
        <v>56</v>
      </c>
      <c r="V51" s="199">
        <f>IFERROR(INDEX('2'!C$300:C$400,MATCH("*"&amp;H51&amp;"*",'2'!B$300:B$400,0)),"  ")</f>
        <v>105</v>
      </c>
      <c r="W51" s="199" t="str">
        <f ca="1">IF(I51="",IFERROR(INDEX('3M'!C$300:C$400,MATCH("*"&amp;H51&amp;"*",'3M'!B$300:B$400,0)),"  "),IFERROR(INDEX('3N'!D$300:D$400,MATCH("*"&amp;H51&amp;"*",'3N'!B$300:B$400,0)),"  "))</f>
        <v xml:space="preserve">  </v>
      </c>
      <c r="X51" s="908" t="str">
        <f ca="1">IFERROR(INDEX('3M'!C$300:C$400,MATCH("*"&amp;H51&amp;"*",'3M'!B$300:B$400,0)),"  ")</f>
        <v xml:space="preserve">  </v>
      </c>
      <c r="Y51" s="907" t="str">
        <f ca="1">IFERROR(INDEX('3N'!C$300:C$400,MATCH("*"&amp;H51&amp;"*",'3N'!B$300:B$400,0)),"  ")</f>
        <v xml:space="preserve">  </v>
      </c>
      <c r="Z51" s="440"/>
      <c r="AA51" s="75" t="str">
        <f>IFERROR(INDEX('4'!C$300:C$400,MATCH("*"&amp;H51&amp;"*",'4'!B$300:B$400,0)),"  ")</f>
        <v xml:space="preserve">  </v>
      </c>
      <c r="AB51" s="75" t="str">
        <f>IFERROR(INDEX('5'!C$300:C$400,MATCH("*"&amp;H51&amp;"*",'5'!B$300:B$400,0)),"  ")</f>
        <v xml:space="preserve">  </v>
      </c>
      <c r="AC51" s="75">
        <f>IFERROR(INDEX('6'!C$300:C$400,MATCH("*"&amp;H51&amp;"*",'6'!B$300:B$400,0)),"  ")</f>
        <v>119</v>
      </c>
      <c r="AD51" s="75">
        <f>IFERROR(INDEX('7'!C$300:C$400,MATCH("*"&amp;H51&amp;"*",'7'!B$300:B$400,0)),"  ")</f>
        <v>79</v>
      </c>
      <c r="AE51" s="75" t="str">
        <f>IF(I51="",IFERROR(INDEX('8M'!C$300:C$400,MATCH("*"&amp;H51&amp;"*",'8M'!B$300:B$400,0)),"  "),IFERROR(INDEX('8N'!D$300:D$400,MATCH("*"&amp;H51&amp;"*",'8N'!B$300:B$400,0)),"  "))</f>
        <v xml:space="preserve">  </v>
      </c>
      <c r="AF51" s="908" t="str">
        <f>IFERROR(INDEX('8M'!C$300:C$400,MATCH("*"&amp;H51&amp;"*",'8M'!B$300:B$400,0)),"  ")</f>
        <v xml:space="preserve">  </v>
      </c>
      <c r="AG51" s="907" t="str">
        <f>IFERROR(INDEX('8N'!C$300:C$400,MATCH("*"&amp;H51&amp;"*",'8N'!B$300:B$400,0)),"  ")</f>
        <v xml:space="preserve">  </v>
      </c>
      <c r="AH51" s="440"/>
      <c r="AI51" s="75" t="str">
        <f>IFERROR(INDEX('9'!C$300:C$400,MATCH("*"&amp;H51&amp;"*",'9'!B$300:B$400,0)),"  ")</f>
        <v xml:space="preserve">  </v>
      </c>
      <c r="AJ51" s="830" t="str">
        <f>IFERROR(INDEX('10'!C$300:C$400,MATCH("*"&amp;H51&amp;"*",'10'!B$300:B$400,0)),"  ")</f>
        <v xml:space="preserve">  </v>
      </c>
      <c r="AK51" s="75" t="str">
        <f>IFERROR(INDEX('11'!C$300:C$400,MATCH("*"&amp;H51&amp;"*",'11'!B$300:B$400,0)),"  ")</f>
        <v xml:space="preserve">  </v>
      </c>
      <c r="AL51" s="75" t="str">
        <f>IFERROR(INDEX('12'!C$300:C$400,MATCH("*"&amp;H51&amp;"*",'12'!B$300:B$400,0)),"  ")</f>
        <v xml:space="preserve">  </v>
      </c>
      <c r="AM51" s="26">
        <f t="shared" ca="1" si="27"/>
        <v>4</v>
      </c>
      <c r="AN51" s="579">
        <f t="shared" ca="1" si="28"/>
        <v>1</v>
      </c>
      <c r="AO51" s="580">
        <f t="shared" ca="1" si="29"/>
        <v>0</v>
      </c>
      <c r="AP51" s="27">
        <f t="shared" ca="1" si="30"/>
        <v>0</v>
      </c>
      <c r="AQ51" s="933">
        <f t="shared" si="17"/>
        <v>4.0000000000000002E-4</v>
      </c>
      <c r="AR51" s="933">
        <f t="shared" ca="1" si="18"/>
        <v>2.9999999999999997E-4</v>
      </c>
    </row>
    <row r="52" spans="1:44" x14ac:dyDescent="0.2">
      <c r="A52" s="851">
        <f t="shared" ca="1" si="19"/>
        <v>29</v>
      </c>
      <c r="B52" s="77">
        <f t="shared" ca="1" si="20"/>
        <v>10345</v>
      </c>
      <c r="C52" s="853" t="str">
        <f t="shared" ca="1" si="15"/>
        <v/>
      </c>
      <c r="D52" s="76">
        <f t="shared" si="21"/>
        <v>0</v>
      </c>
      <c r="E52" s="855" t="str">
        <f t="shared" ca="1" si="16"/>
        <v/>
      </c>
      <c r="F52" s="899">
        <f t="shared" si="22"/>
        <v>0</v>
      </c>
      <c r="G52" s="897">
        <f t="shared" ca="1" si="6"/>
        <v>44</v>
      </c>
      <c r="H52" s="177" t="s">
        <v>851</v>
      </c>
      <c r="I52" s="38"/>
      <c r="J52" s="585"/>
      <c r="K52" s="586" t="s">
        <v>718</v>
      </c>
      <c r="L52" s="588"/>
      <c r="M52" s="857">
        <f ca="1">(IF(COUNT(V52,AA52,AD52,AI52,AJ52,AL52)&lt;5,SUM(V52,AA52,AD52,AI52,AJ52,AL52),SUM(LARGE((V52,AA52,AD52,AI52,AJ52,AL52),{1;2;3;4;5}))))+(IF(COUNT(U52,W52,AB52,AC52,AE52,AK52)&lt;5,SUM(U52,W52,AB52,AC52,AE52,AK52),SUM(LARGE((U52,W52,AB52,AC52,AE52,AK52),{1;2;3;4;5}))))+T52</f>
        <v>345</v>
      </c>
      <c r="N52" s="862">
        <f>IF(I52="n",((IF(COUNT(V52,AA52,AD52,AI52,AJ52,AL52)&lt;5,SUM(V52,AA52,AD52,AI52,AJ52,AL52),SUM(LARGE((V52,AA52,AD52,AI52,AJ52,AL52),{1;2;3;4;5}))))+(IF(COUNT(U52,Y52,AB52,AC52,AG52,AK52)&lt;5,SUM(U52,Y52,AB52,AC52,AG52,AK52),SUM(LARGE((U52,Y52,AB52,AC52,AG52,AK52),{1;2;3;4;5}))))+T52),0)</f>
        <v>0</v>
      </c>
      <c r="O52" s="863">
        <f>IF(J52="j",((IF(COUNT(V52,AA52,AD52,AI52,AJ52,AL52)&lt;5,SUM(V52,AA52,AD52,AI52,AJ52,AL52),SUM(LARGE((V52,AA52,AD52,AI52,AJ52,AL52),{1;2;3;4;5}))))+(IF(COUNT(U52,W52,AB52,AC52,AE52,AK52)&lt;5,SUM(U52,W52,AB52,AC52,AE52,AK52),SUM(LARGE((U52,W52,AB52,AC52,AE52,AK52),{1;2;3;4;5}))))+T52),0)</f>
        <v>0</v>
      </c>
      <c r="P52" s="886" t="str">
        <f t="shared" ca="1" si="23"/>
        <v>345,0</v>
      </c>
      <c r="Q52" s="890">
        <f t="shared" si="24"/>
        <v>25</v>
      </c>
      <c r="R52" s="886" t="str">
        <f t="shared" ca="1" si="25"/>
        <v>0345,0-025</v>
      </c>
      <c r="S52" s="889">
        <f t="shared" ca="1" si="26"/>
        <v>150</v>
      </c>
      <c r="T52" s="847"/>
      <c r="U52" s="75" t="str">
        <f>IFERROR(INDEX('1'!C$300:C$400,MATCH("*"&amp;H52&amp;"*",'1'!B$300:B$400,0)),"  ")</f>
        <v xml:space="preserve">  </v>
      </c>
      <c r="V52" s="199" t="str">
        <f>IFERROR(INDEX('2'!C$300:C$400,MATCH("*"&amp;H52&amp;"*",'2'!B$300:B$400,0)),"  ")</f>
        <v xml:space="preserve">  </v>
      </c>
      <c r="W52" s="199" t="str">
        <f ca="1">IF(I52="",IFERROR(INDEX('3M'!C$300:C$400,MATCH("*"&amp;H52&amp;"*",'3M'!B$300:B$400,0)),"  "),IFERROR(INDEX('3N'!D$300:D$400,MATCH("*"&amp;H52&amp;"*",'3N'!B$300:B$400,0)),"  "))</f>
        <v xml:space="preserve">  </v>
      </c>
      <c r="X52" s="908" t="str">
        <f ca="1">IFERROR(INDEX('3M'!C$300:C$400,MATCH("*"&amp;H52&amp;"*",'3M'!B$300:B$400,0)),"  ")</f>
        <v xml:space="preserve">  </v>
      </c>
      <c r="Y52" s="907" t="str">
        <f ca="1">IFERROR(INDEX('3N'!C$300:C$400,MATCH("*"&amp;H52&amp;"*",'3N'!B$300:B$400,0)),"  ")</f>
        <v xml:space="preserve">  </v>
      </c>
      <c r="Z52" s="440"/>
      <c r="AA52" s="75" t="str">
        <f>IFERROR(INDEX('4'!C$300:C$400,MATCH("*"&amp;H52&amp;"*",'4'!B$300:B$400,0)),"  ")</f>
        <v xml:space="preserve">  </v>
      </c>
      <c r="AB52" s="75" t="str">
        <f>IFERROR(INDEX('5'!C$300:C$400,MATCH("*"&amp;H52&amp;"*",'5'!B$300:B$400,0)),"  ")</f>
        <v xml:space="preserve">  </v>
      </c>
      <c r="AC52" s="75" t="str">
        <f>IFERROR(INDEX('6'!C$300:C$400,MATCH("*"&amp;H52&amp;"*",'6'!B$300:B$400,0)),"  ")</f>
        <v xml:space="preserve">  </v>
      </c>
      <c r="AD52" s="75">
        <f>IFERROR(INDEX('7'!C$300:C$400,MATCH("*"&amp;H52&amp;"*",'7'!B$300:B$400,0)),"  ")</f>
        <v>115</v>
      </c>
      <c r="AE52" s="75" t="str">
        <f>IF(I52="",IFERROR(INDEX('8M'!C$300:C$400,MATCH("*"&amp;H52&amp;"*",'8M'!B$300:B$400,0)),"  "),IFERROR(INDEX('8N'!D$300:D$400,MATCH("*"&amp;H52&amp;"*",'8N'!B$300:B$400,0)),"  "))</f>
        <v xml:space="preserve">  </v>
      </c>
      <c r="AF52" s="908" t="str">
        <f>IFERROR(INDEX('8M'!C$300:C$400,MATCH("*"&amp;H52&amp;"*",'8M'!B$300:B$400,0)),"  ")</f>
        <v xml:space="preserve">  </v>
      </c>
      <c r="AG52" s="907" t="str">
        <f>IFERROR(INDEX('8N'!C$300:C$400,MATCH("*"&amp;H52&amp;"*",'8N'!B$300:B$400,0)),"  ")</f>
        <v xml:space="preserve">  </v>
      </c>
      <c r="AH52" s="440"/>
      <c r="AI52" s="75">
        <f>IFERROR(INDEX('9'!C$300:C$400,MATCH("*"&amp;H52&amp;"*",'9'!B$300:B$400,0)),"  ")</f>
        <v>115</v>
      </c>
      <c r="AJ52" s="830" t="str">
        <f>IFERROR(INDEX('10'!C$300:C$400,MATCH("*"&amp;H52&amp;"*",'10'!B$300:B$400,0)),"  ")</f>
        <v xml:space="preserve">  </v>
      </c>
      <c r="AK52" s="75" t="str">
        <f>IFERROR(INDEX('11'!C$300:C$400,MATCH("*"&amp;H52&amp;"*",'11'!B$300:B$400,0)),"  ")</f>
        <v xml:space="preserve">  </v>
      </c>
      <c r="AL52" s="75">
        <f>IFERROR(INDEX('12'!C$300:C$400,MATCH("*"&amp;H52&amp;"*",'12'!B$300:B$400,0)),"  ")</f>
        <v>115</v>
      </c>
      <c r="AM52" s="26">
        <f t="shared" ca="1" si="27"/>
        <v>3</v>
      </c>
      <c r="AN52" s="579">
        <f t="shared" ca="1" si="28"/>
        <v>3</v>
      </c>
      <c r="AO52" s="580">
        <f t="shared" ca="1" si="29"/>
        <v>3</v>
      </c>
      <c r="AP52" s="27">
        <f t="shared" ca="1" si="30"/>
        <v>0</v>
      </c>
      <c r="AQ52" s="933">
        <f t="shared" si="17"/>
        <v>2.0000000000000001E-4</v>
      </c>
      <c r="AR52" s="933">
        <f t="shared" ca="1" si="18"/>
        <v>1E-4</v>
      </c>
    </row>
    <row r="53" spans="1:44" x14ac:dyDescent="0.2">
      <c r="A53" s="851">
        <f t="shared" ca="1" si="19"/>
        <v>30</v>
      </c>
      <c r="B53" s="77">
        <f t="shared" ca="1" si="20"/>
        <v>10332.5</v>
      </c>
      <c r="C53" s="853" t="str">
        <f t="shared" ca="1" si="15"/>
        <v/>
      </c>
      <c r="D53" s="76">
        <f t="shared" si="21"/>
        <v>0</v>
      </c>
      <c r="E53" s="855" t="str">
        <f t="shared" ca="1" si="16"/>
        <v/>
      </c>
      <c r="F53" s="899">
        <f t="shared" si="22"/>
        <v>0</v>
      </c>
      <c r="G53" s="897">
        <f t="shared" ca="1" si="6"/>
        <v>45</v>
      </c>
      <c r="H53" s="133" t="s">
        <v>172</v>
      </c>
      <c r="I53" s="38"/>
      <c r="J53" s="585"/>
      <c r="K53" s="586"/>
      <c r="L53" s="587"/>
      <c r="M53" s="857">
        <f ca="1">(IF(COUNT(V53,AA53,AD53,AI53,AJ53,AL53)&lt;5,SUM(V53,AA53,AD53,AI53,AJ53,AL53),SUM(LARGE((V53,AA53,AD53,AI53,AJ53,AL53),{1;2;3;4;5}))))+(IF(COUNT(U53,W53,AB53,AC53,AE53,AK53)&lt;5,SUM(U53,W53,AB53,AC53,AE53,AK53),SUM(LARGE((U53,W53,AB53,AC53,AE53,AK53),{1;2;3;4;5}))))+T53</f>
        <v>332.5</v>
      </c>
      <c r="N53" s="862">
        <f>IF(I53="n",((IF(COUNT(V53,AA53,AD53,AI53,AJ53,AL53)&lt;5,SUM(V53,AA53,AD53,AI53,AJ53,AL53),SUM(LARGE((V53,AA53,AD53,AI53,AJ53,AL53),{1;2;3;4;5}))))+(IF(COUNT(U53,Y53,AB53,AC53,AG53,AK53)&lt;5,SUM(U53,Y53,AB53,AC53,AG53,AK53),SUM(LARGE((U53,Y53,AB53,AC53,AG53,AK53),{1;2;3;4;5}))))+T53),0)</f>
        <v>0</v>
      </c>
      <c r="O53" s="863">
        <f>IF(J53="j",((IF(COUNT(V53,AA53,AD53,AI53,AJ53,AL53)&lt;5,SUM(V53,AA53,AD53,AI53,AJ53,AL53),SUM(LARGE((V53,AA53,AD53,AI53,AJ53,AL53),{1;2;3;4;5}))))+(IF(COUNT(U53,W53,AB53,AC53,AE53,AK53)&lt;5,SUM(U53,W53,AB53,AC53,AE53,AK53),SUM(LARGE((U53,W53,AB53,AC53,AE53,AK53),{1;2;3;4;5}))))+T53),0)</f>
        <v>0</v>
      </c>
      <c r="P53" s="886" t="str">
        <f t="shared" ca="1" si="23"/>
        <v>332,5</v>
      </c>
      <c r="Q53" s="890">
        <f t="shared" si="24"/>
        <v>94</v>
      </c>
      <c r="R53" s="886" t="str">
        <f t="shared" ca="1" si="25"/>
        <v>0332,5-094</v>
      </c>
      <c r="S53" s="889">
        <f t="shared" ca="1" si="26"/>
        <v>149</v>
      </c>
      <c r="T53" s="849">
        <v>29.5</v>
      </c>
      <c r="U53" s="75" t="str">
        <f>IFERROR(INDEX('1'!C$300:C$400,MATCH("*"&amp;H53&amp;"*",'1'!B$300:B$400,0)),"  ")</f>
        <v xml:space="preserve">  </v>
      </c>
      <c r="V53" s="199">
        <f>IFERROR(INDEX('2'!C$300:C$400,MATCH("*"&amp;H53&amp;"*",'2'!B$300:B$400,0)),"  ")</f>
        <v>60</v>
      </c>
      <c r="W53" s="199" t="str">
        <f ca="1">IF(I53="",IFERROR(INDEX('3M'!C$300:C$400,MATCH("*"&amp;H53&amp;"*",'3M'!B$300:B$400,0)),"  "),IFERROR(INDEX('3N'!D$300:D$400,MATCH("*"&amp;H53&amp;"*",'3N'!B$300:B$400,0)),"  "))</f>
        <v xml:space="preserve">  </v>
      </c>
      <c r="X53" s="908" t="str">
        <f ca="1">IFERROR(INDEX('3M'!C$300:C$400,MATCH("*"&amp;H53&amp;"*",'3M'!B$300:B$400,0)),"  ")</f>
        <v xml:space="preserve">  </v>
      </c>
      <c r="Y53" s="907" t="str">
        <f ca="1">IFERROR(INDEX('3N'!C$300:C$400,MATCH("*"&amp;H53&amp;"*",'3N'!B$300:B$400,0)),"  ")</f>
        <v xml:space="preserve">  </v>
      </c>
      <c r="Z53" s="440"/>
      <c r="AA53" s="75" t="str">
        <f>IFERROR(INDEX('4'!C$300:C$400,MATCH("*"&amp;H53&amp;"*",'4'!B$300:B$400,0)),"  ")</f>
        <v xml:space="preserve">  </v>
      </c>
      <c r="AB53" s="75">
        <f>IFERROR(INDEX('5'!C$300:C$400,MATCH("*"&amp;H53&amp;"*",'5'!B$300:B$400,0)),"  ")</f>
        <v>42</v>
      </c>
      <c r="AC53" s="75" t="str">
        <f>IFERROR(INDEX('6'!C$300:C$400,MATCH("*"&amp;H53&amp;"*",'6'!B$300:B$400,0)),"  ")</f>
        <v xml:space="preserve">  </v>
      </c>
      <c r="AD53" s="75" t="str">
        <f>IFERROR(INDEX('7'!C$300:C$400,MATCH("*"&amp;H53&amp;"*",'7'!B$300:B$400,0)),"  ")</f>
        <v xml:space="preserve">  </v>
      </c>
      <c r="AE53" s="75">
        <f>IF(I53="",IFERROR(INDEX('8M'!C$300:C$400,MATCH("*"&amp;H53&amp;"*",'8M'!B$300:B$400,0)),"  "),IFERROR(INDEX('8N'!D$300:D$400,MATCH("*"&amp;H53&amp;"*",'8N'!B$300:B$400,0)),"  "))</f>
        <v>51</v>
      </c>
      <c r="AF53" s="908">
        <f>IFERROR(INDEX('8M'!C$300:C$400,MATCH("*"&amp;H53&amp;"*",'8M'!B$300:B$400,0)),"  ")</f>
        <v>51</v>
      </c>
      <c r="AG53" s="907" t="str">
        <f>IFERROR(INDEX('8N'!C$300:C$400,MATCH("*"&amp;H53&amp;"*",'8N'!B$300:B$400,0)),"  ")</f>
        <v xml:space="preserve">  </v>
      </c>
      <c r="AH53" s="440"/>
      <c r="AI53" s="75" t="str">
        <f>IFERROR(INDEX('9'!C$300:C$400,MATCH("*"&amp;H53&amp;"*",'9'!B$300:B$400,0)),"  ")</f>
        <v xml:space="preserve">  </v>
      </c>
      <c r="AJ53" s="830" t="str">
        <f>IFERROR(INDEX('10'!C$300:C$400,MATCH("*"&amp;H53&amp;"*",'10'!B$300:B$400,0)),"  ")</f>
        <v xml:space="preserve">  </v>
      </c>
      <c r="AK53" s="75">
        <f>IFERROR(INDEX('11'!C$300:C$400,MATCH("*"&amp;H53&amp;"*",'11'!B$300:B$400,0)),"  ")</f>
        <v>60</v>
      </c>
      <c r="AL53" s="75">
        <f>IFERROR(INDEX('12'!C$300:C$400,MATCH("*"&amp;H53&amp;"*",'12'!B$300:B$400,0)),"  ")</f>
        <v>90</v>
      </c>
      <c r="AM53" s="26">
        <f t="shared" ca="1" si="27"/>
        <v>5</v>
      </c>
      <c r="AN53" s="579">
        <f t="shared" ca="1" si="28"/>
        <v>0</v>
      </c>
      <c r="AO53" s="580">
        <f t="shared" ca="1" si="29"/>
        <v>0</v>
      </c>
      <c r="AP53" s="27">
        <f t="shared" ca="1" si="30"/>
        <v>0</v>
      </c>
      <c r="AQ53" s="933">
        <f t="shared" si="17"/>
        <v>4.0000000000000002E-4</v>
      </c>
      <c r="AR53" s="933">
        <f t="shared" ca="1" si="18"/>
        <v>1E-4</v>
      </c>
    </row>
    <row r="54" spans="1:44" x14ac:dyDescent="0.2">
      <c r="A54" s="851">
        <f t="shared" ca="1" si="19"/>
        <v>31</v>
      </c>
      <c r="B54" s="77">
        <f t="shared" ca="1" si="20"/>
        <v>10320.5</v>
      </c>
      <c r="C54" s="853" t="str">
        <f t="shared" ca="1" si="15"/>
        <v/>
      </c>
      <c r="D54" s="76">
        <f t="shared" si="21"/>
        <v>0</v>
      </c>
      <c r="E54" s="855" t="str">
        <f t="shared" ca="1" si="16"/>
        <v/>
      </c>
      <c r="F54" s="899">
        <f t="shared" si="22"/>
        <v>0</v>
      </c>
      <c r="G54" s="897">
        <f t="shared" ca="1" si="6"/>
        <v>46</v>
      </c>
      <c r="H54" s="133" t="s">
        <v>169</v>
      </c>
      <c r="I54" s="38"/>
      <c r="J54" s="585"/>
      <c r="K54" s="586" t="s">
        <v>718</v>
      </c>
      <c r="L54" s="587"/>
      <c r="M54" s="857">
        <f ca="1">(IF(COUNT(V54,AA54,AD54,AI54,AJ54,AL54)&lt;5,SUM(V54,AA54,AD54,AI54,AJ54,AL54),SUM(LARGE((V54,AA54,AD54,AI54,AJ54,AL54),{1;2;3;4;5}))))+(IF(COUNT(U54,W54,AB54,AC54,AE54,AK54)&lt;5,SUM(U54,W54,AB54,AC54,AE54,AK54),SUM(LARGE((U54,W54,AB54,AC54,AE54,AK54),{1;2;3;4;5}))))+T54</f>
        <v>320.5</v>
      </c>
      <c r="N54" s="862">
        <f>IF(I54="n",((IF(COUNT(V54,AA54,AD54,AI54,AJ54,AL54)&lt;5,SUM(V54,AA54,AD54,AI54,AJ54,AL54),SUM(LARGE((V54,AA54,AD54,AI54,AJ54,AL54),{1;2;3;4;5}))))+(IF(COUNT(U54,Y54,AB54,AC54,AG54,AK54)&lt;5,SUM(U54,Y54,AB54,AC54,AG54,AK54),SUM(LARGE((U54,Y54,AB54,AC54,AG54,AK54),{1;2;3;4;5}))))+T54),0)</f>
        <v>0</v>
      </c>
      <c r="O54" s="863">
        <f>IF(J54="j",((IF(COUNT(V54,AA54,AD54,AI54,AJ54,AL54)&lt;5,SUM(V54,AA54,AD54,AI54,AJ54,AL54),SUM(LARGE((V54,AA54,AD54,AI54,AJ54,AL54),{1;2;3;4;5}))))+(IF(COUNT(U54,W54,AB54,AC54,AE54,AK54)&lt;5,SUM(U54,W54,AB54,AC54,AE54,AK54),SUM(LARGE((U54,W54,AB54,AC54,AE54,AK54),{1;2;3;4;5}))))+T54),0)</f>
        <v>0</v>
      </c>
      <c r="P54" s="886" t="str">
        <f t="shared" ca="1" si="23"/>
        <v>320,5</v>
      </c>
      <c r="Q54" s="890">
        <f t="shared" si="24"/>
        <v>180</v>
      </c>
      <c r="R54" s="886" t="str">
        <f t="shared" ca="1" si="25"/>
        <v>0320,5-180</v>
      </c>
      <c r="S54" s="889">
        <f t="shared" ca="1" si="26"/>
        <v>148</v>
      </c>
      <c r="T54" s="849">
        <v>4.5</v>
      </c>
      <c r="U54" s="75" t="str">
        <f>IFERROR(INDEX('1'!C$300:C$400,MATCH("*"&amp;H54&amp;"*",'1'!B$300:B$400,0)),"  ")</f>
        <v xml:space="preserve">  </v>
      </c>
      <c r="V54" s="199">
        <f>IFERROR(INDEX('2'!C$300:C$400,MATCH("*"&amp;H54&amp;"*",'2'!B$300:B$400,0)),"  ")</f>
        <v>52</v>
      </c>
      <c r="W54" s="199" t="str">
        <f ca="1">IF(I54="",IFERROR(INDEX('3M'!C$300:C$400,MATCH("*"&amp;H54&amp;"*",'3M'!B$300:B$400,0)),"  "),IFERROR(INDEX('3N'!D$300:D$400,MATCH("*"&amp;H54&amp;"*",'3N'!B$300:B$400,0)),"  "))</f>
        <v xml:space="preserve">  </v>
      </c>
      <c r="X54" s="908" t="str">
        <f ca="1">IFERROR(INDEX('3M'!C$300:C$400,MATCH("*"&amp;H54&amp;"*",'3M'!B$300:B$400,0)),"  ")</f>
        <v xml:space="preserve">  </v>
      </c>
      <c r="Y54" s="907" t="str">
        <f ca="1">IFERROR(INDEX('3N'!C$300:C$400,MATCH("*"&amp;H54&amp;"*",'3N'!B$300:B$400,0)),"  ")</f>
        <v xml:space="preserve">  </v>
      </c>
      <c r="Z54" s="440"/>
      <c r="AA54" s="75">
        <f>IFERROR(INDEX('4'!C$300:C$400,MATCH("*"&amp;H54&amp;"*",'4'!B$300:B$400,0)),"  ")</f>
        <v>46</v>
      </c>
      <c r="AB54" s="75" t="str">
        <f>IFERROR(INDEX('5'!C$300:C$400,MATCH("*"&amp;H54&amp;"*",'5'!B$300:B$400,0)),"  ")</f>
        <v xml:space="preserve">  </v>
      </c>
      <c r="AC54" s="75">
        <f>IFERROR(INDEX('6'!C$300:C$400,MATCH("*"&amp;H54&amp;"*",'6'!B$300:B$400,0)),"  ")</f>
        <v>104</v>
      </c>
      <c r="AD54" s="75" t="str">
        <f>IFERROR(INDEX('7'!C$300:C$400,MATCH("*"&amp;H54&amp;"*",'7'!B$300:B$400,0)),"  ")</f>
        <v xml:space="preserve">  </v>
      </c>
      <c r="AE54" s="75">
        <f>IF(I54="",IFERROR(INDEX('8M'!C$300:C$400,MATCH("*"&amp;H54&amp;"*",'8M'!B$300:B$400,0)),"  "),IFERROR(INDEX('8N'!D$300:D$400,MATCH("*"&amp;H54&amp;"*",'8N'!B$300:B$400,0)),"  "))</f>
        <v>24</v>
      </c>
      <c r="AF54" s="908">
        <f>IFERROR(INDEX('8M'!C$300:C$400,MATCH("*"&amp;H54&amp;"*",'8M'!B$300:B$400,0)),"  ")</f>
        <v>24</v>
      </c>
      <c r="AG54" s="907" t="str">
        <f>IFERROR(INDEX('8N'!C$300:C$400,MATCH("*"&amp;H54&amp;"*",'8N'!B$300:B$400,0)),"  ")</f>
        <v xml:space="preserve">  </v>
      </c>
      <c r="AH54" s="440"/>
      <c r="AI54" s="75">
        <f>IFERROR(INDEX('9'!C$300:C$400,MATCH("*"&amp;H54&amp;"*",'9'!B$300:B$400,0)),"  ")</f>
        <v>90</v>
      </c>
      <c r="AJ54" s="830" t="str">
        <f>IFERROR(INDEX('10'!C$300:C$400,MATCH("*"&amp;H54&amp;"*",'10'!B$300:B$400,0)),"  ")</f>
        <v xml:space="preserve">  </v>
      </c>
      <c r="AK54" s="75" t="str">
        <f>IFERROR(INDEX('11'!C$300:C$400,MATCH("*"&amp;H54&amp;"*",'11'!B$300:B$400,0)),"  ")</f>
        <v xml:space="preserve">  </v>
      </c>
      <c r="AL54" s="75" t="str">
        <f>IFERROR(INDEX('12'!C$300:C$400,MATCH("*"&amp;H54&amp;"*",'12'!B$300:B$400,0)),"  ")</f>
        <v xml:space="preserve">  </v>
      </c>
      <c r="AM54" s="26">
        <f t="shared" ca="1" si="27"/>
        <v>5</v>
      </c>
      <c r="AN54" s="579">
        <f t="shared" ca="1" si="28"/>
        <v>0</v>
      </c>
      <c r="AO54" s="580">
        <f t="shared" ca="1" si="29"/>
        <v>0</v>
      </c>
      <c r="AP54" s="27">
        <f t="shared" ca="1" si="30"/>
        <v>0</v>
      </c>
      <c r="AQ54" s="933">
        <f t="shared" si="17"/>
        <v>6.9999999999999999E-4</v>
      </c>
      <c r="AR54" s="933">
        <f t="shared" ca="1" si="18"/>
        <v>1E-4</v>
      </c>
    </row>
    <row r="55" spans="1:44" x14ac:dyDescent="0.2">
      <c r="A55" s="851">
        <f t="shared" ca="1" si="19"/>
        <v>32</v>
      </c>
      <c r="B55" s="77">
        <f t="shared" ca="1" si="20"/>
        <v>10320</v>
      </c>
      <c r="C55" s="853" t="str">
        <f t="shared" ca="1" si="15"/>
        <v/>
      </c>
      <c r="D55" s="76">
        <f t="shared" si="21"/>
        <v>0</v>
      </c>
      <c r="E55" s="855" t="str">
        <f t="shared" ca="1" si="16"/>
        <v/>
      </c>
      <c r="F55" s="899">
        <f t="shared" si="22"/>
        <v>0</v>
      </c>
      <c r="G55" s="897">
        <f t="shared" ca="1" si="6"/>
        <v>47</v>
      </c>
      <c r="H55" s="133" t="s">
        <v>534</v>
      </c>
      <c r="I55" s="38"/>
      <c r="J55" s="585"/>
      <c r="K55" s="586"/>
      <c r="L55" s="587"/>
      <c r="M55" s="857">
        <f ca="1">(IF(COUNT(V55,AA55,AD55,AI55,AJ55,AL55)&lt;5,SUM(V55,AA55,AD55,AI55,AJ55,AL55),SUM(LARGE((V55,AA55,AD55,AI55,AJ55,AL55),{1;2;3;4;5}))))+(IF(COUNT(U55,W55,AB55,AC55,AE55,AK55)&lt;5,SUM(U55,W55,AB55,AC55,AE55,AK55),SUM(LARGE((U55,W55,AB55,AC55,AE55,AK55),{1;2;3;4;5}))))+T55</f>
        <v>320</v>
      </c>
      <c r="N55" s="862">
        <f>IF(I55="n",((IF(COUNT(V55,AA55,AD55,AI55,AJ55,AL55)&lt;5,SUM(V55,AA55,AD55,AI55,AJ55,AL55),SUM(LARGE((V55,AA55,AD55,AI55,AJ55,AL55),{1;2;3;4;5}))))+(IF(COUNT(U55,Y55,AB55,AC55,AG55,AK55)&lt;5,SUM(U55,Y55,AB55,AC55,AG55,AK55),SUM(LARGE((U55,Y55,AB55,AC55,AG55,AK55),{1;2;3;4;5}))))+T55),0)</f>
        <v>0</v>
      </c>
      <c r="O55" s="863">
        <f>IF(J55="j",((IF(COUNT(V55,AA55,AD55,AI55,AJ55,AL55)&lt;5,SUM(V55,AA55,AD55,AI55,AJ55,AL55),SUM(LARGE((V55,AA55,AD55,AI55,AJ55,AL55),{1;2;3;4;5}))))+(IF(COUNT(U55,W55,AB55,AC55,AE55,AK55)&lt;5,SUM(U55,W55,AB55,AC55,AE55,AK55),SUM(LARGE((U55,W55,AB55,AC55,AE55,AK55),{1;2;3;4;5}))))+T55),0)</f>
        <v>0</v>
      </c>
      <c r="P55" s="886" t="str">
        <f t="shared" ca="1" si="23"/>
        <v>320,0</v>
      </c>
      <c r="Q55" s="890">
        <f t="shared" si="24"/>
        <v>185</v>
      </c>
      <c r="R55" s="886" t="str">
        <f t="shared" ca="1" si="25"/>
        <v>0320,0-185</v>
      </c>
      <c r="S55" s="889">
        <f t="shared" ca="1" si="26"/>
        <v>147</v>
      </c>
      <c r="T55" s="847">
        <v>74</v>
      </c>
      <c r="U55" s="75" t="str">
        <f>IFERROR(INDEX('1'!C$300:C$400,MATCH("*"&amp;H55&amp;"*",'1'!B$300:B$400,0)),"  ")</f>
        <v xml:space="preserve">  </v>
      </c>
      <c r="V55" s="199" t="str">
        <f>IFERROR(INDEX('2'!C$300:C$400,MATCH("*"&amp;H55&amp;"*",'2'!B$300:B$400,0)),"  ")</f>
        <v xml:space="preserve">  </v>
      </c>
      <c r="W55" s="199">
        <f ca="1">IF(I55="",IFERROR(INDEX('3M'!C$300:C$400,MATCH("*"&amp;H55&amp;"*",'3M'!B$300:B$400,0)),"  "),IFERROR(INDEX('3N'!D$300:D$400,MATCH("*"&amp;H55&amp;"*",'3N'!B$300:B$400,0)),"  "))</f>
        <v>74</v>
      </c>
      <c r="X55" s="908">
        <f ca="1">IFERROR(INDEX('3M'!C$300:C$400,MATCH("*"&amp;H55&amp;"*",'3M'!B$300:B$400,0)),"  ")</f>
        <v>74</v>
      </c>
      <c r="Y55" s="907" t="str">
        <f ca="1">IFERROR(INDEX('3N'!C$300:C$400,MATCH("*"&amp;H55&amp;"*",'3N'!B$300:B$400,0)),"  ")</f>
        <v xml:space="preserve">  </v>
      </c>
      <c r="Z55" s="440"/>
      <c r="AA55" s="75">
        <f>IFERROR(INDEX('4'!C$300:C$400,MATCH("*"&amp;H55&amp;"*",'4'!B$300:B$400,0)),"  ")</f>
        <v>74</v>
      </c>
      <c r="AB55" s="75">
        <f>IFERROR(INDEX('5'!C$300:C$400,MATCH("*"&amp;H55&amp;"*",'5'!B$300:B$400,0)),"  ")</f>
        <v>51</v>
      </c>
      <c r="AC55" s="75" t="str">
        <f>IFERROR(INDEX('6'!C$300:C$400,MATCH("*"&amp;H55&amp;"*",'6'!B$300:B$400,0)),"  ")</f>
        <v xml:space="preserve">  </v>
      </c>
      <c r="AD55" s="75" t="str">
        <f>IFERROR(INDEX('7'!C$300:C$400,MATCH("*"&amp;H55&amp;"*",'7'!B$300:B$400,0)),"  ")</f>
        <v xml:space="preserve">  </v>
      </c>
      <c r="AE55" s="75">
        <f>IF(I55="",IFERROR(INDEX('8M'!C$300:C$400,MATCH("*"&amp;H55&amp;"*",'8M'!B$300:B$400,0)),"  "),IFERROR(INDEX('8N'!D$300:D$400,MATCH("*"&amp;H55&amp;"*",'8N'!B$300:B$400,0)),"  "))</f>
        <v>47</v>
      </c>
      <c r="AF55" s="908">
        <f>IFERROR(INDEX('8M'!C$300:C$400,MATCH("*"&amp;H55&amp;"*",'8M'!B$300:B$400,0)),"  ")</f>
        <v>47</v>
      </c>
      <c r="AG55" s="907" t="str">
        <f>IFERROR(INDEX('8N'!C$300:C$400,MATCH("*"&amp;H55&amp;"*",'8N'!B$300:B$400,0)),"  ")</f>
        <v xml:space="preserve">  </v>
      </c>
      <c r="AH55" s="440"/>
      <c r="AI55" s="75" t="str">
        <f>IFERROR(INDEX('9'!C$300:C$400,MATCH("*"&amp;H55&amp;"*",'9'!B$300:B$400,0)),"  ")</f>
        <v xml:space="preserve">  </v>
      </c>
      <c r="AJ55" s="830" t="str">
        <f>IFERROR(INDEX('10'!C$300:C$400,MATCH("*"&amp;H55&amp;"*",'10'!B$300:B$400,0)),"  ")</f>
        <v xml:space="preserve">  </v>
      </c>
      <c r="AK55" s="75" t="str">
        <f>IFERROR(INDEX('11'!C$300:C$400,MATCH("*"&amp;H55&amp;"*",'11'!B$300:B$400,0)),"  ")</f>
        <v xml:space="preserve">  </v>
      </c>
      <c r="AL55" s="75" t="str">
        <f>IFERROR(INDEX('12'!C$300:C$400,MATCH("*"&amp;H55&amp;"*",'12'!B$300:B$400,0)),"  ")</f>
        <v xml:space="preserve">  </v>
      </c>
      <c r="AM55" s="26">
        <f t="shared" ca="1" si="27"/>
        <v>4</v>
      </c>
      <c r="AN55" s="579">
        <f t="shared" ca="1" si="28"/>
        <v>0</v>
      </c>
      <c r="AO55" s="580">
        <f t="shared" ca="1" si="29"/>
        <v>0</v>
      </c>
      <c r="AP55" s="27">
        <f t="shared" ca="1" si="30"/>
        <v>0</v>
      </c>
      <c r="AQ55" s="933">
        <f t="shared" si="17"/>
        <v>2.0000000000000001E-4</v>
      </c>
      <c r="AR55" s="933">
        <f t="shared" ca="1" si="18"/>
        <v>1E-4</v>
      </c>
    </row>
    <row r="56" spans="1:44" x14ac:dyDescent="0.2">
      <c r="A56" s="851">
        <f t="shared" ca="1" si="19"/>
        <v>33</v>
      </c>
      <c r="B56" s="77">
        <f t="shared" ca="1" si="20"/>
        <v>10317</v>
      </c>
      <c r="C56" s="853" t="str">
        <f t="shared" ca="1" si="15"/>
        <v/>
      </c>
      <c r="D56" s="76">
        <f t="shared" si="21"/>
        <v>0</v>
      </c>
      <c r="E56" s="855" t="str">
        <f t="shared" ca="1" si="16"/>
        <v/>
      </c>
      <c r="F56" s="899">
        <f t="shared" si="22"/>
        <v>0</v>
      </c>
      <c r="G56" s="897">
        <f t="shared" ca="1" si="6"/>
        <v>48</v>
      </c>
      <c r="H56" s="133" t="s">
        <v>171</v>
      </c>
      <c r="I56" s="38"/>
      <c r="J56" s="585"/>
      <c r="K56" s="586"/>
      <c r="L56" s="587"/>
      <c r="M56" s="857">
        <f ca="1">(IF(COUNT(V56,AA56,AD56,AI56,AJ56,AL56)&lt;5,SUM(V56,AA56,AD56,AI56,AJ56,AL56),SUM(LARGE((V56,AA56,AD56,AI56,AJ56,AL56),{1;2;3;4;5}))))+(IF(COUNT(U56,W56,AB56,AC56,AE56,AK56)&lt;5,SUM(U56,W56,AB56,AC56,AE56,AK56),SUM(LARGE((U56,W56,AB56,AC56,AE56,AK56),{1;2;3;4;5}))))+T56</f>
        <v>317</v>
      </c>
      <c r="N56" s="862">
        <f>IF(I56="n",((IF(COUNT(V56,AA56,AD56,AI56,AJ56,AL56)&lt;5,SUM(V56,AA56,AD56,AI56,AJ56,AL56),SUM(LARGE((V56,AA56,AD56,AI56,AJ56,AL56),{1;2;3;4;5}))))+(IF(COUNT(U56,Y56,AB56,AC56,AG56,AK56)&lt;5,SUM(U56,Y56,AB56,AC56,AG56,AK56),SUM(LARGE((U56,Y56,AB56,AC56,AG56,AK56),{1;2;3;4;5}))))+T56),0)</f>
        <v>0</v>
      </c>
      <c r="O56" s="863">
        <f>IF(J56="j",((IF(COUNT(V56,AA56,AD56,AI56,AJ56,AL56)&lt;5,SUM(V56,AA56,AD56,AI56,AJ56,AL56),SUM(LARGE((V56,AA56,AD56,AI56,AJ56,AL56),{1;2;3;4;5}))))+(IF(COUNT(U56,W56,AB56,AC56,AE56,AK56)&lt;5,SUM(U56,W56,AB56,AC56,AE56,AK56),SUM(LARGE((U56,W56,AB56,AC56,AE56,AK56),{1;2;3;4;5}))))+T56),0)</f>
        <v>0</v>
      </c>
      <c r="P56" s="886" t="str">
        <f t="shared" ca="1" si="23"/>
        <v>317,0</v>
      </c>
      <c r="Q56" s="890">
        <f t="shared" si="24"/>
        <v>29</v>
      </c>
      <c r="R56" s="886" t="str">
        <f t="shared" ca="1" si="25"/>
        <v>0317,0-029</v>
      </c>
      <c r="S56" s="889">
        <f t="shared" ca="1" si="26"/>
        <v>146</v>
      </c>
      <c r="T56" s="847">
        <v>1</v>
      </c>
      <c r="U56" s="75">
        <f>IFERROR(INDEX('1'!C$300:C$400,MATCH("*"&amp;H56&amp;"*",'1'!B$300:B$400,0)),"  ")</f>
        <v>74</v>
      </c>
      <c r="V56" s="199" t="str">
        <f>IFERROR(INDEX('2'!C$300:C$400,MATCH("*"&amp;H56&amp;"*",'2'!B$300:B$400,0)),"  ")</f>
        <v xml:space="preserve">  </v>
      </c>
      <c r="W56" s="199" t="str">
        <f ca="1">IF(I56="",IFERROR(INDEX('3M'!C$300:C$400,MATCH("*"&amp;H56&amp;"*",'3M'!B$300:B$400,0)),"  "),IFERROR(INDEX('3N'!D$300:D$400,MATCH("*"&amp;H56&amp;"*",'3N'!B$300:B$400,0)),"  "))</f>
        <v xml:space="preserve">  </v>
      </c>
      <c r="X56" s="908" t="str">
        <f ca="1">IFERROR(INDEX('3M'!C$300:C$400,MATCH("*"&amp;H56&amp;"*",'3M'!B$300:B$400,0)),"  ")</f>
        <v xml:space="preserve">  </v>
      </c>
      <c r="Y56" s="907" t="str">
        <f ca="1">IFERROR(INDEX('3N'!C$300:C$400,MATCH("*"&amp;H56&amp;"*",'3N'!B$300:B$400,0)),"  ")</f>
        <v xml:space="preserve">  </v>
      </c>
      <c r="Z56" s="440"/>
      <c r="AA56" s="75" t="str">
        <f>IFERROR(INDEX('4'!C$300:C$400,MATCH("*"&amp;H56&amp;"*",'4'!B$300:B$400,0)),"  ")</f>
        <v xml:space="preserve">  </v>
      </c>
      <c r="AB56" s="75">
        <f>IFERROR(INDEX('5'!C$300:C$400,MATCH("*"&amp;H56&amp;"*",'5'!B$300:B$400,0)),"  ")</f>
        <v>126</v>
      </c>
      <c r="AC56" s="75" t="str">
        <f>IFERROR(INDEX('6'!C$300:C$400,MATCH("*"&amp;H56&amp;"*",'6'!B$300:B$400,0)),"  ")</f>
        <v xml:space="preserve">  </v>
      </c>
      <c r="AD56" s="75" t="str">
        <f>IFERROR(INDEX('7'!C$300:C$400,MATCH("*"&amp;H56&amp;"*",'7'!B$300:B$400,0)),"  ")</f>
        <v xml:space="preserve">  </v>
      </c>
      <c r="AE56" s="75" t="str">
        <f>IF(I56="",IFERROR(INDEX('8M'!C$300:C$400,MATCH("*"&amp;H56&amp;"*",'8M'!B$300:B$400,0)),"  "),IFERROR(INDEX('8N'!D$300:D$400,MATCH("*"&amp;H56&amp;"*",'8N'!B$300:B$400,0)),"  "))</f>
        <v xml:space="preserve">  </v>
      </c>
      <c r="AF56" s="908" t="str">
        <f>IFERROR(INDEX('8M'!C$300:C$400,MATCH("*"&amp;H56&amp;"*",'8M'!B$300:B$400,0)),"  ")</f>
        <v xml:space="preserve">  </v>
      </c>
      <c r="AG56" s="907" t="str">
        <f>IFERROR(INDEX('8N'!C$300:C$400,MATCH("*"&amp;H56&amp;"*",'8N'!B$300:B$400,0)),"  ")</f>
        <v xml:space="preserve">  </v>
      </c>
      <c r="AH56" s="440"/>
      <c r="AI56" s="75" t="str">
        <f>IFERROR(INDEX('9'!C$300:C$400,MATCH("*"&amp;H56&amp;"*",'9'!B$300:B$400,0)),"  ")</f>
        <v xml:space="preserve">  </v>
      </c>
      <c r="AJ56" s="830" t="str">
        <f>IFERROR(INDEX('10'!C$300:C$400,MATCH("*"&amp;H56&amp;"*",'10'!B$300:B$400,0)),"  ")</f>
        <v xml:space="preserve">  </v>
      </c>
      <c r="AK56" s="75">
        <f>IFERROR(INDEX('11'!C$300:C$400,MATCH("*"&amp;H56&amp;"*",'11'!B$300:B$400,0)),"  ")</f>
        <v>56</v>
      </c>
      <c r="AL56" s="75">
        <f>IFERROR(INDEX('12'!C$300:C$400,MATCH("*"&amp;H56&amp;"*",'12'!B$300:B$400,0)),"  ")</f>
        <v>60</v>
      </c>
      <c r="AM56" s="26">
        <f t="shared" ca="1" si="27"/>
        <v>4</v>
      </c>
      <c r="AN56" s="579">
        <f t="shared" ca="1" si="28"/>
        <v>0</v>
      </c>
      <c r="AO56" s="580">
        <f t="shared" ca="1" si="29"/>
        <v>0</v>
      </c>
      <c r="AP56" s="27">
        <f t="shared" ca="1" si="30"/>
        <v>0</v>
      </c>
      <c r="AQ56" s="933">
        <f t="shared" si="17"/>
        <v>2.0000000000000001E-4</v>
      </c>
      <c r="AR56" s="933">
        <f t="shared" ca="1" si="18"/>
        <v>2.9999999999999997E-4</v>
      </c>
    </row>
    <row r="57" spans="1:44" x14ac:dyDescent="0.2">
      <c r="A57" s="851">
        <f t="shared" ca="1" si="19"/>
        <v>34</v>
      </c>
      <c r="B57" s="77">
        <f t="shared" ca="1" si="20"/>
        <v>10293</v>
      </c>
      <c r="C57" s="853" t="str">
        <f t="shared" ca="1" si="15"/>
        <v/>
      </c>
      <c r="D57" s="76">
        <f t="shared" si="21"/>
        <v>0</v>
      </c>
      <c r="E57" s="855" t="str">
        <f t="shared" ca="1" si="16"/>
        <v/>
      </c>
      <c r="F57" s="899">
        <f t="shared" si="22"/>
        <v>0</v>
      </c>
      <c r="G57" s="897">
        <f t="shared" ca="1" si="6"/>
        <v>49</v>
      </c>
      <c r="H57" s="177" t="s">
        <v>789</v>
      </c>
      <c r="I57" s="38"/>
      <c r="J57" s="585"/>
      <c r="K57" s="586"/>
      <c r="L57" s="587"/>
      <c r="M57" s="857">
        <f ca="1">(IF(COUNT(V57,AA57,AD57,AI57,AJ57,AL57)&lt;5,SUM(V57,AA57,AD57,AI57,AJ57,AL57),SUM(LARGE((V57,AA57,AD57,AI57,AJ57,AL57),{1;2;3;4;5}))))+(IF(COUNT(U57,W57,AB57,AC57,AE57,AK57)&lt;5,SUM(U57,W57,AB57,AC57,AE57,AK57),SUM(LARGE((U57,W57,AB57,AC57,AE57,AK57),{1;2;3;4;5}))))+T57</f>
        <v>293</v>
      </c>
      <c r="N57" s="862">
        <f>IF(I57="n",((IF(COUNT(V57,AA57,AD57,AI57,AJ57,AL57)&lt;5,SUM(V57,AA57,AD57,AI57,AJ57,AL57),SUM(LARGE((V57,AA57,AD57,AI57,AJ57,AL57),{1;2;3;4;5}))))+(IF(COUNT(U57,Y57,AB57,AC57,AG57,AK57)&lt;5,SUM(U57,Y57,AB57,AC57,AG57,AK57),SUM(LARGE((U57,Y57,AB57,AC57,AG57,AK57),{1;2;3;4;5}))))+T57),0)</f>
        <v>0</v>
      </c>
      <c r="O57" s="863">
        <f>IF(J57="j",((IF(COUNT(V57,AA57,AD57,AI57,AJ57,AL57)&lt;5,SUM(V57,AA57,AD57,AI57,AJ57,AL57),SUM(LARGE((V57,AA57,AD57,AI57,AJ57,AL57),{1;2;3;4;5}))))+(IF(COUNT(U57,W57,AB57,AC57,AE57,AK57)&lt;5,SUM(U57,W57,AB57,AC57,AE57,AK57),SUM(LARGE((U57,W57,AB57,AC57,AE57,AK57),{1;2;3;4;5}))))+T57),0)</f>
        <v>0</v>
      </c>
      <c r="P57" s="886" t="str">
        <f t="shared" ca="1" si="23"/>
        <v>293,0</v>
      </c>
      <c r="Q57" s="890">
        <f t="shared" si="24"/>
        <v>183</v>
      </c>
      <c r="R57" s="886" t="str">
        <f t="shared" ca="1" si="25"/>
        <v>0293,0-183</v>
      </c>
      <c r="S57" s="889">
        <f t="shared" ca="1" si="26"/>
        <v>145</v>
      </c>
      <c r="T57" s="847"/>
      <c r="U57" s="75" t="str">
        <f>IFERROR(INDEX('1'!C$300:C$400,MATCH("*"&amp;H57&amp;"*",'1'!B$300:B$400,0)),"  ")</f>
        <v xml:space="preserve">  </v>
      </c>
      <c r="V57" s="199" t="str">
        <f>IFERROR(INDEX('2'!C$300:C$400,MATCH("*"&amp;H57&amp;"*",'2'!B$300:B$400,0)),"  ")</f>
        <v xml:space="preserve">  </v>
      </c>
      <c r="W57" s="199">
        <f ca="1">IF(I57="",IFERROR(INDEX('3M'!C$300:C$400,MATCH("*"&amp;H57&amp;"*",'3M'!B$300:B$400,0)),"  "),IFERROR(INDEX('3N'!D$300:D$400,MATCH("*"&amp;H57&amp;"*",'3N'!B$300:B$400,0)),"  "))</f>
        <v>135</v>
      </c>
      <c r="X57" s="908">
        <f ca="1">IFERROR(INDEX('3M'!C$300:C$400,MATCH("*"&amp;H57&amp;"*",'3M'!B$300:B$400,0)),"  ")</f>
        <v>135</v>
      </c>
      <c r="Y57" s="907" t="str">
        <f ca="1">IFERROR(INDEX('3N'!C$300:C$400,MATCH("*"&amp;H57&amp;"*",'3N'!B$300:B$400,0)),"  ")</f>
        <v xml:space="preserve">  </v>
      </c>
      <c r="Z57" s="440"/>
      <c r="AA57" s="75" t="str">
        <f>IFERROR(INDEX('4'!C$300:C$400,MATCH("*"&amp;H57&amp;"*",'4'!B$300:B$400,0)),"  ")</f>
        <v xml:space="preserve">  </v>
      </c>
      <c r="AB57" s="75" t="str">
        <f>IFERROR(INDEX('5'!C$300:C$400,MATCH("*"&amp;H57&amp;"*",'5'!B$300:B$400,0)),"  ")</f>
        <v xml:space="preserve">  </v>
      </c>
      <c r="AC57" s="75" t="str">
        <f>IFERROR(INDEX('6'!C$300:C$400,MATCH("*"&amp;H57&amp;"*",'6'!B$300:B$400,0)),"  ")</f>
        <v xml:space="preserve">  </v>
      </c>
      <c r="AD57" s="75" t="str">
        <f>IFERROR(INDEX('7'!C$300:C$400,MATCH("*"&amp;H57&amp;"*",'7'!B$300:B$400,0)),"  ")</f>
        <v xml:space="preserve">  </v>
      </c>
      <c r="AE57" s="75" t="str">
        <f>IF(I57="",IFERROR(INDEX('8M'!C$300:C$400,MATCH("*"&amp;H57&amp;"*",'8M'!B$300:B$400,0)),"  "),IFERROR(INDEX('8N'!D$300:D$400,MATCH("*"&amp;H57&amp;"*",'8N'!B$300:B$400,0)),"  "))</f>
        <v xml:space="preserve">  </v>
      </c>
      <c r="AF57" s="908" t="str">
        <f>IFERROR(INDEX('8M'!C$300:C$400,MATCH("*"&amp;H57&amp;"*",'8M'!B$300:B$400,0)),"  ")</f>
        <v xml:space="preserve">  </v>
      </c>
      <c r="AG57" s="907" t="str">
        <f>IFERROR(INDEX('8N'!C$300:C$400,MATCH("*"&amp;H57&amp;"*",'8N'!B$300:B$400,0)),"  ")</f>
        <v xml:space="preserve">  </v>
      </c>
      <c r="AH57" s="440"/>
      <c r="AI57" s="75" t="str">
        <f>IFERROR(INDEX('9'!C$300:C$400,MATCH("*"&amp;H57&amp;"*",'9'!B$300:B$400,0)),"  ")</f>
        <v xml:space="preserve">  </v>
      </c>
      <c r="AJ57" s="830" t="str">
        <f>IFERROR(INDEX('10'!C$300:C$400,MATCH("*"&amp;H57&amp;"*",'10'!B$300:B$400,0)),"  ")</f>
        <v xml:space="preserve">  </v>
      </c>
      <c r="AK57" s="75">
        <f>IFERROR(INDEX('11'!C$300:C$400,MATCH("*"&amp;H57&amp;"*",'11'!B$300:B$400,0)),"  ")</f>
        <v>158</v>
      </c>
      <c r="AL57" s="75" t="str">
        <f>IFERROR(INDEX('12'!C$300:C$400,MATCH("*"&amp;H57&amp;"*",'12'!B$300:B$400,0)),"  ")</f>
        <v xml:space="preserve">  </v>
      </c>
      <c r="AM57" s="26">
        <f t="shared" ca="1" si="27"/>
        <v>2</v>
      </c>
      <c r="AN57" s="579">
        <f t="shared" ca="1" si="28"/>
        <v>1</v>
      </c>
      <c r="AO57" s="580">
        <f t="shared" ca="1" si="29"/>
        <v>0</v>
      </c>
      <c r="AP57" s="27">
        <f t="shared" ca="1" si="30"/>
        <v>0</v>
      </c>
      <c r="AQ57" s="933">
        <f t="shared" si="17"/>
        <v>2.0000000000000001E-4</v>
      </c>
      <c r="AR57" s="933">
        <f t="shared" ca="1" si="18"/>
        <v>1E-4</v>
      </c>
    </row>
    <row r="58" spans="1:44" x14ac:dyDescent="0.2">
      <c r="A58" s="851">
        <f t="shared" ca="1" si="19"/>
        <v>35</v>
      </c>
      <c r="B58" s="77">
        <f t="shared" ca="1" si="20"/>
        <v>10287</v>
      </c>
      <c r="C58" s="853" t="str">
        <f t="shared" ca="1" si="15"/>
        <v/>
      </c>
      <c r="D58" s="76">
        <f t="shared" si="21"/>
        <v>0</v>
      </c>
      <c r="E58" s="855" t="str">
        <f t="shared" ca="1" si="16"/>
        <v/>
      </c>
      <c r="F58" s="899">
        <f t="shared" si="22"/>
        <v>0</v>
      </c>
      <c r="G58" s="897">
        <f t="shared" ca="1" si="6"/>
        <v>50</v>
      </c>
      <c r="H58" s="133" t="s">
        <v>67</v>
      </c>
      <c r="I58" s="38"/>
      <c r="J58" s="585"/>
      <c r="K58" s="586"/>
      <c r="L58" s="587"/>
      <c r="M58" s="857">
        <f ca="1">(IF(COUNT(V58,AA58,AD58,AI58,AJ58,AL58)&lt;5,SUM(V58,AA58,AD58,AI58,AJ58,AL58),SUM(LARGE((V58,AA58,AD58,AI58,AJ58,AL58),{1;2;3;4;5}))))+(IF(COUNT(U58,W58,AB58,AC58,AE58,AK58)&lt;5,SUM(U58,W58,AB58,AC58,AE58,AK58),SUM(LARGE((U58,W58,AB58,AC58,AE58,AK58),{1;2;3;4;5}))))+T58</f>
        <v>287</v>
      </c>
      <c r="N58" s="862">
        <f>IF(I58="n",((IF(COUNT(V58,AA58,AD58,AI58,AJ58,AL58)&lt;5,SUM(V58,AA58,AD58,AI58,AJ58,AL58),SUM(LARGE((V58,AA58,AD58,AI58,AJ58,AL58),{1;2;3;4;5}))))+(IF(COUNT(U58,Y58,AB58,AC58,AG58,AK58)&lt;5,SUM(U58,Y58,AB58,AC58,AG58,AK58),SUM(LARGE((U58,Y58,AB58,AC58,AG58,AK58),{1;2;3;4;5}))))+T58),0)</f>
        <v>0</v>
      </c>
      <c r="O58" s="863">
        <f>IF(J58="j",((IF(COUNT(V58,AA58,AD58,AI58,AJ58,AL58)&lt;5,SUM(V58,AA58,AD58,AI58,AJ58,AL58),SUM(LARGE((V58,AA58,AD58,AI58,AJ58,AL58),{1;2;3;4;5}))))+(IF(COUNT(U58,W58,AB58,AC58,AE58,AK58)&lt;5,SUM(U58,W58,AB58,AC58,AE58,AK58),SUM(LARGE((U58,W58,AB58,AC58,AE58,AK58),{1;2;3;4;5}))))+T58),0)</f>
        <v>0</v>
      </c>
      <c r="P58" s="886" t="str">
        <f t="shared" ca="1" si="23"/>
        <v>287,0</v>
      </c>
      <c r="Q58" s="890">
        <f t="shared" si="24"/>
        <v>30</v>
      </c>
      <c r="R58" s="886" t="str">
        <f t="shared" ca="1" si="25"/>
        <v>0287,0-030</v>
      </c>
      <c r="S58" s="889">
        <f t="shared" ca="1" si="26"/>
        <v>144</v>
      </c>
      <c r="T58" s="847">
        <v>1</v>
      </c>
      <c r="U58" s="75" t="str">
        <f>IFERROR(INDEX('1'!C$300:C$400,MATCH("*"&amp;H58&amp;"*",'1'!B$300:B$400,0)),"  ")</f>
        <v xml:space="preserve">  </v>
      </c>
      <c r="V58" s="199" t="str">
        <f>IFERROR(INDEX('2'!C$300:C$400,MATCH("*"&amp;H58&amp;"*",'2'!B$300:B$400,0)),"  ")</f>
        <v xml:space="preserve">  </v>
      </c>
      <c r="W58" s="199" t="str">
        <f ca="1">IF(I58="",IFERROR(INDEX('3M'!C$300:C$400,MATCH("*"&amp;H58&amp;"*",'3M'!B$300:B$400,0)),"  "),IFERROR(INDEX('3N'!D$300:D$400,MATCH("*"&amp;H58&amp;"*",'3N'!B$300:B$400,0)),"  "))</f>
        <v xml:space="preserve">  </v>
      </c>
      <c r="X58" s="908" t="str">
        <f ca="1">IFERROR(INDEX('3M'!C$300:C$400,MATCH("*"&amp;H58&amp;"*",'3M'!B$300:B$400,0)),"  ")</f>
        <v xml:space="preserve">  </v>
      </c>
      <c r="Y58" s="907" t="str">
        <f ca="1">IFERROR(INDEX('3N'!C$300:C$400,MATCH("*"&amp;H58&amp;"*",'3N'!B$300:B$400,0)),"  ")</f>
        <v xml:space="preserve">  </v>
      </c>
      <c r="Z58" s="440"/>
      <c r="AA58" s="75" t="str">
        <f>IFERROR(INDEX('4'!C$300:C$400,MATCH("*"&amp;H58&amp;"*",'4'!B$300:B$400,0)),"  ")</f>
        <v xml:space="preserve">  </v>
      </c>
      <c r="AB58" s="75">
        <f>IFERROR(INDEX('5'!C$300:C$400,MATCH("*"&amp;H58&amp;"*",'5'!B$300:B$400,0)),"  ")</f>
        <v>84</v>
      </c>
      <c r="AC58" s="75" t="str">
        <f>IFERROR(INDEX('6'!C$300:C$400,MATCH("*"&amp;H58&amp;"*",'6'!B$300:B$400,0)),"  ")</f>
        <v xml:space="preserve">  </v>
      </c>
      <c r="AD58" s="75" t="str">
        <f>IFERROR(INDEX('7'!C$300:C$400,MATCH("*"&amp;H58&amp;"*",'7'!B$300:B$400,0)),"  ")</f>
        <v xml:space="preserve">  </v>
      </c>
      <c r="AE58" s="75">
        <f>IF(I58="",IFERROR(INDEX('8M'!C$300:C$400,MATCH("*"&amp;H58&amp;"*",'8M'!B$300:B$400,0)),"  "),IFERROR(INDEX('8N'!D$300:D$400,MATCH("*"&amp;H58&amp;"*",'8N'!B$300:B$400,0)),"  "))</f>
        <v>56</v>
      </c>
      <c r="AF58" s="908">
        <f>IFERROR(INDEX('8M'!C$300:C$400,MATCH("*"&amp;H58&amp;"*",'8M'!B$300:B$400,0)),"  ")</f>
        <v>56</v>
      </c>
      <c r="AG58" s="907" t="str">
        <f>IFERROR(INDEX('8N'!C$300:C$400,MATCH("*"&amp;H58&amp;"*",'8N'!B$300:B$400,0)),"  ")</f>
        <v xml:space="preserve">  </v>
      </c>
      <c r="AH58" s="440"/>
      <c r="AI58" s="75" t="str">
        <f>IFERROR(INDEX('9'!C$300:C$400,MATCH("*"&amp;H58&amp;"*",'9'!B$300:B$400,0)),"  ")</f>
        <v xml:space="preserve">  </v>
      </c>
      <c r="AJ58" s="830" t="str">
        <f>IFERROR(INDEX('10'!C$300:C$400,MATCH("*"&amp;H58&amp;"*",'10'!B$300:B$400,0)),"  ")</f>
        <v xml:space="preserve">  </v>
      </c>
      <c r="AK58" s="75">
        <f>IFERROR(INDEX('11'!C$300:C$400,MATCH("*"&amp;H58&amp;"*",'11'!B$300:B$400,0)),"  ")</f>
        <v>146</v>
      </c>
      <c r="AL58" s="75" t="str">
        <f>IFERROR(INDEX('12'!C$300:C$400,MATCH("*"&amp;H58&amp;"*",'12'!B$300:B$400,0)),"  ")</f>
        <v xml:space="preserve">  </v>
      </c>
      <c r="AM58" s="26">
        <f t="shared" ca="1" si="27"/>
        <v>3</v>
      </c>
      <c r="AN58" s="579">
        <f t="shared" ca="1" si="28"/>
        <v>1</v>
      </c>
      <c r="AO58" s="580">
        <f t="shared" ca="1" si="29"/>
        <v>0</v>
      </c>
      <c r="AP58" s="27">
        <f t="shared" ca="1" si="30"/>
        <v>0</v>
      </c>
      <c r="AQ58" s="933">
        <f t="shared" si="17"/>
        <v>2.0000000000000001E-4</v>
      </c>
      <c r="AR58" s="933">
        <f t="shared" ca="1" si="18"/>
        <v>1E-4</v>
      </c>
    </row>
    <row r="59" spans="1:44" x14ac:dyDescent="0.2">
      <c r="A59" s="851" t="str">
        <f t="shared" ca="1" si="19"/>
        <v/>
      </c>
      <c r="B59" s="77">
        <f t="shared" si="20"/>
        <v>0</v>
      </c>
      <c r="C59" s="853">
        <f t="shared" ca="1" si="15"/>
        <v>16</v>
      </c>
      <c r="D59" s="76">
        <f t="shared" ca="1" si="21"/>
        <v>10338</v>
      </c>
      <c r="E59" s="855" t="str">
        <f t="shared" ca="1" si="16"/>
        <v/>
      </c>
      <c r="F59" s="899">
        <f t="shared" si="22"/>
        <v>0</v>
      </c>
      <c r="G59" s="897">
        <f t="shared" ca="1" si="6"/>
        <v>51</v>
      </c>
      <c r="H59" s="133" t="s">
        <v>724</v>
      </c>
      <c r="I59" s="38" t="s">
        <v>32</v>
      </c>
      <c r="J59" s="585"/>
      <c r="K59" s="586" t="s">
        <v>718</v>
      </c>
      <c r="L59" s="587"/>
      <c r="M59" s="857">
        <f ca="1">(IF(COUNT(V59,AA59,AD59,AI59,AJ59,AL59)&lt;5,SUM(V59,AA59,AD59,AI59,AJ59,AL59),SUM(LARGE((V59,AA59,AD59,AI59,AJ59,AL59),{1;2;3;4;5}))))+(IF(COUNT(U59,W59,AB59,AC59,AE59,AK59)&lt;5,SUM(U59,W59,AB59,AC59,AE59,AK59),SUM(LARGE((U59,W59,AB59,AC59,AE59,AK59),{1;2;3;4;5}))))+T59</f>
        <v>276</v>
      </c>
      <c r="N59" s="862">
        <f ca="1">IF(I59="n",((IF(COUNT(V59,AA59,AD59,AI59,AJ59,AL59)&lt;5,SUM(V59,AA59,AD59,AI59,AJ59,AL59),SUM(LARGE((V59,AA59,AD59,AI59,AJ59,AL59),{1;2;3;4;5}))))+(IF(COUNT(U59,Y59,AB59,AC59,AG59,AK59)&lt;5,SUM(U59,Y59,AB59,AC59,AG59,AK59),SUM(LARGE((U59,Y59,AB59,AC59,AG59,AK59),{1;2;3;4;5}))))+T59),0)</f>
        <v>338</v>
      </c>
      <c r="O59" s="863">
        <f>IF(J59="j",((IF(COUNT(V59,AA59,AD59,AI59,AJ59,AL59)&lt;5,SUM(V59,AA59,AD59,AI59,AJ59,AL59),SUM(LARGE((V59,AA59,AD59,AI59,AJ59,AL59),{1;2;3;4;5}))))+(IF(COUNT(U59,W59,AB59,AC59,AE59,AK59)&lt;5,SUM(U59,W59,AB59,AC59,AE59,AK59),SUM(LARGE((U59,W59,AB59,AC59,AE59,AK59),{1;2;3;4;5}))))+T59),0)</f>
        <v>0</v>
      </c>
      <c r="P59" s="886" t="str">
        <f t="shared" ca="1" si="23"/>
        <v>276,0</v>
      </c>
      <c r="Q59" s="890">
        <f t="shared" si="24"/>
        <v>127</v>
      </c>
      <c r="R59" s="886" t="str">
        <f t="shared" ca="1" si="25"/>
        <v>0276,0-127</v>
      </c>
      <c r="S59" s="889">
        <f t="shared" ca="1" si="26"/>
        <v>143</v>
      </c>
      <c r="T59" s="847">
        <v>1</v>
      </c>
      <c r="U59" s="75" t="str">
        <f>IFERROR(INDEX('1'!C$300:C$400,MATCH("*"&amp;H59&amp;"*",'1'!B$300:B$400,0)),"  ")</f>
        <v xml:space="preserve">  </v>
      </c>
      <c r="V59" s="199" t="str">
        <f>IFERROR(INDEX('2'!C$300:C$400,MATCH("*"&amp;H59&amp;"*",'2'!B$300:B$400,0)),"  ")</f>
        <v xml:space="preserve">  </v>
      </c>
      <c r="W59" s="199">
        <f ca="1">IF(I59="",IFERROR(INDEX('3M'!C$300:C$400,MATCH("*"&amp;H59&amp;"*",'3M'!B$300:B$400,0)),"  "),IFERROR(INDEX('3N'!D$300:D$400,MATCH("*"&amp;H59&amp;"*",'3N'!B$300:B$400,0)),"  "))</f>
        <v>42</v>
      </c>
      <c r="X59" s="908" t="str">
        <f ca="1">IFERROR(INDEX('3M'!C$300:C$400,MATCH("*"&amp;H59&amp;"*",'3M'!B$300:B$400,0)),"  ")</f>
        <v xml:space="preserve">  </v>
      </c>
      <c r="Y59" s="907">
        <f ca="1">IFERROR(INDEX('3N'!C$300:C$400,MATCH("*"&amp;H59&amp;"*",'3N'!B$300:B$400,0)),"  ")</f>
        <v>104</v>
      </c>
      <c r="Z59" s="440"/>
      <c r="AA59" s="75">
        <f>IFERROR(INDEX('4'!C$300:C$400,MATCH("*"&amp;H59&amp;"*",'4'!B$300:B$400,0)),"  ")</f>
        <v>74</v>
      </c>
      <c r="AB59" s="75">
        <f>IFERROR(INDEX('5'!C$300:C$400,MATCH("*"&amp;H59&amp;"*",'5'!B$300:B$400,0)),"  ")</f>
        <v>24</v>
      </c>
      <c r="AC59" s="75">
        <f>IFERROR(INDEX('6'!C$300:C$400,MATCH("*"&amp;H59&amp;"*",'6'!B$300:B$400,0)),"  ")</f>
        <v>135</v>
      </c>
      <c r="AD59" s="75" t="str">
        <f>IFERROR(INDEX('7'!C$300:C$400,MATCH("*"&amp;H59&amp;"*",'7'!B$300:B$400,0)),"  ")</f>
        <v xml:space="preserve">  </v>
      </c>
      <c r="AE59" s="75" t="str">
        <f>IF(I59="",IFERROR(INDEX('8M'!C$300:C$400,MATCH("*"&amp;H59&amp;"*",'8M'!B$300:B$400,0)),"  "),IFERROR(INDEX('8N'!D$300:D$400,MATCH("*"&amp;H59&amp;"*",'8N'!B$300:B$400,0)),"  "))</f>
        <v xml:space="preserve">  </v>
      </c>
      <c r="AF59" s="908" t="str">
        <f>IFERROR(INDEX('8M'!C$300:C$400,MATCH("*"&amp;H59&amp;"*",'8M'!B$300:B$400,0)),"  ")</f>
        <v xml:space="preserve">  </v>
      </c>
      <c r="AG59" s="907" t="str">
        <f>IFERROR(INDEX('8N'!C$300:C$400,MATCH("*"&amp;H59&amp;"*",'8N'!B$300:B$400,0)),"  ")</f>
        <v xml:space="preserve">  </v>
      </c>
      <c r="AH59" s="440"/>
      <c r="AI59" s="75" t="str">
        <f>IFERROR(INDEX('9'!C$300:C$400,MATCH("*"&amp;H59&amp;"*",'9'!B$300:B$400,0)),"  ")</f>
        <v xml:space="preserve">  </v>
      </c>
      <c r="AJ59" s="830" t="str">
        <f>IFERROR(INDEX('10'!C$300:C$400,MATCH("*"&amp;H59&amp;"*",'10'!B$300:B$400,0)),"  ")</f>
        <v xml:space="preserve">  </v>
      </c>
      <c r="AK59" s="75" t="str">
        <f>IFERROR(INDEX('11'!C$300:C$400,MATCH("*"&amp;H59&amp;"*",'11'!B$300:B$400,0)),"  ")</f>
        <v xml:space="preserve">  </v>
      </c>
      <c r="AL59" s="75" t="str">
        <f>IFERROR(INDEX('12'!C$300:C$400,MATCH("*"&amp;H59&amp;"*",'12'!B$300:B$400,0)),"  ")</f>
        <v xml:space="preserve">  </v>
      </c>
      <c r="AM59" s="26">
        <f t="shared" ca="1" si="27"/>
        <v>4</v>
      </c>
      <c r="AN59" s="579">
        <f t="shared" ca="1" si="28"/>
        <v>0</v>
      </c>
      <c r="AO59" s="580">
        <f t="shared" ca="1" si="29"/>
        <v>0</v>
      </c>
      <c r="AP59" s="27">
        <f t="shared" ca="1" si="30"/>
        <v>0</v>
      </c>
      <c r="AQ59" s="933">
        <f t="shared" si="17"/>
        <v>2.0000000000000001E-4</v>
      </c>
      <c r="AR59" s="933">
        <f t="shared" ca="1" si="18"/>
        <v>1E-4</v>
      </c>
    </row>
    <row r="60" spans="1:44" x14ac:dyDescent="0.2">
      <c r="A60" s="851">
        <f t="shared" ca="1" si="19"/>
        <v>36</v>
      </c>
      <c r="B60" s="77">
        <f t="shared" ca="1" si="20"/>
        <v>10274</v>
      </c>
      <c r="C60" s="853" t="str">
        <f t="shared" ca="1" si="15"/>
        <v/>
      </c>
      <c r="D60" s="76">
        <f t="shared" si="21"/>
        <v>0</v>
      </c>
      <c r="E60" s="855" t="str">
        <f t="shared" ca="1" si="16"/>
        <v/>
      </c>
      <c r="F60" s="899">
        <f t="shared" si="22"/>
        <v>0</v>
      </c>
      <c r="G60" s="897">
        <f t="shared" ca="1" si="6"/>
        <v>52</v>
      </c>
      <c r="H60" s="133" t="s">
        <v>161</v>
      </c>
      <c r="I60" s="38"/>
      <c r="J60" s="585"/>
      <c r="K60" s="586"/>
      <c r="L60" s="587"/>
      <c r="M60" s="857">
        <f ca="1">(IF(COUNT(V60,AA60,AD60,AI60,AJ60,AL60)&lt;5,SUM(V60,AA60,AD60,AI60,AJ60,AL60),SUM(LARGE((V60,AA60,AD60,AI60,AJ60,AL60),{1;2;3;4;5}))))+(IF(COUNT(U60,W60,AB60,AC60,AE60,AK60)&lt;5,SUM(U60,W60,AB60,AC60,AE60,AK60),SUM(LARGE((U60,W60,AB60,AC60,AE60,AK60),{1;2;3;4;5}))))+T60</f>
        <v>274</v>
      </c>
      <c r="N60" s="862">
        <f>IF(I60="n",((IF(COUNT(V60,AA60,AD60,AI60,AJ60,AL60)&lt;5,SUM(V60,AA60,AD60,AI60,AJ60,AL60),SUM(LARGE((V60,AA60,AD60,AI60,AJ60,AL60),{1;2;3;4;5}))))+(IF(COUNT(U60,Y60,AB60,AC60,AG60,AK60)&lt;5,SUM(U60,Y60,AB60,AC60,AG60,AK60),SUM(LARGE((U60,Y60,AB60,AC60,AG60,AK60),{1;2;3;4;5}))))+T60),0)</f>
        <v>0</v>
      </c>
      <c r="O60" s="863">
        <f>IF(J60="j",((IF(COUNT(V60,AA60,AD60,AI60,AJ60,AL60)&lt;5,SUM(V60,AA60,AD60,AI60,AJ60,AL60),SUM(LARGE((V60,AA60,AD60,AI60,AJ60,AL60),{1;2;3;4;5}))))+(IF(COUNT(U60,W60,AB60,AC60,AE60,AK60)&lt;5,SUM(U60,W60,AB60,AC60,AE60,AK60),SUM(LARGE((U60,W60,AB60,AC60,AE60,AK60),{1;2;3;4;5}))))+T60),0)</f>
        <v>0</v>
      </c>
      <c r="P60" s="886" t="str">
        <f t="shared" ca="1" si="23"/>
        <v>274,0</v>
      </c>
      <c r="Q60" s="890">
        <f t="shared" si="24"/>
        <v>107</v>
      </c>
      <c r="R60" s="886" t="str">
        <f t="shared" ca="1" si="25"/>
        <v>0274,0-107</v>
      </c>
      <c r="S60" s="889">
        <f t="shared" ca="1" si="26"/>
        <v>142</v>
      </c>
      <c r="T60" s="847">
        <v>1</v>
      </c>
      <c r="U60" s="75">
        <f>IFERROR(INDEX('1'!C$300:C$400,MATCH("*"&amp;H60&amp;"*",'1'!B$300:B$400,0)),"  ")</f>
        <v>69</v>
      </c>
      <c r="V60" s="199" t="str">
        <f>IFERROR(INDEX('2'!C$300:C$400,MATCH("*"&amp;H60&amp;"*",'2'!B$300:B$400,0)),"  ")</f>
        <v xml:space="preserve">  </v>
      </c>
      <c r="W60" s="199" t="str">
        <f ca="1">IF(I60="",IFERROR(INDEX('3M'!C$300:C$400,MATCH("*"&amp;H60&amp;"*",'3M'!B$300:B$400,0)),"  "),IFERROR(INDEX('3N'!D$300:D$400,MATCH("*"&amp;H60&amp;"*",'3N'!B$300:B$400,0)),"  "))</f>
        <v xml:space="preserve">  </v>
      </c>
      <c r="X60" s="908" t="str">
        <f ca="1">IFERROR(INDEX('3M'!C$300:C$400,MATCH("*"&amp;H60&amp;"*",'3M'!B$300:B$400,0)),"  ")</f>
        <v xml:space="preserve">  </v>
      </c>
      <c r="Y60" s="907" t="str">
        <f ca="1">IFERROR(INDEX('3N'!C$300:C$400,MATCH("*"&amp;H60&amp;"*",'3N'!B$300:B$400,0)),"  ")</f>
        <v xml:space="preserve">  </v>
      </c>
      <c r="Z60" s="440"/>
      <c r="AA60" s="75" t="str">
        <f>IFERROR(INDEX('4'!C$300:C$400,MATCH("*"&amp;H60&amp;"*",'4'!B$300:B$400,0)),"  ")</f>
        <v xml:space="preserve">  </v>
      </c>
      <c r="AB60" s="75">
        <f>IFERROR(INDEX('5'!C$300:C$400,MATCH("*"&amp;H60&amp;"*",'5'!B$300:B$400,0)),"  ")</f>
        <v>69</v>
      </c>
      <c r="AC60" s="75" t="str">
        <f>IFERROR(INDEX('6'!C$300:C$400,MATCH("*"&amp;H60&amp;"*",'6'!B$300:B$400,0)),"  ")</f>
        <v xml:space="preserve">  </v>
      </c>
      <c r="AD60" s="75" t="str">
        <f>IFERROR(INDEX('7'!C$300:C$400,MATCH("*"&amp;H60&amp;"*",'7'!B$300:B$400,0)),"  ")</f>
        <v xml:space="preserve">  </v>
      </c>
      <c r="AE60" s="75" t="str">
        <f>IF(I60="",IFERROR(INDEX('8M'!C$300:C$400,MATCH("*"&amp;H60&amp;"*",'8M'!B$300:B$400,0)),"  "),IFERROR(INDEX('8N'!D$300:D$400,MATCH("*"&amp;H60&amp;"*",'8N'!B$300:B$400,0)),"  "))</f>
        <v xml:space="preserve">  </v>
      </c>
      <c r="AF60" s="908" t="str">
        <f>IFERROR(INDEX('8M'!C$300:C$400,MATCH("*"&amp;H60&amp;"*",'8M'!B$300:B$400,0)),"  ")</f>
        <v xml:space="preserve">  </v>
      </c>
      <c r="AG60" s="907" t="str">
        <f>IFERROR(INDEX('8N'!C$300:C$400,MATCH("*"&amp;H60&amp;"*",'8N'!B$300:B$400,0)),"  ")</f>
        <v xml:space="preserve">  </v>
      </c>
      <c r="AH60" s="440"/>
      <c r="AI60" s="75" t="str">
        <f>IFERROR(INDEX('9'!C$300:C$400,MATCH("*"&amp;H60&amp;"*",'9'!B$300:B$400,0)),"  ")</f>
        <v xml:space="preserve">  </v>
      </c>
      <c r="AJ60" s="830" t="str">
        <f>IFERROR(INDEX('10'!C$300:C$400,MATCH("*"&amp;H60&amp;"*",'10'!B$300:B$400,0)),"  ")</f>
        <v xml:space="preserve">  </v>
      </c>
      <c r="AK60" s="75">
        <f>IFERROR(INDEX('11'!C$300:C$400,MATCH("*"&amp;H60&amp;"*",'11'!B$300:B$400,0)),"  ")</f>
        <v>135</v>
      </c>
      <c r="AL60" s="75" t="str">
        <f>IFERROR(INDEX('12'!C$300:C$400,MATCH("*"&amp;H60&amp;"*",'12'!B$300:B$400,0)),"  ")</f>
        <v xml:space="preserve">  </v>
      </c>
      <c r="AM60" s="26">
        <f t="shared" ca="1" si="27"/>
        <v>3</v>
      </c>
      <c r="AN60" s="579">
        <f t="shared" ca="1" si="28"/>
        <v>0</v>
      </c>
      <c r="AO60" s="580">
        <f t="shared" ca="1" si="29"/>
        <v>0</v>
      </c>
      <c r="AP60" s="27">
        <f t="shared" ca="1" si="30"/>
        <v>0</v>
      </c>
      <c r="AQ60" s="933">
        <f t="shared" si="17"/>
        <v>2.0000000000000001E-4</v>
      </c>
      <c r="AR60" s="933">
        <f t="shared" ca="1" si="18"/>
        <v>2.9999999999999997E-4</v>
      </c>
    </row>
    <row r="61" spans="1:44" x14ac:dyDescent="0.2">
      <c r="A61" s="851">
        <f t="shared" ca="1" si="19"/>
        <v>37</v>
      </c>
      <c r="B61" s="77">
        <f t="shared" ca="1" si="20"/>
        <v>10258</v>
      </c>
      <c r="C61" s="853" t="str">
        <f t="shared" ca="1" si="15"/>
        <v/>
      </c>
      <c r="D61" s="76">
        <f t="shared" si="21"/>
        <v>0</v>
      </c>
      <c r="E61" s="855" t="str">
        <f t="shared" ca="1" si="16"/>
        <v/>
      </c>
      <c r="F61" s="899">
        <f t="shared" si="22"/>
        <v>0</v>
      </c>
      <c r="G61" s="897">
        <f t="shared" ca="1" si="6"/>
        <v>53</v>
      </c>
      <c r="H61" s="133" t="s">
        <v>619</v>
      </c>
      <c r="I61" s="38"/>
      <c r="J61" s="589"/>
      <c r="K61" s="586"/>
      <c r="L61" s="587"/>
      <c r="M61" s="857">
        <f ca="1">(IF(COUNT(V61,AA61,AD61,AI61,AJ61,AL61)&lt;5,SUM(V61,AA61,AD61,AI61,AJ61,AL61),SUM(LARGE((V61,AA61,AD61,AI61,AJ61,AL61),{1;2;3;4;5}))))+(IF(COUNT(U61,W61,AB61,AC61,AE61,AK61)&lt;5,SUM(U61,W61,AB61,AC61,AE61,AK61),SUM(LARGE((U61,W61,AB61,AC61,AE61,AK61),{1;2;3;4;5}))))+T61</f>
        <v>258</v>
      </c>
      <c r="N61" s="862">
        <f>IF(I61="n",((IF(COUNT(V61,AA61,AD61,AI61,AJ61,AL61)&lt;5,SUM(V61,AA61,AD61,AI61,AJ61,AL61),SUM(LARGE((V61,AA61,AD61,AI61,AJ61,AL61),{1;2;3;4;5}))))+(IF(COUNT(U61,Y61,AB61,AC61,AG61,AK61)&lt;5,SUM(U61,Y61,AB61,AC61,AG61,AK61),SUM(LARGE((U61,Y61,AB61,AC61,AG61,AK61),{1;2;3;4;5}))))+T61),0)</f>
        <v>0</v>
      </c>
      <c r="O61" s="863">
        <f>IF(J61="j",((IF(COUNT(V61,AA61,AD61,AI61,AJ61,AL61)&lt;5,SUM(V61,AA61,AD61,AI61,AJ61,AL61),SUM(LARGE((V61,AA61,AD61,AI61,AJ61,AL61),{1;2;3;4;5}))))+(IF(COUNT(U61,W61,AB61,AC61,AE61,AK61)&lt;5,SUM(U61,W61,AB61,AC61,AE61,AK61),SUM(LARGE((U61,W61,AB61,AC61,AE61,AK61),{1;2;3;4;5}))))+T61),0)</f>
        <v>0</v>
      </c>
      <c r="P61" s="886" t="str">
        <f t="shared" ca="1" si="23"/>
        <v>258,0</v>
      </c>
      <c r="Q61" s="890">
        <f t="shared" si="24"/>
        <v>165</v>
      </c>
      <c r="R61" s="886" t="str">
        <f t="shared" ca="1" si="25"/>
        <v>0258,0-165</v>
      </c>
      <c r="S61" s="889">
        <f t="shared" ca="1" si="26"/>
        <v>141</v>
      </c>
      <c r="T61" s="847"/>
      <c r="U61" s="75" t="str">
        <f>IFERROR(INDEX('1'!C$300:C$400,MATCH("*"&amp;H61&amp;"*",'1'!B$300:B$400,0)),"  ")</f>
        <v xml:space="preserve">  </v>
      </c>
      <c r="V61" s="199" t="str">
        <f>IFERROR(INDEX('2'!C$300:C$400,MATCH("*"&amp;H61&amp;"*",'2'!B$300:B$400,0)),"  ")</f>
        <v xml:space="preserve">  </v>
      </c>
      <c r="W61" s="199" t="str">
        <f ca="1">IF(I61="",IFERROR(INDEX('3M'!C$300:C$400,MATCH("*"&amp;H61&amp;"*",'3M'!B$300:B$400,0)),"  "),IFERROR(INDEX('3N'!D$300:D$400,MATCH("*"&amp;H61&amp;"*",'3N'!B$300:B$400,0)),"  "))</f>
        <v xml:space="preserve">  </v>
      </c>
      <c r="X61" s="908" t="str">
        <f ca="1">IFERROR(INDEX('3M'!C$300:C$400,MATCH("*"&amp;H61&amp;"*",'3M'!B$300:B$400,0)),"  ")</f>
        <v xml:space="preserve">  </v>
      </c>
      <c r="Y61" s="907" t="str">
        <f ca="1">IFERROR(INDEX('3N'!C$300:C$400,MATCH("*"&amp;H61&amp;"*",'3N'!B$300:B$400,0)),"  ")</f>
        <v xml:space="preserve">  </v>
      </c>
      <c r="Z61" s="440"/>
      <c r="AA61" s="75" t="str">
        <f>IFERROR(INDEX('4'!C$300:C$400,MATCH("*"&amp;H61&amp;"*",'4'!B$300:B$400,0)),"  ")</f>
        <v xml:space="preserve">  </v>
      </c>
      <c r="AB61" s="75">
        <f>IFERROR(INDEX('5'!C$300:C$400,MATCH("*"&amp;H61&amp;"*",'5'!B$300:B$400,0)),"  ")</f>
        <v>135</v>
      </c>
      <c r="AC61" s="75" t="str">
        <f>IFERROR(INDEX('6'!C$300:C$400,MATCH("*"&amp;H61&amp;"*",'6'!B$300:B$400,0)),"  ")</f>
        <v xml:space="preserve">  </v>
      </c>
      <c r="AD61" s="75" t="str">
        <f>IFERROR(INDEX('7'!C$300:C$400,MATCH("*"&amp;H61&amp;"*",'7'!B$300:B$400,0)),"  ")</f>
        <v xml:space="preserve">  </v>
      </c>
      <c r="AE61" s="75" t="str">
        <f>IF(I61="",IFERROR(INDEX('8M'!C$300:C$400,MATCH("*"&amp;H61&amp;"*",'8M'!B$300:B$400,0)),"  "),IFERROR(INDEX('8N'!D$300:D$400,MATCH("*"&amp;H61&amp;"*",'8N'!B$300:B$400,0)),"  "))</f>
        <v xml:space="preserve">  </v>
      </c>
      <c r="AF61" s="908" t="str">
        <f>IFERROR(INDEX('8M'!C$300:C$400,MATCH("*"&amp;H61&amp;"*",'8M'!B$300:B$400,0)),"  ")</f>
        <v xml:space="preserve">  </v>
      </c>
      <c r="AG61" s="907" t="str">
        <f>IFERROR(INDEX('8N'!C$300:C$400,MATCH("*"&amp;H61&amp;"*",'8N'!B$300:B$400,0)),"  ")</f>
        <v xml:space="preserve">  </v>
      </c>
      <c r="AH61" s="440"/>
      <c r="AI61" s="75" t="str">
        <f>IFERROR(INDEX('9'!C$300:C$400,MATCH("*"&amp;H61&amp;"*",'9'!B$300:B$400,0)),"  ")</f>
        <v xml:space="preserve">  </v>
      </c>
      <c r="AJ61" s="830">
        <f>IFERROR(INDEX('10'!C$300:C$400,MATCH("*"&amp;H61&amp;"*",'10'!B$300:B$400,0)),"  ")</f>
        <v>49</v>
      </c>
      <c r="AK61" s="75">
        <f>IFERROR(INDEX('11'!C$300:C$400,MATCH("*"&amp;H61&amp;"*",'11'!B$300:B$400,0)),"  ")</f>
        <v>74</v>
      </c>
      <c r="AL61" s="75" t="str">
        <f>IFERROR(INDEX('12'!C$300:C$400,MATCH("*"&amp;H61&amp;"*",'12'!B$300:B$400,0)),"  ")</f>
        <v xml:space="preserve">  </v>
      </c>
      <c r="AM61" s="26">
        <f t="shared" ca="1" si="27"/>
        <v>3</v>
      </c>
      <c r="AN61" s="579">
        <f t="shared" ca="1" si="28"/>
        <v>0</v>
      </c>
      <c r="AO61" s="580">
        <f t="shared" ca="1" si="29"/>
        <v>0</v>
      </c>
      <c r="AP61" s="27">
        <f t="shared" ca="1" si="30"/>
        <v>0</v>
      </c>
      <c r="AQ61" s="933">
        <f t="shared" si="17"/>
        <v>2.0000000000000001E-4</v>
      </c>
      <c r="AR61" s="933">
        <f t="shared" ca="1" si="18"/>
        <v>1E-4</v>
      </c>
    </row>
    <row r="62" spans="1:44" x14ac:dyDescent="0.2">
      <c r="A62" s="851">
        <f t="shared" ca="1" si="19"/>
        <v>38</v>
      </c>
      <c r="B62" s="77">
        <f t="shared" ca="1" si="20"/>
        <v>10250</v>
      </c>
      <c r="C62" s="853" t="str">
        <f t="shared" ca="1" si="15"/>
        <v/>
      </c>
      <c r="D62" s="76">
        <f t="shared" si="21"/>
        <v>0</v>
      </c>
      <c r="E62" s="855" t="str">
        <f t="shared" ca="1" si="16"/>
        <v/>
      </c>
      <c r="F62" s="899">
        <f t="shared" si="22"/>
        <v>0</v>
      </c>
      <c r="G62" s="897">
        <f t="shared" ca="1" si="6"/>
        <v>54</v>
      </c>
      <c r="H62" s="133" t="s">
        <v>56</v>
      </c>
      <c r="I62" s="38"/>
      <c r="J62" s="585"/>
      <c r="K62" s="586"/>
      <c r="L62" s="587"/>
      <c r="M62" s="857">
        <f ca="1">(IF(COUNT(V62,AA62,AD62,AI62,AJ62,AL62)&lt;5,SUM(V62,AA62,AD62,AI62,AJ62,AL62),SUM(LARGE((V62,AA62,AD62,AI62,AJ62,AL62),{1;2;3;4;5}))))+(IF(COUNT(U62,W62,AB62,AC62,AE62,AK62)&lt;5,SUM(U62,W62,AB62,AC62,AE62,AK62),SUM(LARGE((U62,W62,AB62,AC62,AE62,AK62),{1;2;3;4;5}))))+T62</f>
        <v>250</v>
      </c>
      <c r="N62" s="862">
        <f>IF(I62="n",((IF(COUNT(V62,AA62,AD62,AI62,AJ62,AL62)&lt;5,SUM(V62,AA62,AD62,AI62,AJ62,AL62),SUM(LARGE((V62,AA62,AD62,AI62,AJ62,AL62),{1;2;3;4;5}))))+(IF(COUNT(U62,Y62,AB62,AC62,AG62,AK62)&lt;5,SUM(U62,Y62,AB62,AC62,AG62,AK62),SUM(LARGE((U62,Y62,AB62,AC62,AG62,AK62),{1;2;3;4;5}))))+T62),0)</f>
        <v>0</v>
      </c>
      <c r="O62" s="863">
        <f>IF(J62="j",((IF(COUNT(V62,AA62,AD62,AI62,AJ62,AL62)&lt;5,SUM(V62,AA62,AD62,AI62,AJ62,AL62),SUM(LARGE((V62,AA62,AD62,AI62,AJ62,AL62),{1;2;3;4;5}))))+(IF(COUNT(U62,W62,AB62,AC62,AE62,AK62)&lt;5,SUM(U62,W62,AB62,AC62,AE62,AK62),SUM(LARGE((U62,W62,AB62,AC62,AE62,AK62),{1;2;3;4;5}))))+T62),0)</f>
        <v>0</v>
      </c>
      <c r="P62" s="886" t="str">
        <f t="shared" ca="1" si="23"/>
        <v>250,0</v>
      </c>
      <c r="Q62" s="890">
        <f t="shared" si="24"/>
        <v>191</v>
      </c>
      <c r="R62" s="886" t="str">
        <f t="shared" ca="1" si="25"/>
        <v>0250,0-191</v>
      </c>
      <c r="S62" s="889">
        <f t="shared" ca="1" si="26"/>
        <v>140</v>
      </c>
      <c r="T62" s="847">
        <v>1</v>
      </c>
      <c r="U62" s="75" t="str">
        <f>IFERROR(INDEX('1'!C$300:C$400,MATCH("*"&amp;H62&amp;"*",'1'!B$300:B$400,0)),"  ")</f>
        <v xml:space="preserve">  </v>
      </c>
      <c r="V62" s="199" t="str">
        <f>IFERROR(INDEX('2'!C$300:C$400,MATCH("*"&amp;H62&amp;"*",'2'!B$300:B$400,0)),"  ")</f>
        <v xml:space="preserve">  </v>
      </c>
      <c r="W62" s="199" t="str">
        <f ca="1">IF(I62="",IFERROR(INDEX('3M'!C$300:C$400,MATCH("*"&amp;H62&amp;"*",'3M'!B$300:B$400,0)),"  "),IFERROR(INDEX('3N'!D$300:D$400,MATCH("*"&amp;H62&amp;"*",'3N'!B$300:B$400,0)),"  "))</f>
        <v xml:space="preserve">  </v>
      </c>
      <c r="X62" s="908" t="str">
        <f ca="1">IFERROR(INDEX('3M'!C$300:C$400,MATCH("*"&amp;H62&amp;"*",'3M'!B$300:B$400,0)),"  ")</f>
        <v xml:space="preserve">  </v>
      </c>
      <c r="Y62" s="907" t="str">
        <f ca="1">IFERROR(INDEX('3N'!C$300:C$400,MATCH("*"&amp;H62&amp;"*",'3N'!B$300:B$400,0)),"  ")</f>
        <v xml:space="preserve">  </v>
      </c>
      <c r="Z62" s="440"/>
      <c r="AA62" s="75" t="str">
        <f>IFERROR(INDEX('4'!C$300:C$400,MATCH("*"&amp;H62&amp;"*",'4'!B$300:B$400,0)),"  ")</f>
        <v xml:space="preserve">  </v>
      </c>
      <c r="AB62" s="75" t="str">
        <f>IFERROR(INDEX('5'!C$300:C$400,MATCH("*"&amp;H62&amp;"*",'5'!B$300:B$400,0)),"  ")</f>
        <v xml:space="preserve">  </v>
      </c>
      <c r="AC62" s="75" t="str">
        <f>IFERROR(INDEX('6'!C$300:C$400,MATCH("*"&amp;H62&amp;"*",'6'!B$300:B$400,0)),"  ")</f>
        <v xml:space="preserve">  </v>
      </c>
      <c r="AD62" s="75" t="str">
        <f>IFERROR(INDEX('7'!C$300:C$400,MATCH("*"&amp;H62&amp;"*",'7'!B$300:B$400,0)),"  ")</f>
        <v xml:space="preserve">  </v>
      </c>
      <c r="AE62" s="75">
        <f>IF(I62="",IFERROR(INDEX('8M'!C$300:C$400,MATCH("*"&amp;H62&amp;"*",'8M'!B$300:B$400,0)),"  "),IFERROR(INDEX('8N'!D$300:D$400,MATCH("*"&amp;H62&amp;"*",'8N'!B$300:B$400,0)),"  "))</f>
        <v>78</v>
      </c>
      <c r="AF62" s="908">
        <f>IFERROR(INDEX('8M'!C$300:C$400,MATCH("*"&amp;H62&amp;"*",'8M'!B$300:B$400,0)),"  ")</f>
        <v>78</v>
      </c>
      <c r="AG62" s="907" t="str">
        <f>IFERROR(INDEX('8N'!C$300:C$400,MATCH("*"&amp;H62&amp;"*",'8N'!B$300:B$400,0)),"  ")</f>
        <v xml:space="preserve">  </v>
      </c>
      <c r="AH62" s="440"/>
      <c r="AI62" s="75" t="str">
        <f>IFERROR(INDEX('9'!C$300:C$400,MATCH("*"&amp;H62&amp;"*",'9'!B$300:B$400,0)),"  ")</f>
        <v xml:space="preserve">  </v>
      </c>
      <c r="AJ62" s="830" t="str">
        <f>IFERROR(INDEX('10'!C$300:C$400,MATCH("*"&amp;H62&amp;"*",'10'!B$300:B$400,0)),"  ")</f>
        <v xml:space="preserve">  </v>
      </c>
      <c r="AK62" s="75">
        <f>IFERROR(INDEX('11'!C$300:C$400,MATCH("*"&amp;H62&amp;"*",'11'!B$300:B$400,0)),"  ")</f>
        <v>119</v>
      </c>
      <c r="AL62" s="75">
        <f>IFERROR(INDEX('12'!C$300:C$400,MATCH("*"&amp;H62&amp;"*",'12'!B$300:B$400,0)),"  ")</f>
        <v>52</v>
      </c>
      <c r="AM62" s="26">
        <f t="shared" ca="1" si="27"/>
        <v>3</v>
      </c>
      <c r="AN62" s="579">
        <f t="shared" ca="1" si="28"/>
        <v>0</v>
      </c>
      <c r="AO62" s="580">
        <f t="shared" ca="1" si="29"/>
        <v>0</v>
      </c>
      <c r="AP62" s="27">
        <f t="shared" ca="1" si="30"/>
        <v>0</v>
      </c>
      <c r="AQ62" s="933">
        <f t="shared" si="17"/>
        <v>2.0000000000000001E-4</v>
      </c>
      <c r="AR62" s="933">
        <f t="shared" ca="1" si="18"/>
        <v>1E-4</v>
      </c>
    </row>
    <row r="63" spans="1:44" x14ac:dyDescent="0.2">
      <c r="A63" s="851" t="str">
        <f t="shared" ca="1" si="19"/>
        <v/>
      </c>
      <c r="B63" s="77">
        <f t="shared" si="20"/>
        <v>0</v>
      </c>
      <c r="C63" s="853">
        <f t="shared" ca="1" si="15"/>
        <v>17</v>
      </c>
      <c r="D63" s="76">
        <f t="shared" ca="1" si="21"/>
        <v>10248</v>
      </c>
      <c r="E63" s="855" t="str">
        <f t="shared" ca="1" si="16"/>
        <v/>
      </c>
      <c r="F63" s="899">
        <f t="shared" si="22"/>
        <v>0</v>
      </c>
      <c r="G63" s="897">
        <f t="shared" ca="1" si="6"/>
        <v>55</v>
      </c>
      <c r="H63" s="133" t="s">
        <v>69</v>
      </c>
      <c r="I63" s="38" t="s">
        <v>32</v>
      </c>
      <c r="J63" s="585"/>
      <c r="K63" s="586"/>
      <c r="L63" s="587"/>
      <c r="M63" s="857">
        <f ca="1">(IF(COUNT(V63,AA63,AD63,AI63,AJ63,AL63)&lt;5,SUM(V63,AA63,AD63,AI63,AJ63,AL63),SUM(LARGE((V63,AA63,AD63,AI63,AJ63,AL63),{1;2;3;4;5}))))+(IF(COUNT(U63,W63,AB63,AC63,AE63,AK63)&lt;5,SUM(U63,W63,AB63,AC63,AE63,AK63),SUM(LARGE((U63,W63,AB63,AC63,AE63,AK63),{1;2;3;4;5}))))+T63</f>
        <v>248</v>
      </c>
      <c r="N63" s="862">
        <f ca="1">IF(I63="n",((IF(COUNT(V63,AA63,AD63,AI63,AJ63,AL63)&lt;5,SUM(V63,AA63,AD63,AI63,AJ63,AL63),SUM(LARGE((V63,AA63,AD63,AI63,AJ63,AL63),{1;2;3;4;5}))))+(IF(COUNT(U63,Y63,AB63,AC63,AG63,AK63)&lt;5,SUM(U63,Y63,AB63,AC63,AG63,AK63),SUM(LARGE((U63,Y63,AB63,AC63,AG63,AK63),{1;2;3;4;5}))))+T63),0)</f>
        <v>248</v>
      </c>
      <c r="O63" s="863">
        <f>IF(J63="j",((IF(COUNT(V63,AA63,AD63,AI63,AJ63,AL63)&lt;5,SUM(V63,AA63,AD63,AI63,AJ63,AL63),SUM(LARGE((V63,AA63,AD63,AI63,AJ63,AL63),{1;2;3;4;5}))))+(IF(COUNT(U63,W63,AB63,AC63,AE63,AK63)&lt;5,SUM(U63,W63,AB63,AC63,AE63,AK63),SUM(LARGE((U63,W63,AB63,AC63,AE63,AK63),{1;2;3;4;5}))))+T63),0)</f>
        <v>0</v>
      </c>
      <c r="P63" s="886" t="str">
        <f t="shared" ca="1" si="23"/>
        <v>248,0</v>
      </c>
      <c r="Q63" s="890">
        <f t="shared" si="24"/>
        <v>137</v>
      </c>
      <c r="R63" s="886" t="str">
        <f t="shared" ca="1" si="25"/>
        <v>0248,0-137</v>
      </c>
      <c r="S63" s="889">
        <f t="shared" ca="1" si="26"/>
        <v>139</v>
      </c>
      <c r="T63" s="847"/>
      <c r="U63" s="75">
        <f>IFERROR(INDEX('1'!C$300:C$400,MATCH("*"&amp;H63&amp;"*",'1'!B$300:B$400,0)),"  ")</f>
        <v>158</v>
      </c>
      <c r="V63" s="199">
        <f>IFERROR(INDEX('2'!C$300:C$400,MATCH("*"&amp;H63&amp;"*",'2'!B$300:B$400,0)),"  ")</f>
        <v>90</v>
      </c>
      <c r="W63" s="199" t="str">
        <f ca="1">IF(I63="",IFERROR(INDEX('3M'!C$300:C$400,MATCH("*"&amp;H63&amp;"*",'3M'!B$300:B$400,0)),"  "),IFERROR(INDEX('3N'!D$300:D$400,MATCH("*"&amp;H63&amp;"*",'3N'!B$300:B$400,0)),"  "))</f>
        <v xml:space="preserve">  </v>
      </c>
      <c r="X63" s="908" t="str">
        <f ca="1">IFERROR(INDEX('3M'!C$300:C$400,MATCH("*"&amp;H63&amp;"*",'3M'!B$300:B$400,0)),"  ")</f>
        <v xml:space="preserve">  </v>
      </c>
      <c r="Y63" s="907" t="str">
        <f ca="1">IFERROR(INDEX('3N'!C$300:C$400,MATCH("*"&amp;H63&amp;"*",'3N'!B$300:B$400,0)),"  ")</f>
        <v xml:space="preserve">  </v>
      </c>
      <c r="Z63" s="440"/>
      <c r="AA63" s="75" t="str">
        <f>IFERROR(INDEX('4'!C$300:C$400,MATCH("*"&amp;H63&amp;"*",'4'!B$300:B$400,0)),"  ")</f>
        <v xml:space="preserve">  </v>
      </c>
      <c r="AB63" s="75" t="str">
        <f>IFERROR(INDEX('5'!C$300:C$400,MATCH("*"&amp;H63&amp;"*",'5'!B$300:B$400,0)),"  ")</f>
        <v xml:space="preserve">  </v>
      </c>
      <c r="AC63" s="75" t="str">
        <f>IFERROR(INDEX('6'!C$300:C$400,MATCH("*"&amp;H63&amp;"*",'6'!B$300:B$400,0)),"  ")</f>
        <v xml:space="preserve">  </v>
      </c>
      <c r="AD63" s="75" t="str">
        <f>IFERROR(INDEX('7'!C$300:C$400,MATCH("*"&amp;H63&amp;"*",'7'!B$300:B$400,0)),"  ")</f>
        <v xml:space="preserve">  </v>
      </c>
      <c r="AE63" s="75" t="str">
        <f>IF(I63="",IFERROR(INDEX('8M'!C$300:C$400,MATCH("*"&amp;H63&amp;"*",'8M'!B$300:B$400,0)),"  "),IFERROR(INDEX('8N'!D$300:D$400,MATCH("*"&amp;H63&amp;"*",'8N'!B$300:B$400,0)),"  "))</f>
        <v xml:space="preserve">  </v>
      </c>
      <c r="AF63" s="908" t="str">
        <f>IFERROR(INDEX('8M'!C$300:C$400,MATCH("*"&amp;H63&amp;"*",'8M'!B$300:B$400,0)),"  ")</f>
        <v xml:space="preserve">  </v>
      </c>
      <c r="AG63" s="907" t="str">
        <f>IFERROR(INDEX('8N'!C$300:C$400,MATCH("*"&amp;H63&amp;"*",'8N'!B$300:B$400,0)),"  ")</f>
        <v xml:space="preserve">  </v>
      </c>
      <c r="AH63" s="440"/>
      <c r="AI63" s="75" t="str">
        <f>IFERROR(INDEX('9'!C$300:C$400,MATCH("*"&amp;H63&amp;"*",'9'!B$300:B$400,0)),"  ")</f>
        <v xml:space="preserve">  </v>
      </c>
      <c r="AJ63" s="830" t="str">
        <f>IFERROR(INDEX('10'!C$300:C$400,MATCH("*"&amp;H63&amp;"*",'10'!B$300:B$400,0)),"  ")</f>
        <v xml:space="preserve">  </v>
      </c>
      <c r="AK63" s="75" t="str">
        <f>IFERROR(INDEX('11'!C$300:C$400,MATCH("*"&amp;H63&amp;"*",'11'!B$300:B$400,0)),"  ")</f>
        <v xml:space="preserve">  </v>
      </c>
      <c r="AL63" s="75" t="str">
        <f>IFERROR(INDEX('12'!C$300:C$400,MATCH("*"&amp;H63&amp;"*",'12'!B$300:B$400,0)),"  ")</f>
        <v xml:space="preserve">  </v>
      </c>
      <c r="AM63" s="26">
        <f t="shared" ca="1" si="27"/>
        <v>2</v>
      </c>
      <c r="AN63" s="579">
        <f t="shared" ca="1" si="28"/>
        <v>1</v>
      </c>
      <c r="AO63" s="580">
        <f t="shared" ca="1" si="29"/>
        <v>0</v>
      </c>
      <c r="AP63" s="27">
        <f t="shared" ca="1" si="30"/>
        <v>0</v>
      </c>
      <c r="AQ63" s="933">
        <f t="shared" si="17"/>
        <v>4.0000000000000002E-4</v>
      </c>
      <c r="AR63" s="933">
        <f t="shared" ca="1" si="18"/>
        <v>2.9999999999999997E-4</v>
      </c>
    </row>
    <row r="64" spans="1:44" x14ac:dyDescent="0.2">
      <c r="A64" s="851">
        <f t="shared" ca="1" si="19"/>
        <v>39</v>
      </c>
      <c r="B64" s="77">
        <f t="shared" ca="1" si="20"/>
        <v>10245</v>
      </c>
      <c r="C64" s="853" t="str">
        <f t="shared" ca="1" si="15"/>
        <v/>
      </c>
      <c r="D64" s="76">
        <f t="shared" si="21"/>
        <v>0</v>
      </c>
      <c r="E64" s="855" t="str">
        <f t="shared" ca="1" si="16"/>
        <v/>
      </c>
      <c r="F64" s="899">
        <f t="shared" si="22"/>
        <v>0</v>
      </c>
      <c r="G64" s="897">
        <f t="shared" ca="1" si="6"/>
        <v>56</v>
      </c>
      <c r="H64" s="133" t="s">
        <v>48</v>
      </c>
      <c r="I64" s="38"/>
      <c r="J64" s="585"/>
      <c r="K64" s="586"/>
      <c r="L64" s="587"/>
      <c r="M64" s="857">
        <f ca="1">(IF(COUNT(V64,AA64,AD64,AI64,AJ64,AL64)&lt;5,SUM(V64,AA64,AD64,AI64,AJ64,AL64),SUM(LARGE((V64,AA64,AD64,AI64,AJ64,AL64),{1;2;3;4;5}))))+(IF(COUNT(U64,W64,AB64,AC64,AE64,AK64)&lt;5,SUM(U64,W64,AB64,AC64,AE64,AK64),SUM(LARGE((U64,W64,AB64,AC64,AE64,AK64),{1;2;3;4;5}))))+T64</f>
        <v>245</v>
      </c>
      <c r="N64" s="862">
        <f>IF(I64="n",((IF(COUNT(V64,AA64,AD64,AI64,AJ64,AL64)&lt;5,SUM(V64,AA64,AD64,AI64,AJ64,AL64),SUM(LARGE((V64,AA64,AD64,AI64,AJ64,AL64),{1;2;3;4;5}))))+(IF(COUNT(U64,Y64,AB64,AC64,AG64,AK64)&lt;5,SUM(U64,Y64,AB64,AC64,AG64,AK64),SUM(LARGE((U64,Y64,AB64,AC64,AG64,AK64),{1;2;3;4;5}))))+T64),0)</f>
        <v>0</v>
      </c>
      <c r="O64" s="863">
        <f>IF(J64="j",((IF(COUNT(V64,AA64,AD64,AI64,AJ64,AL64)&lt;5,SUM(V64,AA64,AD64,AI64,AJ64,AL64),SUM(LARGE((V64,AA64,AD64,AI64,AJ64,AL64),{1;2;3;4;5}))))+(IF(COUNT(U64,W64,AB64,AC64,AE64,AK64)&lt;5,SUM(U64,W64,AB64,AC64,AE64,AK64),SUM(LARGE((U64,W64,AB64,AC64,AE64,AK64),{1;2;3;4;5}))))+T64),0)</f>
        <v>0</v>
      </c>
      <c r="P64" s="886" t="str">
        <f t="shared" ca="1" si="23"/>
        <v>245,0</v>
      </c>
      <c r="Q64" s="890">
        <f t="shared" si="24"/>
        <v>68</v>
      </c>
      <c r="R64" s="886" t="str">
        <f t="shared" ca="1" si="25"/>
        <v>0245,0-068</v>
      </c>
      <c r="S64" s="889">
        <f t="shared" ca="1" si="26"/>
        <v>138</v>
      </c>
      <c r="T64" s="847">
        <v>84</v>
      </c>
      <c r="U64" s="75" t="str">
        <f>IFERROR(INDEX('1'!C$300:C$400,MATCH("*"&amp;H64&amp;"*",'1'!B$300:B$400,0)),"  ")</f>
        <v xml:space="preserve">  </v>
      </c>
      <c r="V64" s="199" t="str">
        <f>IFERROR(INDEX('2'!C$300:C$400,MATCH("*"&amp;H64&amp;"*",'2'!B$300:B$400,0)),"  ")</f>
        <v xml:space="preserve">  </v>
      </c>
      <c r="W64" s="199" t="str">
        <f ca="1">IF(I64="",IFERROR(INDEX('3M'!C$300:C$400,MATCH("*"&amp;H64&amp;"*",'3M'!B$300:B$400,0)),"  "),IFERROR(INDEX('3N'!D$300:D$400,MATCH("*"&amp;H64&amp;"*",'3N'!B$300:B$400,0)),"  "))</f>
        <v xml:space="preserve">  </v>
      </c>
      <c r="X64" s="908" t="str">
        <f ca="1">IFERROR(INDEX('3M'!C$300:C$400,MATCH("*"&amp;H64&amp;"*",'3M'!B$300:B$400,0)),"  ")</f>
        <v xml:space="preserve">  </v>
      </c>
      <c r="Y64" s="907" t="str">
        <f ca="1">IFERROR(INDEX('3N'!C$300:C$400,MATCH("*"&amp;H64&amp;"*",'3N'!B$300:B$400,0)),"  ")</f>
        <v xml:space="preserve">  </v>
      </c>
      <c r="Z64" s="440"/>
      <c r="AA64" s="75" t="str">
        <f>IFERROR(INDEX('4'!C$300:C$400,MATCH("*"&amp;H64&amp;"*",'4'!B$300:B$400,0)),"  ")</f>
        <v xml:space="preserve">  </v>
      </c>
      <c r="AB64" s="75" t="str">
        <f>IFERROR(INDEX('5'!C$300:C$400,MATCH("*"&amp;H64&amp;"*",'5'!B$300:B$400,0)),"  ")</f>
        <v xml:space="preserve">  </v>
      </c>
      <c r="AC64" s="75" t="str">
        <f>IFERROR(INDEX('6'!C$300:C$400,MATCH("*"&amp;H64&amp;"*",'6'!B$300:B$400,0)),"  ")</f>
        <v xml:space="preserve">  </v>
      </c>
      <c r="AD64" s="75">
        <f>IFERROR(INDEX('7'!C$300:C$400,MATCH("*"&amp;H64&amp;"*",'7'!B$300:B$400,0)),"  ")</f>
        <v>56</v>
      </c>
      <c r="AE64" s="75" t="str">
        <f>IF(I64="",IFERROR(INDEX('8M'!C$300:C$400,MATCH("*"&amp;H64&amp;"*",'8M'!B$300:B$400,0)),"  "),IFERROR(INDEX('8N'!D$300:D$400,MATCH("*"&amp;H64&amp;"*",'8N'!B$300:B$400,0)),"  "))</f>
        <v xml:space="preserve">  </v>
      </c>
      <c r="AF64" s="908" t="str">
        <f>IFERROR(INDEX('8M'!C$300:C$400,MATCH("*"&amp;H64&amp;"*",'8M'!B$300:B$400,0)),"  ")</f>
        <v xml:space="preserve">  </v>
      </c>
      <c r="AG64" s="907" t="str">
        <f>IFERROR(INDEX('8N'!C$300:C$400,MATCH("*"&amp;H64&amp;"*",'8N'!B$300:B$400,0)),"  ")</f>
        <v xml:space="preserve">  </v>
      </c>
      <c r="AH64" s="440"/>
      <c r="AI64" s="75" t="str">
        <f>IFERROR(INDEX('9'!C$300:C$400,MATCH("*"&amp;H64&amp;"*",'9'!B$300:B$400,0)),"  ")</f>
        <v xml:space="preserve">  </v>
      </c>
      <c r="AJ64" s="830" t="str">
        <f>IFERROR(INDEX('10'!C$300:C$400,MATCH("*"&amp;H64&amp;"*",'10'!B$300:B$400,0)),"  ")</f>
        <v xml:space="preserve">  </v>
      </c>
      <c r="AK64" s="75" t="str">
        <f>IFERROR(INDEX('11'!C$300:C$400,MATCH("*"&amp;H64&amp;"*",'11'!B$300:B$400,0)),"  ")</f>
        <v xml:space="preserve">  </v>
      </c>
      <c r="AL64" s="75">
        <f>IFERROR(INDEX('12'!C$300:C$400,MATCH("*"&amp;H64&amp;"*",'12'!B$300:B$400,0)),"  ")</f>
        <v>105</v>
      </c>
      <c r="AM64" s="26">
        <f t="shared" ca="1" si="27"/>
        <v>2</v>
      </c>
      <c r="AN64" s="579">
        <f t="shared" ca="1" si="28"/>
        <v>1</v>
      </c>
      <c r="AO64" s="580">
        <f t="shared" ca="1" si="29"/>
        <v>0</v>
      </c>
      <c r="AP64" s="27">
        <f t="shared" ca="1" si="30"/>
        <v>0</v>
      </c>
      <c r="AQ64" s="933">
        <f t="shared" si="17"/>
        <v>2.0000000000000001E-4</v>
      </c>
      <c r="AR64" s="933">
        <f t="shared" ca="1" si="18"/>
        <v>1E-4</v>
      </c>
    </row>
    <row r="65" spans="1:44" x14ac:dyDescent="0.2">
      <c r="A65" s="851">
        <f t="shared" ca="1" si="19"/>
        <v>40</v>
      </c>
      <c r="B65" s="77">
        <f t="shared" ca="1" si="20"/>
        <v>10241</v>
      </c>
      <c r="C65" s="853" t="str">
        <f t="shared" ca="1" si="15"/>
        <v/>
      </c>
      <c r="D65" s="76">
        <f t="shared" si="21"/>
        <v>0</v>
      </c>
      <c r="E65" s="923">
        <f t="shared" ca="1" si="16"/>
        <v>2</v>
      </c>
      <c r="F65" s="899">
        <f t="shared" ca="1" si="22"/>
        <v>10241</v>
      </c>
      <c r="G65" s="897">
        <f t="shared" ca="1" si="6"/>
        <v>57</v>
      </c>
      <c r="H65" s="133" t="s">
        <v>44</v>
      </c>
      <c r="I65" s="38"/>
      <c r="J65" s="585" t="s">
        <v>45</v>
      </c>
      <c r="K65" s="586" t="s">
        <v>718</v>
      </c>
      <c r="L65" s="587"/>
      <c r="M65" s="857">
        <f ca="1">(IF(COUNT(V65,AA65,AD65,AI65,AJ65,AL65)&lt;5,SUM(V65,AA65,AD65,AI65,AJ65,AL65),SUM(LARGE((V65,AA65,AD65,AI65,AJ65,AL65),{1;2;3;4;5}))))+(IF(COUNT(U65,W65,AB65,AC65,AE65,AK65)&lt;5,SUM(U65,W65,AB65,AC65,AE65,AK65),SUM(LARGE((U65,W65,AB65,AC65,AE65,AK65),{1;2;3;4;5}))))+T65</f>
        <v>241</v>
      </c>
      <c r="N65" s="862">
        <f>IF(I65="n",((IF(COUNT(V65,AA65,AD65,AI65,AJ65,AL65)&lt;5,SUM(V65,AA65,AD65,AI65,AJ65,AL65),SUM(LARGE((V65,AA65,AD65,AI65,AJ65,AL65),{1;2;3;4;5}))))+(IF(COUNT(U65,Y65,AB65,AC65,AG65,AK65)&lt;5,SUM(U65,Y65,AB65,AC65,AG65,AK65),SUM(LARGE((U65,Y65,AB65,AC65,AG65,AK65),{1;2;3;4;5}))))+T65),0)</f>
        <v>0</v>
      </c>
      <c r="O65" s="863">
        <f ca="1">IF(J65="j",((IF(COUNT(V65,AA65,AD65,AI65,AJ65,AL65)&lt;5,SUM(V65,AA65,AD65,AI65,AJ65,AL65),SUM(LARGE((V65,AA65,AD65,AI65,AJ65,AL65),{1;2;3;4;5}))))+(IF(COUNT(U65,W65,AB65,AC65,AE65,AK65)&lt;5,SUM(U65,W65,AB65,AC65,AE65,AK65),SUM(LARGE((U65,W65,AB65,AC65,AE65,AK65),{1;2;3;4;5}))))+T65),0)</f>
        <v>241</v>
      </c>
      <c r="P65" s="886" t="str">
        <f t="shared" ca="1" si="23"/>
        <v>241,0</v>
      </c>
      <c r="Q65" s="890">
        <f t="shared" si="24"/>
        <v>60</v>
      </c>
      <c r="R65" s="886" t="str">
        <f t="shared" ca="1" si="25"/>
        <v>0241,0-060</v>
      </c>
      <c r="S65" s="889">
        <f t="shared" ca="1" si="26"/>
        <v>137</v>
      </c>
      <c r="T65" s="849">
        <v>15</v>
      </c>
      <c r="U65" s="75" t="str">
        <f>IFERROR(INDEX('1'!C$300:C$400,MATCH("*"&amp;H65&amp;"*",'1'!B$300:B$400,0)),"  ")</f>
        <v xml:space="preserve">  </v>
      </c>
      <c r="V65" s="199">
        <f>IFERROR(INDEX('2'!C$300:C$400,MATCH("*"&amp;H65&amp;"*",'2'!B$300:B$400,0)),"  ")</f>
        <v>64</v>
      </c>
      <c r="W65" s="199" t="str">
        <f ca="1">IF(I65="",IFERROR(INDEX('3M'!C$300:C$400,MATCH("*"&amp;H65&amp;"*",'3M'!B$300:B$400,0)),"  "),IFERROR(INDEX('3N'!D$300:D$400,MATCH("*"&amp;H65&amp;"*",'3N'!B$300:B$400,0)),"  "))</f>
        <v xml:space="preserve">  </v>
      </c>
      <c r="X65" s="908" t="str">
        <f ca="1">IFERROR(INDEX('3M'!C$300:C$400,MATCH("*"&amp;H65&amp;"*",'3M'!B$300:B$400,0)),"  ")</f>
        <v xml:space="preserve">  </v>
      </c>
      <c r="Y65" s="907" t="str">
        <f ca="1">IFERROR(INDEX('3N'!C$300:C$400,MATCH("*"&amp;H65&amp;"*",'3N'!B$300:B$400,0)),"  ")</f>
        <v xml:space="preserve">  </v>
      </c>
      <c r="Z65" s="440"/>
      <c r="AA65" s="75" t="str">
        <f>IFERROR(INDEX('4'!C$300:C$400,MATCH("*"&amp;H65&amp;"*",'4'!B$300:B$400,0)),"  ")</f>
        <v xml:space="preserve">  </v>
      </c>
      <c r="AB65" s="75" t="str">
        <f>IFERROR(INDEX('5'!C$300:C$400,MATCH("*"&amp;H65&amp;"*",'5'!B$300:B$400,0)),"  ")</f>
        <v xml:space="preserve">  </v>
      </c>
      <c r="AC65" s="75" t="str">
        <f>IFERROR(INDEX('6'!C$300:C$400,MATCH("*"&amp;H65&amp;"*",'6'!B$300:B$400,0)),"  ")</f>
        <v xml:space="preserve">  </v>
      </c>
      <c r="AD65" s="75" t="str">
        <f>IFERROR(INDEX('7'!C$300:C$400,MATCH("*"&amp;H65&amp;"*",'7'!B$300:B$400,0)),"  ")</f>
        <v xml:space="preserve">  </v>
      </c>
      <c r="AE65" s="75">
        <f>IF(I65="",IFERROR(INDEX('8M'!C$300:C$400,MATCH("*"&amp;H65&amp;"*",'8M'!B$300:B$400,0)),"  "),IFERROR(INDEX('8N'!D$300:D$400,MATCH("*"&amp;H65&amp;"*",'8N'!B$300:B$400,0)),"  "))</f>
        <v>33</v>
      </c>
      <c r="AF65" s="908">
        <f>IFERROR(INDEX('8M'!C$300:C$400,MATCH("*"&amp;H65&amp;"*",'8M'!B$300:B$400,0)),"  ")</f>
        <v>33</v>
      </c>
      <c r="AG65" s="907" t="str">
        <f>IFERROR(INDEX('8N'!C$300:C$400,MATCH("*"&amp;H65&amp;"*",'8N'!B$300:B$400,0)),"  ")</f>
        <v xml:space="preserve">  </v>
      </c>
      <c r="AH65" s="440"/>
      <c r="AI65" s="75">
        <f>IFERROR(INDEX('9'!C$300:C$400,MATCH("*"&amp;H65&amp;"*",'9'!B$300:B$400,0)),"  ")</f>
        <v>60</v>
      </c>
      <c r="AJ65" s="830">
        <f>IFERROR(INDEX('10'!C$300:C$400,MATCH("*"&amp;H65&amp;"*",'10'!B$300:B$400,0)),"  ")</f>
        <v>69</v>
      </c>
      <c r="AK65" s="75" t="str">
        <f>IFERROR(INDEX('11'!C$300:C$400,MATCH("*"&amp;H65&amp;"*",'11'!B$300:B$400,0)),"  ")</f>
        <v xml:space="preserve">  </v>
      </c>
      <c r="AL65" s="75" t="str">
        <f>IFERROR(INDEX('12'!C$300:C$400,MATCH("*"&amp;H65&amp;"*",'12'!B$300:B$400,0)),"  ")</f>
        <v xml:space="preserve">  </v>
      </c>
      <c r="AM65" s="26">
        <f t="shared" ca="1" si="27"/>
        <v>4</v>
      </c>
      <c r="AN65" s="579">
        <f t="shared" ca="1" si="28"/>
        <v>1</v>
      </c>
      <c r="AO65" s="580">
        <f t="shared" ca="1" si="29"/>
        <v>0</v>
      </c>
      <c r="AP65" s="27">
        <f t="shared" ca="1" si="30"/>
        <v>0</v>
      </c>
      <c r="AQ65" s="933">
        <f t="shared" si="17"/>
        <v>4.0000000000000002E-4</v>
      </c>
      <c r="AR65" s="933">
        <f t="shared" ca="1" si="18"/>
        <v>1E-4</v>
      </c>
    </row>
    <row r="66" spans="1:44" x14ac:dyDescent="0.2">
      <c r="A66" s="851">
        <f t="shared" ca="1" si="19"/>
        <v>41</v>
      </c>
      <c r="B66" s="77">
        <f t="shared" ca="1" si="20"/>
        <v>10231</v>
      </c>
      <c r="C66" s="853" t="str">
        <f t="shared" ca="1" si="15"/>
        <v/>
      </c>
      <c r="D66" s="76">
        <f t="shared" si="21"/>
        <v>0</v>
      </c>
      <c r="E66" s="855" t="str">
        <f t="shared" ca="1" si="16"/>
        <v/>
      </c>
      <c r="F66" s="899">
        <f t="shared" si="22"/>
        <v>0</v>
      </c>
      <c r="G66" s="897">
        <f t="shared" ca="1" si="6"/>
        <v>58</v>
      </c>
      <c r="H66" s="133" t="s">
        <v>722</v>
      </c>
      <c r="I66" s="38"/>
      <c r="J66" s="585"/>
      <c r="K66" s="586"/>
      <c r="L66" s="587"/>
      <c r="M66" s="857">
        <f ca="1">(IF(COUNT(V66,AA66,AD66,AI66,AJ66,AL66)&lt;5,SUM(V66,AA66,AD66,AI66,AJ66,AL66),SUM(LARGE((V66,AA66,AD66,AI66,AJ66,AL66),{1;2;3;4;5}))))+(IF(COUNT(U66,W66,AB66,AC66,AE66,AK66)&lt;5,SUM(U66,W66,AB66,AC66,AE66,AK66),SUM(LARGE((U66,W66,AB66,AC66,AE66,AK66),{1;2;3;4;5}))))+T66</f>
        <v>231</v>
      </c>
      <c r="N66" s="862">
        <f>IF(I66="n",((IF(COUNT(V66,AA66,AD66,AI66,AJ66,AL66)&lt;5,SUM(V66,AA66,AD66,AI66,AJ66,AL66),SUM(LARGE((V66,AA66,AD66,AI66,AJ66,AL66),{1;2;3;4;5}))))+(IF(COUNT(U66,Y66,AB66,AC66,AG66,AK66)&lt;5,SUM(U66,Y66,AB66,AC66,AG66,AK66),SUM(LARGE((U66,Y66,AB66,AC66,AG66,AK66),{1;2;3;4;5}))))+T66),0)</f>
        <v>0</v>
      </c>
      <c r="O66" s="863">
        <f>IF(J66="j",((IF(COUNT(V66,AA66,AD66,AI66,AJ66,AL66)&lt;5,SUM(V66,AA66,AD66,AI66,AJ66,AL66),SUM(LARGE((V66,AA66,AD66,AI66,AJ66,AL66),{1;2;3;4;5}))))+(IF(COUNT(U66,W66,AB66,AC66,AE66,AK66)&lt;5,SUM(U66,W66,AB66,AC66,AE66,AK66),SUM(LARGE((U66,W66,AB66,AC66,AE66,AK66),{1;2;3;4;5}))))+T66),0)</f>
        <v>0</v>
      </c>
      <c r="P66" s="886" t="str">
        <f t="shared" ca="1" si="23"/>
        <v>231,0</v>
      </c>
      <c r="Q66" s="890">
        <f t="shared" si="24"/>
        <v>36</v>
      </c>
      <c r="R66" s="886" t="str">
        <f t="shared" ca="1" si="25"/>
        <v>0231,0-036</v>
      </c>
      <c r="S66" s="889">
        <f t="shared" ca="1" si="26"/>
        <v>136</v>
      </c>
      <c r="T66" s="847">
        <v>1</v>
      </c>
      <c r="U66" s="75" t="str">
        <f>IFERROR(INDEX('1'!C$300:C$400,MATCH("*"&amp;H66&amp;"*",'1'!B$300:B$400,0)),"  ")</f>
        <v xml:space="preserve">  </v>
      </c>
      <c r="V66" s="199" t="str">
        <f>IFERROR(INDEX('2'!C$300:C$400,MATCH("*"&amp;H66&amp;"*",'2'!B$300:B$400,0)),"  ")</f>
        <v xml:space="preserve">  </v>
      </c>
      <c r="W66" s="199" t="str">
        <f ca="1">IF(I66="",IFERROR(INDEX('3M'!C$300:C$400,MATCH("*"&amp;H66&amp;"*",'3M'!B$300:B$400,0)),"  "),IFERROR(INDEX('3N'!D$300:D$400,MATCH("*"&amp;H66&amp;"*",'3N'!B$300:B$400,0)),"  "))</f>
        <v xml:space="preserve">  </v>
      </c>
      <c r="X66" s="908" t="str">
        <f ca="1">IFERROR(INDEX('3M'!C$300:C$400,MATCH("*"&amp;H66&amp;"*",'3M'!B$300:B$400,0)),"  ")</f>
        <v xml:space="preserve">  </v>
      </c>
      <c r="Y66" s="907" t="str">
        <f ca="1">IFERROR(INDEX('3N'!C$300:C$400,MATCH("*"&amp;H66&amp;"*",'3N'!B$300:B$400,0)),"  ")</f>
        <v xml:space="preserve">  </v>
      </c>
      <c r="Z66" s="440"/>
      <c r="AA66" s="75" t="str">
        <f>IFERROR(INDEX('4'!C$300:C$400,MATCH("*"&amp;H66&amp;"*",'4'!B$300:B$400,0)),"  ")</f>
        <v xml:space="preserve">  </v>
      </c>
      <c r="AB66" s="75" t="str">
        <f>IFERROR(INDEX('5'!C$300:C$400,MATCH("*"&amp;H66&amp;"*",'5'!B$300:B$400,0)),"  ")</f>
        <v xml:space="preserve">  </v>
      </c>
      <c r="AC66" s="75" t="str">
        <f>IFERROR(INDEX('6'!C$300:C$400,MATCH("*"&amp;H66&amp;"*",'6'!B$300:B$400,0)),"  ")</f>
        <v xml:space="preserve">  </v>
      </c>
      <c r="AD66" s="75">
        <f>IFERROR(INDEX('7'!C$300:C$400,MATCH("*"&amp;H66&amp;"*",'7'!B$300:B$400,0)),"  ")</f>
        <v>115</v>
      </c>
      <c r="AE66" s="75" t="str">
        <f>IF(I66="",IFERROR(INDEX('8M'!C$300:C$400,MATCH("*"&amp;H66&amp;"*",'8M'!B$300:B$400,0)),"  "),IFERROR(INDEX('8N'!D$300:D$400,MATCH("*"&amp;H66&amp;"*",'8N'!B$300:B$400,0)),"  "))</f>
        <v xml:space="preserve">  </v>
      </c>
      <c r="AF66" s="908" t="str">
        <f>IFERROR(INDEX('8M'!C$300:C$400,MATCH("*"&amp;H66&amp;"*",'8M'!B$300:B$400,0)),"  ")</f>
        <v xml:space="preserve">  </v>
      </c>
      <c r="AG66" s="907" t="str">
        <f>IFERROR(INDEX('8N'!C$300:C$400,MATCH("*"&amp;H66&amp;"*",'8N'!B$300:B$400,0)),"  ")</f>
        <v xml:space="preserve">  </v>
      </c>
      <c r="AH66" s="440"/>
      <c r="AI66" s="75" t="str">
        <f>IFERROR(INDEX('9'!C$300:C$400,MATCH("*"&amp;H66&amp;"*",'9'!B$300:B$400,0)),"  ")</f>
        <v xml:space="preserve">  </v>
      </c>
      <c r="AJ66" s="830" t="str">
        <f>IFERROR(INDEX('10'!C$300:C$400,MATCH("*"&amp;H66&amp;"*",'10'!B$300:B$400,0)),"  ")</f>
        <v xml:space="preserve">  </v>
      </c>
      <c r="AK66" s="75" t="str">
        <f>IFERROR(INDEX('11'!C$300:C$400,MATCH("*"&amp;H66&amp;"*",'11'!B$300:B$400,0)),"  ")</f>
        <v xml:space="preserve">  </v>
      </c>
      <c r="AL66" s="75">
        <f>IFERROR(INDEX('12'!C$300:C$400,MATCH("*"&amp;H66&amp;"*",'12'!B$300:B$400,0)),"  ")</f>
        <v>115</v>
      </c>
      <c r="AM66" s="26">
        <f t="shared" ca="1" si="27"/>
        <v>2</v>
      </c>
      <c r="AN66" s="579">
        <f t="shared" ca="1" si="28"/>
        <v>2</v>
      </c>
      <c r="AO66" s="580">
        <f t="shared" ca="1" si="29"/>
        <v>2</v>
      </c>
      <c r="AP66" s="27">
        <f t="shared" ca="1" si="30"/>
        <v>0</v>
      </c>
      <c r="AQ66" s="933">
        <f t="shared" si="17"/>
        <v>2.0000000000000001E-4</v>
      </c>
      <c r="AR66" s="933">
        <f t="shared" ca="1" si="18"/>
        <v>1E-4</v>
      </c>
    </row>
    <row r="67" spans="1:44" x14ac:dyDescent="0.2">
      <c r="A67" s="851">
        <f t="shared" ca="1" si="19"/>
        <v>42</v>
      </c>
      <c r="B67" s="77">
        <f t="shared" ca="1" si="20"/>
        <v>10227</v>
      </c>
      <c r="C67" s="853" t="str">
        <f t="shared" ca="1" si="15"/>
        <v/>
      </c>
      <c r="D67" s="76">
        <f t="shared" si="21"/>
        <v>0</v>
      </c>
      <c r="E67" s="926">
        <f t="shared" ca="1" si="16"/>
        <v>3</v>
      </c>
      <c r="F67" s="899">
        <f t="shared" ca="1" si="22"/>
        <v>10227</v>
      </c>
      <c r="G67" s="897">
        <f t="shared" ca="1" si="6"/>
        <v>59</v>
      </c>
      <c r="H67" s="265" t="s">
        <v>785</v>
      </c>
      <c r="I67" s="38"/>
      <c r="J67" s="589" t="s">
        <v>45</v>
      </c>
      <c r="K67" s="586" t="s">
        <v>718</v>
      </c>
      <c r="L67" s="587"/>
      <c r="M67" s="857">
        <f ca="1">(IF(COUNT(V67,AA67,AD67,AI67,AJ67,AL67)&lt;5,SUM(V67,AA67,AD67,AI67,AJ67,AL67),SUM(LARGE((V67,AA67,AD67,AI67,AJ67,AL67),{1;2;3;4;5}))))+(IF(COUNT(U67,W67,AB67,AC67,AE67,AK67)&lt;5,SUM(U67,W67,AB67,AC67,AE67,AK67),SUM(LARGE((U67,W67,AB67,AC67,AE67,AK67),{1;2;3;4;5}))))+T67</f>
        <v>227</v>
      </c>
      <c r="N67" s="862">
        <f>IF(I67="n",((IF(COUNT(V67,AA67,AD67,AI67,AJ67,AL67)&lt;5,SUM(V67,AA67,AD67,AI67,AJ67,AL67),SUM(LARGE((V67,AA67,AD67,AI67,AJ67,AL67),{1;2;3;4;5}))))+(IF(COUNT(U67,Y67,AB67,AC67,AG67,AK67)&lt;5,SUM(U67,Y67,AB67,AC67,AG67,AK67),SUM(LARGE((U67,Y67,AB67,AC67,AG67,AK67),{1;2;3;4;5}))))+T67),0)</f>
        <v>0</v>
      </c>
      <c r="O67" s="863">
        <f ca="1">IF(J67="j",((IF(COUNT(V67,AA67,AD67,AI67,AJ67,AL67)&lt;5,SUM(V67,AA67,AD67,AI67,AJ67,AL67),SUM(LARGE((V67,AA67,AD67,AI67,AJ67,AL67),{1;2;3;4;5}))))+(IF(COUNT(U67,W67,AB67,AC67,AE67,AK67)&lt;5,SUM(U67,W67,AB67,AC67,AE67,AK67),SUM(LARGE((U67,W67,AB67,AC67,AE67,AK67),{1;2;3;4;5}))))+T67),0)</f>
        <v>227</v>
      </c>
      <c r="P67" s="886" t="str">
        <f t="shared" ca="1" si="23"/>
        <v>227,0</v>
      </c>
      <c r="Q67" s="890">
        <f t="shared" si="24"/>
        <v>142</v>
      </c>
      <c r="R67" s="886" t="str">
        <f t="shared" ca="1" si="25"/>
        <v>0227,0-142</v>
      </c>
      <c r="S67" s="889">
        <f t="shared" ca="1" si="26"/>
        <v>135</v>
      </c>
      <c r="T67" s="847"/>
      <c r="U67" s="75" t="str">
        <f>IFERROR(INDEX('1'!C$300:C$400,MATCH("*"&amp;H67&amp;"*",'1'!B$300:B$400,0)),"  ")</f>
        <v xml:space="preserve">  </v>
      </c>
      <c r="V67" s="199">
        <f>IFERROR(INDEX('2'!C$300:C$400,MATCH("*"&amp;H67&amp;"*",'2'!B$300:B$400,0)),"  ")</f>
        <v>56</v>
      </c>
      <c r="W67" s="199" t="str">
        <f ca="1">IF(I67="",IFERROR(INDEX('3M'!C$300:C$400,MATCH("*"&amp;H67&amp;"*",'3M'!B$300:B$400,0)),"  "),IFERROR(INDEX('3N'!D$300:D$400,MATCH("*"&amp;H67&amp;"*",'3N'!B$300:B$400,0)),"  "))</f>
        <v xml:space="preserve">  </v>
      </c>
      <c r="X67" s="908" t="str">
        <f ca="1">IFERROR(INDEX('3M'!C$300:C$400,MATCH("*"&amp;H67&amp;"*",'3M'!B$300:B$400,0)),"  ")</f>
        <v xml:space="preserve">  </v>
      </c>
      <c r="Y67" s="907" t="str">
        <f ca="1">IFERROR(INDEX('3N'!C$300:C$400,MATCH("*"&amp;H67&amp;"*",'3N'!B$300:B$400,0)),"  ")</f>
        <v xml:space="preserve">  </v>
      </c>
      <c r="Z67" s="440"/>
      <c r="AA67" s="75">
        <f>IFERROR(INDEX('4'!C$300:C$400,MATCH("*"&amp;H67&amp;"*",'4'!B$300:B$400,0)),"  ")</f>
        <v>60</v>
      </c>
      <c r="AB67" s="75">
        <f>IFERROR(INDEX('5'!C$300:C$400,MATCH("*"&amp;H67&amp;"*",'5'!B$300:B$400,0)),"  ")</f>
        <v>29</v>
      </c>
      <c r="AC67" s="75" t="str">
        <f>IFERROR(INDEX('6'!C$300:C$400,MATCH("*"&amp;H67&amp;"*",'6'!B$300:B$400,0)),"  ")</f>
        <v xml:space="preserve">  </v>
      </c>
      <c r="AD67" s="75" t="str">
        <f>IFERROR(INDEX('7'!C$300:C$400,MATCH("*"&amp;H67&amp;"*",'7'!B$300:B$400,0)),"  ")</f>
        <v xml:space="preserve">  </v>
      </c>
      <c r="AE67" s="75" t="str">
        <f>IF(I67="",IFERROR(INDEX('8M'!C$300:C$400,MATCH("*"&amp;H67&amp;"*",'8M'!B$300:B$400,0)),"  "),IFERROR(INDEX('8N'!D$300:D$400,MATCH("*"&amp;H67&amp;"*",'8N'!B$300:B$400,0)),"  "))</f>
        <v xml:space="preserve">  </v>
      </c>
      <c r="AF67" s="908" t="str">
        <f>IFERROR(INDEX('8M'!C$300:C$400,MATCH("*"&amp;H67&amp;"*",'8M'!B$300:B$400,0)),"  ")</f>
        <v xml:space="preserve">  </v>
      </c>
      <c r="AG67" s="907" t="str">
        <f>IFERROR(INDEX('8N'!C$300:C$400,MATCH("*"&amp;H67&amp;"*",'8N'!B$300:B$400,0)),"  ")</f>
        <v xml:space="preserve">  </v>
      </c>
      <c r="AH67" s="440"/>
      <c r="AI67" s="75" t="str">
        <f>IFERROR(INDEX('9'!C$300:C$400,MATCH("*"&amp;H67&amp;"*",'9'!B$300:B$400,0)),"  ")</f>
        <v xml:space="preserve">  </v>
      </c>
      <c r="AJ67" s="830" t="str">
        <f>IFERROR(INDEX('10'!C$300:C$400,MATCH("*"&amp;H67&amp;"*",'10'!B$300:B$400,0)),"  ")</f>
        <v xml:space="preserve">  </v>
      </c>
      <c r="AK67" s="75">
        <f>IFERROR(INDEX('11'!C$300:C$400,MATCH("*"&amp;H67&amp;"*",'11'!B$300:B$400,0)),"  ")</f>
        <v>51</v>
      </c>
      <c r="AL67" s="75">
        <f>IFERROR(INDEX('12'!C$300:C$400,MATCH("*"&amp;H67&amp;"*",'12'!B$300:B$400,0)),"  ")</f>
        <v>31</v>
      </c>
      <c r="AM67" s="26">
        <f t="shared" ca="1" si="27"/>
        <v>5</v>
      </c>
      <c r="AN67" s="579">
        <f t="shared" ca="1" si="28"/>
        <v>0</v>
      </c>
      <c r="AO67" s="580">
        <f t="shared" ca="1" si="29"/>
        <v>0</v>
      </c>
      <c r="AP67" s="27">
        <f t="shared" ca="1" si="30"/>
        <v>0</v>
      </c>
      <c r="AQ67" s="933">
        <f t="shared" si="17"/>
        <v>6.9999999999999999E-4</v>
      </c>
      <c r="AR67" s="933">
        <f t="shared" ca="1" si="18"/>
        <v>1E-4</v>
      </c>
    </row>
    <row r="68" spans="1:44" x14ac:dyDescent="0.2">
      <c r="A68" s="851" t="str">
        <f t="shared" ca="1" si="19"/>
        <v/>
      </c>
      <c r="B68" s="77">
        <f t="shared" si="20"/>
        <v>0</v>
      </c>
      <c r="C68" s="853">
        <f t="shared" ca="1" si="15"/>
        <v>19</v>
      </c>
      <c r="D68" s="76">
        <f t="shared" ca="1" si="21"/>
        <v>10208</v>
      </c>
      <c r="E68" s="855" t="str">
        <f t="shared" ca="1" si="16"/>
        <v/>
      </c>
      <c r="F68" s="899">
        <f t="shared" si="22"/>
        <v>0</v>
      </c>
      <c r="G68" s="897">
        <f t="shared" ca="1" si="6"/>
        <v>60</v>
      </c>
      <c r="H68" s="139" t="s">
        <v>65</v>
      </c>
      <c r="I68" s="38" t="s">
        <v>32</v>
      </c>
      <c r="J68" s="585"/>
      <c r="K68" s="586"/>
      <c r="L68" s="587"/>
      <c r="M68" s="857">
        <f ca="1">(IF(COUNT(V68,AA68,AD68,AI68,AJ68,AL68)&lt;5,SUM(V68,AA68,AD68,AI68,AJ68,AL68),SUM(LARGE((V68,AA68,AD68,AI68,AJ68,AL68),{1;2;3;4;5}))))+(IF(COUNT(U68,W68,AB68,AC68,AE68,AK68)&lt;5,SUM(U68,W68,AB68,AC68,AE68,AK68),SUM(LARGE((U68,W68,AB68,AC68,AE68,AK68),{1;2;3;4;5}))))+T68</f>
        <v>208</v>
      </c>
      <c r="N68" s="862">
        <f ca="1">IF(I68="n",((IF(COUNT(V68,AA68,AD68,AI68,AJ68,AL68)&lt;5,SUM(V68,AA68,AD68,AI68,AJ68,AL68),SUM(LARGE((V68,AA68,AD68,AI68,AJ68,AL68),{1;2;3;4;5}))))+(IF(COUNT(U68,Y68,AB68,AC68,AG68,AK68)&lt;5,SUM(U68,Y68,AB68,AC68,AG68,AK68),SUM(LARGE((U68,Y68,AB68,AC68,AG68,AK68),{1;2;3;4;5}))))+T68),0)</f>
        <v>208</v>
      </c>
      <c r="O68" s="863">
        <f>IF(J68="j",((IF(COUNT(V68,AA68,AD68,AI68,AJ68,AL68)&lt;5,SUM(V68,AA68,AD68,AI68,AJ68,AL68),SUM(LARGE((V68,AA68,AD68,AI68,AJ68,AL68),{1;2;3;4;5}))))+(IF(COUNT(U68,W68,AB68,AC68,AE68,AK68)&lt;5,SUM(U68,W68,AB68,AC68,AE68,AK68),SUM(LARGE((U68,W68,AB68,AC68,AE68,AK68),{1;2;3;4;5}))))+T68),0)</f>
        <v>0</v>
      </c>
      <c r="P68" s="886" t="str">
        <f t="shared" ca="1" si="23"/>
        <v>208,0</v>
      </c>
      <c r="Q68" s="890">
        <f t="shared" si="24"/>
        <v>84</v>
      </c>
      <c r="R68" s="886" t="str">
        <f t="shared" ca="1" si="25"/>
        <v>0208,0-084</v>
      </c>
      <c r="S68" s="889">
        <f t="shared" ca="1" si="26"/>
        <v>134</v>
      </c>
      <c r="T68" s="847">
        <v>1</v>
      </c>
      <c r="U68" s="75" t="str">
        <f>IFERROR(INDEX('1'!C$300:C$400,MATCH("*"&amp;H68&amp;"*",'1'!B$300:B$400,0)),"  ")</f>
        <v xml:space="preserve">  </v>
      </c>
      <c r="V68" s="199" t="str">
        <f>IFERROR(INDEX('2'!C$300:C$400,MATCH("*"&amp;H68&amp;"*",'2'!B$300:B$400,0)),"  ")</f>
        <v xml:space="preserve">  </v>
      </c>
      <c r="W68" s="199" t="str">
        <f ca="1">IF(I68="",IFERROR(INDEX('3M'!C$300:C$400,MATCH("*"&amp;H68&amp;"*",'3M'!B$300:B$400,0)),"  "),IFERROR(INDEX('3N'!D$300:D$400,MATCH("*"&amp;H68&amp;"*",'3N'!B$300:B$400,0)),"  "))</f>
        <v xml:space="preserve">  </v>
      </c>
      <c r="X68" s="908" t="str">
        <f ca="1">IFERROR(INDEX('3M'!C$300:C$400,MATCH("*"&amp;H68&amp;"*",'3M'!B$300:B$400,0)),"  ")</f>
        <v xml:space="preserve">  </v>
      </c>
      <c r="Y68" s="907" t="str">
        <f ca="1">IFERROR(INDEX('3N'!C$300:C$400,MATCH("*"&amp;H68&amp;"*",'3N'!B$300:B$400,0)),"  ")</f>
        <v xml:space="preserve">  </v>
      </c>
      <c r="Z68" s="440"/>
      <c r="AA68" s="75" t="str">
        <f>IFERROR(INDEX('4'!C$300:C$400,MATCH("*"&amp;H68&amp;"*",'4'!B$300:B$400,0)),"  ")</f>
        <v xml:space="preserve">  </v>
      </c>
      <c r="AB68" s="75" t="str">
        <f>IFERROR(INDEX('5'!C$300:C$400,MATCH("*"&amp;H68&amp;"*",'5'!B$300:B$400,0)),"  ")</f>
        <v xml:space="preserve">  </v>
      </c>
      <c r="AC68" s="75">
        <f>IFERROR(INDEX('6'!C$300:C$400,MATCH("*"&amp;H68&amp;"*",'6'!B$300:B$400,0)),"  ")</f>
        <v>119</v>
      </c>
      <c r="AD68" s="75" t="str">
        <f>IFERROR(INDEX('7'!C$300:C$400,MATCH("*"&amp;H68&amp;"*",'7'!B$300:B$400,0)),"  ")</f>
        <v xml:space="preserve">  </v>
      </c>
      <c r="AE68" s="75" t="str">
        <f>IF(I68="",IFERROR(INDEX('8M'!C$300:C$400,MATCH("*"&amp;H68&amp;"*",'8M'!B$300:B$400,0)),"  "),IFERROR(INDEX('8N'!D$300:D$400,MATCH("*"&amp;H68&amp;"*",'8N'!B$300:B$400,0)),"  "))</f>
        <v xml:space="preserve">  </v>
      </c>
      <c r="AF68" s="908" t="str">
        <f>IFERROR(INDEX('8M'!C$300:C$400,MATCH("*"&amp;H68&amp;"*",'8M'!B$300:B$400,0)),"  ")</f>
        <v xml:space="preserve">  </v>
      </c>
      <c r="AG68" s="907" t="str">
        <f>IFERROR(INDEX('8N'!C$300:C$400,MATCH("*"&amp;H68&amp;"*",'8N'!B$300:B$400,0)),"  ")</f>
        <v xml:space="preserve">  </v>
      </c>
      <c r="AH68" s="440"/>
      <c r="AI68" s="75" t="str">
        <f>IFERROR(INDEX('9'!C$300:C$400,MATCH("*"&amp;H68&amp;"*",'9'!B$300:B$400,0)),"  ")</f>
        <v xml:space="preserve">  </v>
      </c>
      <c r="AJ68" s="830">
        <f>IFERROR(INDEX('10'!C$300:C$400,MATCH("*"&amp;H68&amp;"*",'10'!B$300:B$400,0)),"  ")</f>
        <v>74</v>
      </c>
      <c r="AK68" s="75" t="str">
        <f>IFERROR(INDEX('11'!C$300:C$400,MATCH("*"&amp;H68&amp;"*",'11'!B$300:B$400,0)),"  ")</f>
        <v xml:space="preserve">  </v>
      </c>
      <c r="AL68" s="75">
        <f>IFERROR(INDEX('12'!C$300:C$400,MATCH("*"&amp;H68&amp;"*",'12'!B$300:B$400,0)),"  ")</f>
        <v>14</v>
      </c>
      <c r="AM68" s="26">
        <f t="shared" ca="1" si="27"/>
        <v>3</v>
      </c>
      <c r="AN68" s="579">
        <f t="shared" ca="1" si="28"/>
        <v>0</v>
      </c>
      <c r="AO68" s="580">
        <f t="shared" ca="1" si="29"/>
        <v>0</v>
      </c>
      <c r="AP68" s="27">
        <f t="shared" ca="1" si="30"/>
        <v>0</v>
      </c>
      <c r="AQ68" s="933">
        <f t="shared" si="17"/>
        <v>2.0000000000000001E-4</v>
      </c>
      <c r="AR68" s="933">
        <f t="shared" ca="1" si="18"/>
        <v>1E-4</v>
      </c>
    </row>
    <row r="69" spans="1:44" x14ac:dyDescent="0.2">
      <c r="A69" s="851">
        <f t="shared" ca="1" si="19"/>
        <v>43</v>
      </c>
      <c r="B69" s="77">
        <f t="shared" ca="1" si="20"/>
        <v>10205</v>
      </c>
      <c r="C69" s="853" t="str">
        <f t="shared" ca="1" si="15"/>
        <v/>
      </c>
      <c r="D69" s="76">
        <f t="shared" si="21"/>
        <v>0</v>
      </c>
      <c r="E69" s="855" t="str">
        <f t="shared" ca="1" si="16"/>
        <v/>
      </c>
      <c r="F69" s="899">
        <f t="shared" si="22"/>
        <v>0</v>
      </c>
      <c r="G69" s="897">
        <f t="shared" ca="1" si="6"/>
        <v>61</v>
      </c>
      <c r="H69" s="133" t="s">
        <v>59</v>
      </c>
      <c r="I69" s="38"/>
      <c r="J69" s="585"/>
      <c r="K69" s="586" t="s">
        <v>718</v>
      </c>
      <c r="L69" s="587"/>
      <c r="M69" s="857">
        <f ca="1">(IF(COUNT(V69,AA69,AD69,AI69,AJ69,AL69)&lt;5,SUM(V69,AA69,AD69,AI69,AJ69,AL69),SUM(LARGE((V69,AA69,AD69,AI69,AJ69,AL69),{1;2;3;4;5}))))+(IF(COUNT(U69,W69,AB69,AC69,AE69,AK69)&lt;5,SUM(U69,W69,AB69,AC69,AE69,AK69),SUM(LARGE((U69,W69,AB69,AC69,AE69,AK69),{1;2;3;4;5}))))+T69</f>
        <v>205</v>
      </c>
      <c r="N69" s="862">
        <f>IF(I69="n",((IF(COUNT(V69,AA69,AD69,AI69,AJ69,AL69)&lt;5,SUM(V69,AA69,AD69,AI69,AJ69,AL69),SUM(LARGE((V69,AA69,AD69,AI69,AJ69,AL69),{1;2;3;4;5}))))+(IF(COUNT(U69,Y69,AB69,AC69,AG69,AK69)&lt;5,SUM(U69,Y69,AB69,AC69,AG69,AK69),SUM(LARGE((U69,Y69,AB69,AC69,AG69,AK69),{1;2;3;4;5}))))+T69),0)</f>
        <v>0</v>
      </c>
      <c r="O69" s="863">
        <f>IF(J69="j",((IF(COUNT(V69,AA69,AD69,AI69,AJ69,AL69)&lt;5,SUM(V69,AA69,AD69,AI69,AJ69,AL69),SUM(LARGE((V69,AA69,AD69,AI69,AJ69,AL69),{1;2;3;4;5}))))+(IF(COUNT(U69,W69,AB69,AC69,AE69,AK69)&lt;5,SUM(U69,W69,AB69,AC69,AE69,AK69),SUM(LARGE((U69,W69,AB69,AC69,AE69,AK69),{1;2;3;4;5}))))+T69),0)</f>
        <v>0</v>
      </c>
      <c r="P69" s="886" t="str">
        <f t="shared" ca="1" si="23"/>
        <v>205,0</v>
      </c>
      <c r="Q69" s="890">
        <f t="shared" si="24"/>
        <v>193</v>
      </c>
      <c r="R69" s="886" t="str">
        <f t="shared" ca="1" si="25"/>
        <v>0205,0-193</v>
      </c>
      <c r="S69" s="889">
        <f t="shared" ca="1" si="26"/>
        <v>133</v>
      </c>
      <c r="T69" s="847">
        <v>1</v>
      </c>
      <c r="U69" s="75" t="str">
        <f>IFERROR(INDEX('1'!C$300:C$400,MATCH("*"&amp;H69&amp;"*",'1'!B$300:B$400,0)),"  ")</f>
        <v xml:space="preserve">  </v>
      </c>
      <c r="V69" s="199" t="str">
        <f>IFERROR(INDEX('2'!C$300:C$400,MATCH("*"&amp;H69&amp;"*",'2'!B$300:B$400,0)),"  ")</f>
        <v xml:space="preserve">  </v>
      </c>
      <c r="W69" s="199" t="str">
        <f ca="1">IF(I69="",IFERROR(INDEX('3M'!C$300:C$400,MATCH("*"&amp;H69&amp;"*",'3M'!B$300:B$400,0)),"  "),IFERROR(INDEX('3N'!D$300:D$400,MATCH("*"&amp;H69&amp;"*",'3N'!B$300:B$400,0)),"  "))</f>
        <v xml:space="preserve">  </v>
      </c>
      <c r="X69" s="908" t="str">
        <f ca="1">IFERROR(INDEX('3M'!C$300:C$400,MATCH("*"&amp;H69&amp;"*",'3M'!B$300:B$400,0)),"  ")</f>
        <v xml:space="preserve">  </v>
      </c>
      <c r="Y69" s="907" t="str">
        <f ca="1">IFERROR(INDEX('3N'!C$300:C$400,MATCH("*"&amp;H69&amp;"*",'3N'!B$300:B$400,0)),"  ")</f>
        <v xml:space="preserve">  </v>
      </c>
      <c r="Z69" s="440"/>
      <c r="AA69" s="75" t="str">
        <f>IFERROR(INDEX('4'!C$300:C$400,MATCH("*"&amp;H69&amp;"*",'4'!B$300:B$400,0)),"  ")</f>
        <v xml:space="preserve">  </v>
      </c>
      <c r="AB69" s="75" t="str">
        <f>IFERROR(INDEX('5'!C$300:C$400,MATCH("*"&amp;H69&amp;"*",'5'!B$300:B$400,0)),"  ")</f>
        <v xml:space="preserve">  </v>
      </c>
      <c r="AC69" s="75" t="str">
        <f>IFERROR(INDEX('6'!C$300:C$400,MATCH("*"&amp;H69&amp;"*",'6'!B$300:B$400,0)),"  ")</f>
        <v xml:space="preserve">  </v>
      </c>
      <c r="AD69" s="75" t="str">
        <f>IFERROR(INDEX('7'!C$300:C$400,MATCH("*"&amp;H69&amp;"*",'7'!B$300:B$400,0)),"  ")</f>
        <v xml:space="preserve">  </v>
      </c>
      <c r="AE69" s="75">
        <f>IF(I69="",IFERROR(INDEX('8M'!C$300:C$400,MATCH("*"&amp;H69&amp;"*",'8M'!B$300:B$400,0)),"  "),IFERROR(INDEX('8N'!D$300:D$400,MATCH("*"&amp;H69&amp;"*",'8N'!B$300:B$400,0)),"  "))</f>
        <v>135</v>
      </c>
      <c r="AF69" s="908">
        <f>IFERROR(INDEX('8M'!C$300:C$400,MATCH("*"&amp;H69&amp;"*",'8M'!B$300:B$400,0)),"  ")</f>
        <v>135</v>
      </c>
      <c r="AG69" s="907" t="str">
        <f>IFERROR(INDEX('8N'!C$300:C$400,MATCH("*"&amp;H69&amp;"*",'8N'!B$300:B$400,0)),"  ")</f>
        <v xml:space="preserve">  </v>
      </c>
      <c r="AH69" s="440"/>
      <c r="AI69" s="75">
        <f>IFERROR(INDEX('9'!C$300:C$400,MATCH("*"&amp;H69&amp;"*",'9'!B$300:B$400,0)),"  ")</f>
        <v>69</v>
      </c>
      <c r="AJ69" s="830" t="str">
        <f>IFERROR(INDEX('10'!C$300:C$400,MATCH("*"&amp;H69&amp;"*",'10'!B$300:B$400,0)),"  ")</f>
        <v xml:space="preserve">  </v>
      </c>
      <c r="AK69" s="75" t="str">
        <f>IFERROR(INDEX('11'!C$300:C$400,MATCH("*"&amp;H69&amp;"*",'11'!B$300:B$400,0)),"  ")</f>
        <v xml:space="preserve">  </v>
      </c>
      <c r="AL69" s="75" t="str">
        <f>IFERROR(INDEX('12'!C$300:C$400,MATCH("*"&amp;H69&amp;"*",'12'!B$300:B$400,0)),"  ")</f>
        <v xml:space="preserve">  </v>
      </c>
      <c r="AM69" s="26">
        <f t="shared" ca="1" si="27"/>
        <v>2</v>
      </c>
      <c r="AN69" s="579">
        <f t="shared" ca="1" si="28"/>
        <v>0</v>
      </c>
      <c r="AO69" s="580">
        <f t="shared" ca="1" si="29"/>
        <v>0</v>
      </c>
      <c r="AP69" s="27">
        <f t="shared" ca="1" si="30"/>
        <v>0</v>
      </c>
      <c r="AQ69" s="933">
        <f t="shared" si="17"/>
        <v>2.0000000000000001E-4</v>
      </c>
      <c r="AR69" s="933">
        <f t="shared" ca="1" si="18"/>
        <v>1E-4</v>
      </c>
    </row>
    <row r="70" spans="1:44" x14ac:dyDescent="0.2">
      <c r="A70" s="851" t="str">
        <f t="shared" ca="1" si="19"/>
        <v/>
      </c>
      <c r="B70" s="77">
        <f t="shared" si="20"/>
        <v>0</v>
      </c>
      <c r="C70" s="853">
        <f t="shared" ca="1" si="15"/>
        <v>20</v>
      </c>
      <c r="D70" s="76">
        <f t="shared" ca="1" si="21"/>
        <v>10201</v>
      </c>
      <c r="E70" s="855" t="str">
        <f t="shared" ca="1" si="16"/>
        <v/>
      </c>
      <c r="F70" s="899">
        <f t="shared" si="22"/>
        <v>0</v>
      </c>
      <c r="G70" s="897">
        <f t="shared" ca="1" si="6"/>
        <v>62</v>
      </c>
      <c r="H70" s="133" t="s">
        <v>175</v>
      </c>
      <c r="I70" s="38" t="s">
        <v>32</v>
      </c>
      <c r="J70" s="585"/>
      <c r="K70" s="586"/>
      <c r="L70" s="587"/>
      <c r="M70" s="857">
        <f ca="1">(IF(COUNT(V70,AA70,AD70,AI70,AJ70,AL70)&lt;5,SUM(V70,AA70,AD70,AI70,AJ70,AL70),SUM(LARGE((V70,AA70,AD70,AI70,AJ70,AL70),{1;2;3;4;5}))))+(IF(COUNT(U70,W70,AB70,AC70,AE70,AK70)&lt;5,SUM(U70,W70,AB70,AC70,AE70,AK70),SUM(LARGE((U70,W70,AB70,AC70,AE70,AK70),{1;2;3;4;5}))))+T70</f>
        <v>201</v>
      </c>
      <c r="N70" s="862">
        <f ca="1">IF(I70="n",((IF(COUNT(V70,AA70,AD70,AI70,AJ70,AL70)&lt;5,SUM(V70,AA70,AD70,AI70,AJ70,AL70),SUM(LARGE((V70,AA70,AD70,AI70,AJ70,AL70),{1;2;3;4;5}))))+(IF(COUNT(U70,Y70,AB70,AC70,AG70,AK70)&lt;5,SUM(U70,Y70,AB70,AC70,AG70,AK70),SUM(LARGE((U70,Y70,AB70,AC70,AG70,AK70),{1;2;3;4;5}))))+T70),0)</f>
        <v>201</v>
      </c>
      <c r="O70" s="863">
        <f>IF(J70="j",((IF(COUNT(V70,AA70,AD70,AI70,AJ70,AL70)&lt;5,SUM(V70,AA70,AD70,AI70,AJ70,AL70),SUM(LARGE((V70,AA70,AD70,AI70,AJ70,AL70),{1;2;3;4;5}))))+(IF(COUNT(U70,W70,AB70,AC70,AE70,AK70)&lt;5,SUM(U70,W70,AB70,AC70,AE70,AK70),SUM(LARGE((U70,W70,AB70,AC70,AE70,AK70),{1;2;3;4;5}))))+T70),0)</f>
        <v>0</v>
      </c>
      <c r="P70" s="886" t="str">
        <f t="shared" ca="1" si="23"/>
        <v>201,0</v>
      </c>
      <c r="Q70" s="890">
        <f t="shared" si="24"/>
        <v>52</v>
      </c>
      <c r="R70" s="886" t="str">
        <f t="shared" ca="1" si="25"/>
        <v>0201,0-052</v>
      </c>
      <c r="S70" s="889">
        <f t="shared" ca="1" si="26"/>
        <v>132</v>
      </c>
      <c r="T70" s="847">
        <v>1</v>
      </c>
      <c r="U70" s="75">
        <f>IFERROR(INDEX('1'!C$300:C$400,MATCH("*"&amp;H70&amp;"*",'1'!B$300:B$400,0)),"  ")</f>
        <v>135</v>
      </c>
      <c r="V70" s="199" t="str">
        <f>IFERROR(INDEX('2'!C$300:C$400,MATCH("*"&amp;H70&amp;"*",'2'!B$300:B$400,0)),"  ")</f>
        <v xml:space="preserve">  </v>
      </c>
      <c r="W70" s="199" t="str">
        <f ca="1">IF(I70="",IFERROR(INDEX('3M'!C$300:C$400,MATCH("*"&amp;H70&amp;"*",'3M'!B$300:B$400,0)),"  "),IFERROR(INDEX('3N'!D$300:D$400,MATCH("*"&amp;H70&amp;"*",'3N'!B$300:B$400,0)),"  "))</f>
        <v xml:space="preserve">  </v>
      </c>
      <c r="X70" s="908" t="str">
        <f ca="1">IFERROR(INDEX('3M'!C$300:C$400,MATCH("*"&amp;H70&amp;"*",'3M'!B$300:B$400,0)),"  ")</f>
        <v xml:space="preserve">  </v>
      </c>
      <c r="Y70" s="907" t="str">
        <f ca="1">IFERROR(INDEX('3N'!C$300:C$400,MATCH("*"&amp;H70&amp;"*",'3N'!B$300:B$400,0)),"  ")</f>
        <v xml:space="preserve">  </v>
      </c>
      <c r="Z70" s="440"/>
      <c r="AA70" s="75" t="str">
        <f>IFERROR(INDEX('4'!C$300:C$400,MATCH("*"&amp;H70&amp;"*",'4'!B$300:B$400,0)),"  ")</f>
        <v xml:space="preserve">  </v>
      </c>
      <c r="AB70" s="75" t="str">
        <f>IFERROR(INDEX('5'!C$300:C$400,MATCH("*"&amp;H70&amp;"*",'5'!B$300:B$400,0)),"  ")</f>
        <v xml:space="preserve">  </v>
      </c>
      <c r="AC70" s="75" t="str">
        <f>IFERROR(INDEX('6'!C$300:C$400,MATCH("*"&amp;H70&amp;"*",'6'!B$300:B$400,0)),"  ")</f>
        <v xml:space="preserve">  </v>
      </c>
      <c r="AD70" s="75" t="str">
        <f>IFERROR(INDEX('7'!C$300:C$400,MATCH("*"&amp;H70&amp;"*",'7'!B$300:B$400,0)),"  ")</f>
        <v xml:space="preserve">  </v>
      </c>
      <c r="AE70" s="75" t="str">
        <f>IF(I70="",IFERROR(INDEX('8M'!C$300:C$400,MATCH("*"&amp;H70&amp;"*",'8M'!B$300:B$400,0)),"  "),IFERROR(INDEX('8N'!D$300:D$400,MATCH("*"&amp;H70&amp;"*",'8N'!B$300:B$400,0)),"  "))</f>
        <v xml:space="preserve">  </v>
      </c>
      <c r="AF70" s="908" t="str">
        <f>IFERROR(INDEX('8M'!C$300:C$400,MATCH("*"&amp;H70&amp;"*",'8M'!B$300:B$400,0)),"  ")</f>
        <v xml:space="preserve">  </v>
      </c>
      <c r="AG70" s="907" t="str">
        <f>IFERROR(INDEX('8N'!C$300:C$400,MATCH("*"&amp;H70&amp;"*",'8N'!B$300:B$400,0)),"  ")</f>
        <v xml:space="preserve">  </v>
      </c>
      <c r="AH70" s="440"/>
      <c r="AI70" s="75" t="str">
        <f>IFERROR(INDEX('9'!C$300:C$400,MATCH("*"&amp;H70&amp;"*",'9'!B$300:B$400,0)),"  ")</f>
        <v xml:space="preserve">  </v>
      </c>
      <c r="AJ70" s="830" t="str">
        <f>IFERROR(INDEX('10'!C$300:C$400,MATCH("*"&amp;H70&amp;"*",'10'!B$300:B$400,0)),"  ")</f>
        <v xml:space="preserve">  </v>
      </c>
      <c r="AK70" s="75">
        <f>IFERROR(INDEX('11'!C$300:C$400,MATCH("*"&amp;H70&amp;"*",'11'!B$300:B$400,0)),"  ")</f>
        <v>65</v>
      </c>
      <c r="AL70" s="75" t="str">
        <f>IFERROR(INDEX('12'!C$300:C$400,MATCH("*"&amp;H70&amp;"*",'12'!B$300:B$400,0)),"  ")</f>
        <v xml:space="preserve">  </v>
      </c>
      <c r="AM70" s="26">
        <f t="shared" ca="1" si="27"/>
        <v>2</v>
      </c>
      <c r="AN70" s="579">
        <f t="shared" ca="1" si="28"/>
        <v>0</v>
      </c>
      <c r="AO70" s="580">
        <f t="shared" ca="1" si="29"/>
        <v>0</v>
      </c>
      <c r="AP70" s="27">
        <f t="shared" ca="1" si="30"/>
        <v>0</v>
      </c>
      <c r="AQ70" s="933">
        <f t="shared" si="17"/>
        <v>2.0000000000000001E-4</v>
      </c>
      <c r="AR70" s="933">
        <f t="shared" ca="1" si="18"/>
        <v>2.9999999999999997E-4</v>
      </c>
    </row>
    <row r="71" spans="1:44" x14ac:dyDescent="0.2">
      <c r="A71" s="851">
        <f t="shared" ca="1" si="19"/>
        <v>44</v>
      </c>
      <c r="B71" s="77">
        <f t="shared" ca="1" si="20"/>
        <v>10188</v>
      </c>
      <c r="C71" s="853" t="str">
        <f t="shared" ca="1" si="15"/>
        <v/>
      </c>
      <c r="D71" s="76">
        <f t="shared" si="21"/>
        <v>0</v>
      </c>
      <c r="E71" s="855">
        <f t="shared" ca="1" si="16"/>
        <v>4</v>
      </c>
      <c r="F71" s="899">
        <f t="shared" ca="1" si="22"/>
        <v>10188</v>
      </c>
      <c r="G71" s="897">
        <f t="shared" ca="1" si="6"/>
        <v>63</v>
      </c>
      <c r="H71" s="133" t="s">
        <v>163</v>
      </c>
      <c r="I71" s="38"/>
      <c r="J71" s="585" t="s">
        <v>45</v>
      </c>
      <c r="K71" s="586"/>
      <c r="L71" s="587"/>
      <c r="M71" s="857">
        <f ca="1">(IF(COUNT(V71,AA71,AD71,AI71,AJ71,AL71)&lt;5,SUM(V71,AA71,AD71,AI71,AJ71,AL71),SUM(LARGE((V71,AA71,AD71,AI71,AJ71,AL71),{1;2;3;4;5}))))+(IF(COUNT(U71,W71,AB71,AC71,AE71,AK71)&lt;5,SUM(U71,W71,AB71,AC71,AE71,AK71),SUM(LARGE((U71,W71,AB71,AC71,AE71,AK71),{1;2;3;4;5}))))+T71</f>
        <v>188</v>
      </c>
      <c r="N71" s="862">
        <f>IF(I71="n",((IF(COUNT(V71,AA71,AD71,AI71,AJ71,AL71)&lt;5,SUM(V71,AA71,AD71,AI71,AJ71,AL71),SUM(LARGE((V71,AA71,AD71,AI71,AJ71,AL71),{1;2;3;4;5}))))+(IF(COUNT(U71,Y71,AB71,AC71,AG71,AK71)&lt;5,SUM(U71,Y71,AB71,AC71,AG71,AK71),SUM(LARGE((U71,Y71,AB71,AC71,AG71,AK71),{1;2;3;4;5}))))+T71),0)</f>
        <v>0</v>
      </c>
      <c r="O71" s="863">
        <f ca="1">IF(J71="j",((IF(COUNT(V71,AA71,AD71,AI71,AJ71,AL71)&lt;5,SUM(V71,AA71,AD71,AI71,AJ71,AL71),SUM(LARGE((V71,AA71,AD71,AI71,AJ71,AL71),{1;2;3;4;5}))))+(IF(COUNT(U71,W71,AB71,AC71,AE71,AK71)&lt;5,SUM(U71,W71,AB71,AC71,AE71,AK71),SUM(LARGE((U71,W71,AB71,AC71,AE71,AK71),{1;2;3;4;5}))))+T71),0)</f>
        <v>188</v>
      </c>
      <c r="P71" s="886" t="str">
        <f t="shared" ca="1" si="23"/>
        <v>188,0</v>
      </c>
      <c r="Q71" s="890">
        <f t="shared" si="24"/>
        <v>146</v>
      </c>
      <c r="R71" s="886" t="str">
        <f t="shared" ca="1" si="25"/>
        <v>0188,0-146</v>
      </c>
      <c r="S71" s="889">
        <f t="shared" ca="1" si="26"/>
        <v>131</v>
      </c>
      <c r="T71" s="847">
        <v>1</v>
      </c>
      <c r="U71" s="75" t="str">
        <f>IFERROR(INDEX('1'!C$300:C$400,MATCH("*"&amp;H71&amp;"*",'1'!B$300:B$400,0)),"  ")</f>
        <v xml:space="preserve">  </v>
      </c>
      <c r="V71" s="199" t="str">
        <f>IFERROR(INDEX('2'!C$300:C$400,MATCH("*"&amp;H71&amp;"*",'2'!B$300:B$400,0)),"  ")</f>
        <v xml:space="preserve">  </v>
      </c>
      <c r="W71" s="199" t="str">
        <f ca="1">IF(I71="",IFERROR(INDEX('3M'!C$300:C$400,MATCH("*"&amp;H71&amp;"*",'3M'!B$300:B$400,0)),"  "),IFERROR(INDEX('3N'!D$300:D$400,MATCH("*"&amp;H71&amp;"*",'3N'!B$300:B$400,0)),"  "))</f>
        <v xml:space="preserve">  </v>
      </c>
      <c r="X71" s="908" t="str">
        <f ca="1">IFERROR(INDEX('3M'!C$300:C$400,MATCH("*"&amp;H71&amp;"*",'3M'!B$300:B$400,0)),"  ")</f>
        <v xml:space="preserve">  </v>
      </c>
      <c r="Y71" s="907" t="str">
        <f ca="1">IFERROR(INDEX('3N'!C$300:C$400,MATCH("*"&amp;H71&amp;"*",'3N'!B$300:B$400,0)),"  ")</f>
        <v xml:space="preserve">  </v>
      </c>
      <c r="Z71" s="440"/>
      <c r="AA71" s="75" t="str">
        <f>IFERROR(INDEX('4'!C$300:C$400,MATCH("*"&amp;H71&amp;"*",'4'!B$300:B$400,0)),"  ")</f>
        <v xml:space="preserve">  </v>
      </c>
      <c r="AB71" s="75" t="str">
        <f>IFERROR(INDEX('5'!C$300:C$400,MATCH("*"&amp;H71&amp;"*",'5'!B$300:B$400,0)),"  ")</f>
        <v xml:space="preserve">  </v>
      </c>
      <c r="AC71" s="75" t="str">
        <f>IFERROR(INDEX('6'!C$300:C$400,MATCH("*"&amp;H71&amp;"*",'6'!B$300:B$400,0)),"  ")</f>
        <v xml:space="preserve">  </v>
      </c>
      <c r="AD71" s="75" t="str">
        <f>IFERROR(INDEX('7'!C$300:C$400,MATCH("*"&amp;H71&amp;"*",'7'!B$300:B$400,0)),"  ")</f>
        <v xml:space="preserve">  </v>
      </c>
      <c r="AE71" s="75" t="str">
        <f>IF(I71="",IFERROR(INDEX('8M'!C$300:C$400,MATCH("*"&amp;H71&amp;"*",'8M'!B$300:B$400,0)),"  "),IFERROR(INDEX('8N'!D$300:D$400,MATCH("*"&amp;H71&amp;"*",'8N'!B$300:B$400,0)),"  "))</f>
        <v xml:space="preserve">  </v>
      </c>
      <c r="AF71" s="908" t="str">
        <f>IFERROR(INDEX('8M'!C$300:C$400,MATCH("*"&amp;H71&amp;"*",'8M'!B$300:B$400,0)),"  ")</f>
        <v xml:space="preserve">  </v>
      </c>
      <c r="AG71" s="907" t="str">
        <f>IFERROR(INDEX('8N'!C$300:C$400,MATCH("*"&amp;H71&amp;"*",'8N'!B$300:B$400,0)),"  ")</f>
        <v xml:space="preserve">  </v>
      </c>
      <c r="AH71" s="440"/>
      <c r="AI71" s="75" t="str">
        <f>IFERROR(INDEX('9'!C$300:C$400,MATCH("*"&amp;H71&amp;"*",'9'!B$300:B$400,0)),"  ")</f>
        <v xml:space="preserve">  </v>
      </c>
      <c r="AJ71" s="830" t="str">
        <f>IFERROR(INDEX('10'!C$300:C$400,MATCH("*"&amp;H71&amp;"*",'10'!B$300:B$400,0)),"  ")</f>
        <v xml:space="preserve">  </v>
      </c>
      <c r="AK71" s="75">
        <f>IFERROR(INDEX('11'!C$300:C$400,MATCH("*"&amp;H71&amp;"*",'11'!B$300:B$400,0)),"  ")</f>
        <v>135</v>
      </c>
      <c r="AL71" s="75">
        <f>IFERROR(INDEX('12'!C$300:C$400,MATCH("*"&amp;H71&amp;"*",'12'!B$300:B$400,0)),"  ")</f>
        <v>52</v>
      </c>
      <c r="AM71" s="26">
        <f t="shared" ca="1" si="27"/>
        <v>2</v>
      </c>
      <c r="AN71" s="579">
        <f t="shared" ca="1" si="28"/>
        <v>0</v>
      </c>
      <c r="AO71" s="580">
        <f t="shared" ca="1" si="29"/>
        <v>0</v>
      </c>
      <c r="AP71" s="27">
        <f t="shared" ca="1" si="30"/>
        <v>0</v>
      </c>
      <c r="AQ71" s="933">
        <f t="shared" si="17"/>
        <v>2.0000000000000001E-4</v>
      </c>
      <c r="AR71" s="933">
        <f t="shared" ca="1" si="18"/>
        <v>1E-4</v>
      </c>
    </row>
    <row r="72" spans="1:44" x14ac:dyDescent="0.2">
      <c r="A72" s="851">
        <f t="shared" ca="1" si="19"/>
        <v>45</v>
      </c>
      <c r="B72" s="77">
        <f t="shared" ca="1" si="20"/>
        <v>10186</v>
      </c>
      <c r="C72" s="853" t="str">
        <f t="shared" ca="1" si="15"/>
        <v/>
      </c>
      <c r="D72" s="76">
        <f t="shared" si="21"/>
        <v>0</v>
      </c>
      <c r="E72" s="855" t="str">
        <f t="shared" ca="1" si="16"/>
        <v/>
      </c>
      <c r="F72" s="899">
        <f t="shared" si="22"/>
        <v>0</v>
      </c>
      <c r="G72" s="897">
        <f t="shared" ca="1" si="6"/>
        <v>64</v>
      </c>
      <c r="H72" s="133" t="s">
        <v>53</v>
      </c>
      <c r="I72" s="38"/>
      <c r="J72" s="585"/>
      <c r="K72" s="586"/>
      <c r="L72" s="587"/>
      <c r="M72" s="857">
        <f ca="1">(IF(COUNT(V72,AA72,AD72,AI72,AJ72,AL72)&lt;5,SUM(V72,AA72,AD72,AI72,AJ72,AL72),SUM(LARGE((V72,AA72,AD72,AI72,AJ72,AL72),{1;2;3;4;5}))))+(IF(COUNT(U72,W72,AB72,AC72,AE72,AK72)&lt;5,SUM(U72,W72,AB72,AC72,AE72,AK72),SUM(LARGE((U72,W72,AB72,AC72,AE72,AK72),{1;2;3;4;5}))))+T72</f>
        <v>186</v>
      </c>
      <c r="N72" s="862">
        <f>IF(I72="n",((IF(COUNT(V72,AA72,AD72,AI72,AJ72,AL72)&lt;5,SUM(V72,AA72,AD72,AI72,AJ72,AL72),SUM(LARGE((V72,AA72,AD72,AI72,AJ72,AL72),{1;2;3;4;5}))))+(IF(COUNT(U72,Y72,AB72,AC72,AG72,AK72)&lt;5,SUM(U72,Y72,AB72,AC72,AG72,AK72),SUM(LARGE((U72,Y72,AB72,AC72,AG72,AK72),{1;2;3;4;5}))))+T72),0)</f>
        <v>0</v>
      </c>
      <c r="O72" s="863">
        <f>IF(J72="j",((IF(COUNT(V72,AA72,AD72,AI72,AJ72,AL72)&lt;5,SUM(V72,AA72,AD72,AI72,AJ72,AL72),SUM(LARGE((V72,AA72,AD72,AI72,AJ72,AL72),{1;2;3;4;5}))))+(IF(COUNT(U72,W72,AB72,AC72,AE72,AK72)&lt;5,SUM(U72,W72,AB72,AC72,AE72,AK72),SUM(LARGE((U72,W72,AB72,AC72,AE72,AK72),{1;2;3;4;5}))))+T72),0)</f>
        <v>0</v>
      </c>
      <c r="P72" s="886" t="str">
        <f t="shared" ca="1" si="23"/>
        <v>186,0</v>
      </c>
      <c r="Q72" s="890">
        <f t="shared" si="24"/>
        <v>168</v>
      </c>
      <c r="R72" s="886" t="str">
        <f t="shared" ca="1" si="25"/>
        <v>0186,0-168</v>
      </c>
      <c r="S72" s="889">
        <f t="shared" ca="1" si="26"/>
        <v>130</v>
      </c>
      <c r="T72" s="847">
        <v>6</v>
      </c>
      <c r="U72" s="75" t="str">
        <f>IFERROR(INDEX('1'!C$300:C$400,MATCH("*"&amp;H72&amp;"*",'1'!B$300:B$400,0)),"  ")</f>
        <v xml:space="preserve">  </v>
      </c>
      <c r="V72" s="199" t="str">
        <f>IFERROR(INDEX('2'!C$300:C$400,MATCH("*"&amp;H72&amp;"*",'2'!B$300:B$400,0)),"  ")</f>
        <v xml:space="preserve">  </v>
      </c>
      <c r="W72" s="199" t="str">
        <f ca="1">IF(I72="",IFERROR(INDEX('3M'!C$300:C$400,MATCH("*"&amp;H72&amp;"*",'3M'!B$300:B$400,0)),"  "),IFERROR(INDEX('3N'!D$300:D$400,MATCH("*"&amp;H72&amp;"*",'3N'!B$300:B$400,0)),"  "))</f>
        <v xml:space="preserve">  </v>
      </c>
      <c r="X72" s="908" t="str">
        <f ca="1">IFERROR(INDEX('3M'!C$300:C$400,MATCH("*"&amp;H72&amp;"*",'3M'!B$300:B$400,0)),"  ")</f>
        <v xml:space="preserve">  </v>
      </c>
      <c r="Y72" s="907" t="str">
        <f ca="1">IFERROR(INDEX('3N'!C$300:C$400,MATCH("*"&amp;H72&amp;"*",'3N'!B$300:B$400,0)),"  ")</f>
        <v xml:space="preserve">  </v>
      </c>
      <c r="Z72" s="440"/>
      <c r="AA72" s="75" t="str">
        <f>IFERROR(INDEX('4'!C$300:C$400,MATCH("*"&amp;H72&amp;"*",'4'!B$300:B$400,0)),"  ")</f>
        <v xml:space="preserve">  </v>
      </c>
      <c r="AB72" s="75">
        <f>IFERROR(INDEX('5'!C$300:C$400,MATCH("*"&amp;H72&amp;"*",'5'!B$300:B$400,0)),"  ")</f>
        <v>96</v>
      </c>
      <c r="AC72" s="75" t="str">
        <f>IFERROR(INDEX('6'!C$300:C$400,MATCH("*"&amp;H72&amp;"*",'6'!B$300:B$400,0)),"  ")</f>
        <v xml:space="preserve">  </v>
      </c>
      <c r="AD72" s="75" t="str">
        <f>IFERROR(INDEX('7'!C$300:C$400,MATCH("*"&amp;H72&amp;"*",'7'!B$300:B$400,0)),"  ")</f>
        <v xml:space="preserve">  </v>
      </c>
      <c r="AE72" s="75" t="str">
        <f>IF(I72="",IFERROR(INDEX('8M'!C$300:C$400,MATCH("*"&amp;H72&amp;"*",'8M'!B$300:B$400,0)),"  "),IFERROR(INDEX('8N'!D$300:D$400,MATCH("*"&amp;H72&amp;"*",'8N'!B$300:B$400,0)),"  "))</f>
        <v xml:space="preserve">  </v>
      </c>
      <c r="AF72" s="908" t="str">
        <f>IFERROR(INDEX('8M'!C$300:C$400,MATCH("*"&amp;H72&amp;"*",'8M'!B$300:B$400,0)),"  ")</f>
        <v xml:space="preserve">  </v>
      </c>
      <c r="AG72" s="907" t="str">
        <f>IFERROR(INDEX('8N'!C$300:C$400,MATCH("*"&amp;H72&amp;"*",'8N'!B$300:B$400,0)),"  ")</f>
        <v xml:space="preserve">  </v>
      </c>
      <c r="AH72" s="440"/>
      <c r="AI72" s="75" t="str">
        <f>IFERROR(INDEX('9'!C$300:C$400,MATCH("*"&amp;H72&amp;"*",'9'!B$300:B$400,0)),"  ")</f>
        <v xml:space="preserve">  </v>
      </c>
      <c r="AJ72" s="830" t="str">
        <f>IFERROR(INDEX('10'!C$300:C$400,MATCH("*"&amp;H72&amp;"*",'10'!B$300:B$400,0)),"  ")</f>
        <v xml:space="preserve">  </v>
      </c>
      <c r="AK72" s="75" t="str">
        <f>IFERROR(INDEX('11'!C$300:C$400,MATCH("*"&amp;H72&amp;"*",'11'!B$300:B$400,0)),"  ")</f>
        <v xml:space="preserve">  </v>
      </c>
      <c r="AL72" s="75">
        <f>IFERROR(INDEX('12'!C$300:C$400,MATCH("*"&amp;H72&amp;"*",'12'!B$300:B$400,0)),"  ")</f>
        <v>84</v>
      </c>
      <c r="AM72" s="26">
        <f t="shared" ca="1" si="27"/>
        <v>2</v>
      </c>
      <c r="AN72" s="579">
        <f t="shared" ca="1" si="28"/>
        <v>0</v>
      </c>
      <c r="AO72" s="580">
        <f t="shared" ca="1" si="29"/>
        <v>0</v>
      </c>
      <c r="AP72" s="27">
        <f t="shared" ca="1" si="30"/>
        <v>0</v>
      </c>
      <c r="AQ72" s="933">
        <f t="shared" si="17"/>
        <v>2.0000000000000001E-4</v>
      </c>
      <c r="AR72" s="933">
        <f t="shared" ca="1" si="18"/>
        <v>1E-4</v>
      </c>
    </row>
    <row r="73" spans="1:44" x14ac:dyDescent="0.2">
      <c r="A73" s="851">
        <f t="shared" ref="A73:A104" ca="1" si="31">IF(M73=0,"",IF(I73="n","",RANK(B73,B$9:B$201,0)))</f>
        <v>46</v>
      </c>
      <c r="B73" s="77">
        <f t="shared" ref="B73:B104" ca="1" si="32">IF(I73="n",0,M73+10000)</f>
        <v>10182</v>
      </c>
      <c r="C73" s="853" t="str">
        <f t="shared" ca="1" si="15"/>
        <v/>
      </c>
      <c r="D73" s="76">
        <f t="shared" ref="D73:D104" si="33">IF(AND((J73="j"),(I73="n")),M73+10000,IF((I73="n"),N73+10000,0))</f>
        <v>0</v>
      </c>
      <c r="E73" s="855" t="str">
        <f t="shared" ca="1" si="16"/>
        <v/>
      </c>
      <c r="F73" s="899">
        <f t="shared" ref="F73:F104" si="34">IF((J73="j"),O73+10000,0)</f>
        <v>0</v>
      </c>
      <c r="G73" s="897">
        <f t="shared" ref="G73:G136" ca="1" si="35">IF(M73=0,"",RANK(M73,$M$9:$M$201,0))</f>
        <v>65</v>
      </c>
      <c r="H73" s="133" t="s">
        <v>178</v>
      </c>
      <c r="I73" s="38"/>
      <c r="J73" s="585"/>
      <c r="K73" s="586"/>
      <c r="L73" s="587"/>
      <c r="M73" s="857">
        <f ca="1">(IF(COUNT(V73,AA73,AD73,AI73,AJ73,AL73)&lt;5,SUM(V73,AA73,AD73,AI73,AJ73,AL73),SUM(LARGE((V73,AA73,AD73,AI73,AJ73,AL73),{1;2;3;4;5}))))+(IF(COUNT(U73,W73,AB73,AC73,AE73,AK73)&lt;5,SUM(U73,W73,AB73,AC73,AE73,AK73),SUM(LARGE((U73,W73,AB73,AC73,AE73,AK73),{1;2;3;4;5}))))+T73</f>
        <v>182</v>
      </c>
      <c r="N73" s="862">
        <f>IF(I73="n",((IF(COUNT(V73,AA73,AD73,AI73,AJ73,AL73)&lt;5,SUM(V73,AA73,AD73,AI73,AJ73,AL73),SUM(LARGE((V73,AA73,AD73,AI73,AJ73,AL73),{1;2;3;4;5}))))+(IF(COUNT(U73,Y73,AB73,AC73,AG73,AK73)&lt;5,SUM(U73,Y73,AB73,AC73,AG73,AK73),SUM(LARGE((U73,Y73,AB73,AC73,AG73,AK73),{1;2;3;4;5}))))+T73),0)</f>
        <v>0</v>
      </c>
      <c r="O73" s="863">
        <f>IF(J73="j",((IF(COUNT(V73,AA73,AD73,AI73,AJ73,AL73)&lt;5,SUM(V73,AA73,AD73,AI73,AJ73,AL73),SUM(LARGE((V73,AA73,AD73,AI73,AJ73,AL73),{1;2;3;4;5}))))+(IF(COUNT(U73,W73,AB73,AC73,AE73,AK73)&lt;5,SUM(U73,W73,AB73,AC73,AE73,AK73),SUM(LARGE((U73,W73,AB73,AC73,AE73,AK73),{1;2;3;4;5}))))+T73),0)</f>
        <v>0</v>
      </c>
      <c r="P73" s="886" t="str">
        <f t="shared" ref="P73:P104" ca="1" si="36">TEXT(M73,"000,0")</f>
        <v>182,0</v>
      </c>
      <c r="Q73" s="890">
        <f t="shared" ref="Q73:Q104" si="37">COUNTIF(H$9:H$201,"&gt;="&amp;H73)</f>
        <v>75</v>
      </c>
      <c r="R73" s="886" t="str">
        <f t="shared" ref="R73:R104" ca="1" si="38">TEXT(M73,"0000,0")&amp;"-"&amp;TEXT(Q73,"000")</f>
        <v>0182,0-075</v>
      </c>
      <c r="S73" s="889">
        <f t="shared" ref="S73:S104" ca="1" si="39">COUNTIF(R$9:R$201,"&lt;="&amp;R73)</f>
        <v>129</v>
      </c>
      <c r="T73" s="847"/>
      <c r="U73" s="75" t="str">
        <f>IFERROR(INDEX('1'!C$300:C$400,MATCH("*"&amp;H73&amp;"*",'1'!B$300:B$400,0)),"  ")</f>
        <v xml:space="preserve">  </v>
      </c>
      <c r="V73" s="199" t="str">
        <f>IFERROR(INDEX('2'!C$300:C$400,MATCH("*"&amp;H73&amp;"*",'2'!B$300:B$400,0)),"  ")</f>
        <v xml:space="preserve">  </v>
      </c>
      <c r="W73" s="199" t="str">
        <f ca="1">IF(I73="",IFERROR(INDEX('3M'!C$300:C$400,MATCH("*"&amp;H73&amp;"*",'3M'!B$300:B$400,0)),"  "),IFERROR(INDEX('3N'!D$300:D$400,MATCH("*"&amp;H73&amp;"*",'3N'!B$300:B$400,0)),"  "))</f>
        <v xml:space="preserve">  </v>
      </c>
      <c r="X73" s="908" t="str">
        <f ca="1">IFERROR(INDEX('3M'!C$300:C$400,MATCH("*"&amp;H73&amp;"*",'3M'!B$300:B$400,0)),"  ")</f>
        <v xml:space="preserve">  </v>
      </c>
      <c r="Y73" s="907" t="str">
        <f ca="1">IFERROR(INDEX('3N'!C$300:C$400,MATCH("*"&amp;H73&amp;"*",'3N'!B$300:B$400,0)),"  ")</f>
        <v xml:space="preserve">  </v>
      </c>
      <c r="Z73" s="440"/>
      <c r="AA73" s="75" t="str">
        <f>IFERROR(INDEX('4'!C$300:C$400,MATCH("*"&amp;H73&amp;"*",'4'!B$300:B$400,0)),"  ")</f>
        <v xml:space="preserve">  </v>
      </c>
      <c r="AB73" s="75">
        <f>IFERROR(INDEX('5'!C$300:C$400,MATCH("*"&amp;H73&amp;"*",'5'!B$300:B$400,0)),"  ")</f>
        <v>104</v>
      </c>
      <c r="AC73" s="75" t="str">
        <f>IFERROR(INDEX('6'!C$300:C$400,MATCH("*"&amp;H73&amp;"*",'6'!B$300:B$400,0)),"  ")</f>
        <v xml:space="preserve">  </v>
      </c>
      <c r="AD73" s="75" t="str">
        <f>IFERROR(INDEX('7'!C$300:C$400,MATCH("*"&amp;H73&amp;"*",'7'!B$300:B$400,0)),"  ")</f>
        <v xml:space="preserve">  </v>
      </c>
      <c r="AE73" s="75" t="str">
        <f>IF(I73="",IFERROR(INDEX('8M'!C$300:C$400,MATCH("*"&amp;H73&amp;"*",'8M'!B$300:B$400,0)),"  "),IFERROR(INDEX('8N'!D$300:D$400,MATCH("*"&amp;H73&amp;"*",'8N'!B$300:B$400,0)),"  "))</f>
        <v xml:space="preserve">  </v>
      </c>
      <c r="AF73" s="908" t="str">
        <f>IFERROR(INDEX('8M'!C$300:C$400,MATCH("*"&amp;H73&amp;"*",'8M'!B$300:B$400,0)),"  ")</f>
        <v xml:space="preserve">  </v>
      </c>
      <c r="AG73" s="907" t="str">
        <f>IFERROR(INDEX('8N'!C$300:C$400,MATCH("*"&amp;H73&amp;"*",'8N'!B$300:B$400,0)),"  ")</f>
        <v xml:space="preserve">  </v>
      </c>
      <c r="AH73" s="440"/>
      <c r="AI73" s="75" t="str">
        <f>IFERROR(INDEX('9'!C$300:C$400,MATCH("*"&amp;H73&amp;"*",'9'!B$300:B$400,0)),"  ")</f>
        <v xml:space="preserve">  </v>
      </c>
      <c r="AJ73" s="830" t="str">
        <f>IFERROR(INDEX('10'!C$300:C$400,MATCH("*"&amp;H73&amp;"*",'10'!B$300:B$400,0)),"  ")</f>
        <v xml:space="preserve">  </v>
      </c>
      <c r="AK73" s="75">
        <f>IFERROR(INDEX('11'!C$300:C$400,MATCH("*"&amp;H73&amp;"*",'11'!B$300:B$400,0)),"  ")</f>
        <v>78</v>
      </c>
      <c r="AL73" s="75" t="str">
        <f>IFERROR(INDEX('12'!C$300:C$400,MATCH("*"&amp;H73&amp;"*",'12'!B$300:B$400,0)),"  ")</f>
        <v xml:space="preserve">  </v>
      </c>
      <c r="AM73" s="26">
        <f t="shared" ref="AM73:AM104" ca="1" si="40">COUNTIF(U73:W73,"&gt;=0")+COUNTIF(AA73:AE73,"&gt;=0")+COUNTIF(AI73:AL73,"&gt;=0")</f>
        <v>2</v>
      </c>
      <c r="AN73" s="579">
        <f t="shared" ref="AN73:AN92" ca="1" si="41">COUNTIF(V73,"&gt;=97")+COUNTIF(AA73,"&gt;=97")+COUNTIF(AI73,"&gt;=97")+COUNTIF(AJ73,"&gt;=97")+COUNTIF(AD73,"&gt;=97")+COUNTIF(AL73,"&gt;=97")+COUNTIF(U73,"&gt;=146")+COUNTIF(AE73,"&gt;=146")+COUNTIF(W73,"&gt;=146")+COUNTIF(AB73,"&gt;=146")+COUNTIF(AC73,"&gt;=146")+COUNTIF(AK73,"&gt;=146")+IF((I73="n"),(COUNTIF(AE73,"=83")+COUNTIF(AE73,"=93")+COUNTIF(AE73,"=105")+COUNTIF(W73,"=83")+COUNTIF(W73,"=93")+COUNTIF(W73,"=105")))+IF((J73="j"),(COUNTIF(AE73,"=33")+COUNTIF(AE73,"=42")+COUNTIF(AE73,"=53")+COUNTIF(W73,"=33")+COUNTIF(W73,"=42")+COUNTIF(W73,"=53")))</f>
        <v>0</v>
      </c>
      <c r="AO73" s="580">
        <f t="shared" ref="AO73:AO104" ca="1" si="42">COUNTIF(V73,"=115")+COUNTIF(AA73,"=115")+COUNTIF(AD73,"=115")+COUNTIF(AI73,"=115")+COUNTIF(AJ73,"=115")+COUNTIF(AL73,"=115")+COUNTIF(U73:AL73,"=173")</f>
        <v>0</v>
      </c>
      <c r="AP73" s="27">
        <f t="shared" ref="AP73:AP104" ca="1" si="43">COUNTIF(U73:V73,"=173")+COUNTIF(X73:AD73,"=173")+COUNTIF(AF73:AL73,"=173")</f>
        <v>0</v>
      </c>
      <c r="AQ73" s="933">
        <f t="shared" si="17"/>
        <v>2.0000000000000001E-4</v>
      </c>
      <c r="AR73" s="933">
        <f t="shared" ca="1" si="18"/>
        <v>1E-4</v>
      </c>
    </row>
    <row r="74" spans="1:44" x14ac:dyDescent="0.2">
      <c r="A74" s="851">
        <f t="shared" ca="1" si="31"/>
        <v>46</v>
      </c>
      <c r="B74" s="77">
        <f t="shared" ca="1" si="32"/>
        <v>10182</v>
      </c>
      <c r="C74" s="853" t="str">
        <f t="shared" ref="C74:C137" ca="1" si="44">IF(M74=0,"",IF(I74="n",RANK(D74,D$9:D$201,0),""))</f>
        <v/>
      </c>
      <c r="D74" s="76">
        <f t="shared" si="33"/>
        <v>0</v>
      </c>
      <c r="E74" s="855" t="str">
        <f t="shared" ref="E74:E137" ca="1" si="45">IF(M74=0,"",IF(J74="j",RANK(F74,F$9:F$201,0),""))</f>
        <v/>
      </c>
      <c r="F74" s="899">
        <f t="shared" si="34"/>
        <v>0</v>
      </c>
      <c r="G74" s="897">
        <f t="shared" ca="1" si="35"/>
        <v>65</v>
      </c>
      <c r="H74" s="133" t="s">
        <v>622</v>
      </c>
      <c r="I74" s="38"/>
      <c r="J74" s="585"/>
      <c r="K74" s="586"/>
      <c r="L74" s="587"/>
      <c r="M74" s="857">
        <f ca="1">(IF(COUNT(V74,AA74,AD74,AI74,AJ74,AL74)&lt;5,SUM(V74,AA74,AD74,AI74,AJ74,AL74),SUM(LARGE((V74,AA74,AD74,AI74,AJ74,AL74),{1;2;3;4;5}))))+(IF(COUNT(U74,W74,AB74,AC74,AE74,AK74)&lt;5,SUM(U74,W74,AB74,AC74,AE74,AK74),SUM(LARGE((U74,W74,AB74,AC74,AE74,AK74),{1;2;3;4;5}))))+T74</f>
        <v>182</v>
      </c>
      <c r="N74" s="862">
        <f>IF(I74="n",((IF(COUNT(V74,AA74,AD74,AI74,AJ74,AL74)&lt;5,SUM(V74,AA74,AD74,AI74,AJ74,AL74),SUM(LARGE((V74,AA74,AD74,AI74,AJ74,AL74),{1;2;3;4;5}))))+(IF(COUNT(U74,Y74,AB74,AC74,AG74,AK74)&lt;5,SUM(U74,Y74,AB74,AC74,AG74,AK74),SUM(LARGE((U74,Y74,AB74,AC74,AG74,AK74),{1;2;3;4;5}))))+T74),0)</f>
        <v>0</v>
      </c>
      <c r="O74" s="863">
        <f>IF(J74="j",((IF(COUNT(V74,AA74,AD74,AI74,AJ74,AL74)&lt;5,SUM(V74,AA74,AD74,AI74,AJ74,AL74),SUM(LARGE((V74,AA74,AD74,AI74,AJ74,AL74),{1;2;3;4;5}))))+(IF(COUNT(U74,W74,AB74,AC74,AE74,AK74)&lt;5,SUM(U74,W74,AB74,AC74,AE74,AK74),SUM(LARGE((U74,W74,AB74,AC74,AE74,AK74),{1;2;3;4;5}))))+T74),0)</f>
        <v>0</v>
      </c>
      <c r="P74" s="886" t="str">
        <f t="shared" ca="1" si="36"/>
        <v>182,0</v>
      </c>
      <c r="Q74" s="890">
        <f t="shared" si="37"/>
        <v>67</v>
      </c>
      <c r="R74" s="886" t="str">
        <f t="shared" ca="1" si="38"/>
        <v>0182,0-067</v>
      </c>
      <c r="S74" s="889">
        <f t="shared" ca="1" si="39"/>
        <v>128</v>
      </c>
      <c r="T74" s="847"/>
      <c r="U74" s="75" t="str">
        <f>IFERROR(INDEX('1'!C$300:C$400,MATCH("*"&amp;H74&amp;"*",'1'!B$300:B$400,0)),"  ")</f>
        <v xml:space="preserve">  </v>
      </c>
      <c r="V74" s="199" t="str">
        <f>IFERROR(INDEX('2'!C$300:C$400,MATCH("*"&amp;H74&amp;"*",'2'!B$300:B$400,0)),"  ")</f>
        <v xml:space="preserve">  </v>
      </c>
      <c r="W74" s="199" t="str">
        <f ca="1">IF(I74="",IFERROR(INDEX('3M'!C$300:C$400,MATCH("*"&amp;H74&amp;"*",'3M'!B$300:B$400,0)),"  "),IFERROR(INDEX('3N'!D$300:D$400,MATCH("*"&amp;H74&amp;"*",'3N'!B$300:B$400,0)),"  "))</f>
        <v xml:space="preserve">  </v>
      </c>
      <c r="X74" s="908" t="str">
        <f ca="1">IFERROR(INDEX('3M'!C$300:C$400,MATCH("*"&amp;H74&amp;"*",'3M'!B$300:B$400,0)),"  ")</f>
        <v xml:space="preserve">  </v>
      </c>
      <c r="Y74" s="907" t="str">
        <f ca="1">IFERROR(INDEX('3N'!C$300:C$400,MATCH("*"&amp;H74&amp;"*",'3N'!B$300:B$400,0)),"  ")</f>
        <v xml:space="preserve">  </v>
      </c>
      <c r="Z74" s="440"/>
      <c r="AA74" s="75" t="str">
        <f>IFERROR(INDEX('4'!C$300:C$400,MATCH("*"&amp;H74&amp;"*",'4'!B$300:B$400,0)),"  ")</f>
        <v xml:space="preserve">  </v>
      </c>
      <c r="AB74" s="75">
        <f>IFERROR(INDEX('5'!C$300:C$400,MATCH("*"&amp;H74&amp;"*",'5'!B$300:B$400,0)),"  ")</f>
        <v>104</v>
      </c>
      <c r="AC74" s="75" t="str">
        <f>IFERROR(INDEX('6'!C$300:C$400,MATCH("*"&amp;H74&amp;"*",'6'!B$300:B$400,0)),"  ")</f>
        <v xml:space="preserve">  </v>
      </c>
      <c r="AD74" s="75" t="str">
        <f>IFERROR(INDEX('7'!C$300:C$400,MATCH("*"&amp;H74&amp;"*",'7'!B$300:B$400,0)),"  ")</f>
        <v xml:space="preserve">  </v>
      </c>
      <c r="AE74" s="75" t="str">
        <f>IF(I74="",IFERROR(INDEX('8M'!C$300:C$400,MATCH("*"&amp;H74&amp;"*",'8M'!B$300:B$400,0)),"  "),IFERROR(INDEX('8N'!D$300:D$400,MATCH("*"&amp;H74&amp;"*",'8N'!B$300:B$400,0)),"  "))</f>
        <v xml:space="preserve">  </v>
      </c>
      <c r="AF74" s="908" t="str">
        <f>IFERROR(INDEX('8M'!C$300:C$400,MATCH("*"&amp;H74&amp;"*",'8M'!B$300:B$400,0)),"  ")</f>
        <v xml:space="preserve">  </v>
      </c>
      <c r="AG74" s="907" t="str">
        <f>IFERROR(INDEX('8N'!C$300:C$400,MATCH("*"&amp;H74&amp;"*",'8N'!B$300:B$400,0)),"  ")</f>
        <v xml:space="preserve">  </v>
      </c>
      <c r="AH74" s="440"/>
      <c r="AI74" s="75" t="str">
        <f>IFERROR(INDEX('9'!C$300:C$400,MATCH("*"&amp;H74&amp;"*",'9'!B$300:B$400,0)),"  ")</f>
        <v xml:space="preserve">  </v>
      </c>
      <c r="AJ74" s="830" t="str">
        <f>IFERROR(INDEX('10'!C$300:C$400,MATCH("*"&amp;H74&amp;"*",'10'!B$300:B$400,0)),"  ")</f>
        <v xml:space="preserve">  </v>
      </c>
      <c r="AK74" s="75">
        <f>IFERROR(INDEX('11'!C$300:C$400,MATCH("*"&amp;H74&amp;"*",'11'!B$300:B$400,0)),"  ")</f>
        <v>78</v>
      </c>
      <c r="AL74" s="75" t="str">
        <f>IFERROR(INDEX('12'!C$300:C$400,MATCH("*"&amp;H74&amp;"*",'12'!B$300:B$400,0)),"  ")</f>
        <v xml:space="preserve">  </v>
      </c>
      <c r="AM74" s="26">
        <f t="shared" ca="1" si="40"/>
        <v>2</v>
      </c>
      <c r="AN74" s="579">
        <f t="shared" ca="1" si="41"/>
        <v>0</v>
      </c>
      <c r="AO74" s="580">
        <f t="shared" ca="1" si="42"/>
        <v>0</v>
      </c>
      <c r="AP74" s="27">
        <f t="shared" ca="1" si="43"/>
        <v>0</v>
      </c>
      <c r="AQ74" s="933">
        <f t="shared" ref="AQ74:AQ137" si="46">MIN(IF($V74="  ",FALSE,$V74)+$V$8/10000,IF($AA74="  ",FALSE,$AA74)+$AA$8/10000,IF($AD74="  ",FALSE,$AD74)+$AD$8/10000,IF($AI74="  ",FALSE,$AI74)+$AI$8/10000,IF($AJ74="  ",FALSE,$AJ74)+$AJ$8/10000,IF($AL74="  ",FALSE,$AL74)+$AL$8/10000)</f>
        <v>2.0000000000000001E-4</v>
      </c>
      <c r="AR74" s="933">
        <f t="shared" ref="AR74:AR137" ca="1" si="47">MIN(IF($U74="  ",FALSE,$U74)+$U$8/10000,IF($W74="  ",FALSE,$W74)+$W$8/10000,IF($AB74="  ",FALSE,$AB74)+$AB$8/10000,IF($AC74="  ",FALSE,$AC74)+$AC$8/10000,IF($AE74="  ",FALSE,$AE74)+$AE$8/10000,IF($AK74="  ",FALSE,$AK74)+$AK$8/10000)</f>
        <v>1E-4</v>
      </c>
    </row>
    <row r="75" spans="1:44" x14ac:dyDescent="0.2">
      <c r="A75" s="851">
        <f t="shared" ca="1" si="31"/>
        <v>48</v>
      </c>
      <c r="B75" s="77">
        <f t="shared" ca="1" si="32"/>
        <v>10181</v>
      </c>
      <c r="C75" s="853" t="str">
        <f t="shared" ca="1" si="44"/>
        <v/>
      </c>
      <c r="D75" s="76">
        <f t="shared" si="33"/>
        <v>0</v>
      </c>
      <c r="E75" s="855" t="str">
        <f t="shared" ca="1" si="45"/>
        <v/>
      </c>
      <c r="F75" s="899">
        <f t="shared" si="34"/>
        <v>0</v>
      </c>
      <c r="G75" s="897">
        <f t="shared" ca="1" si="35"/>
        <v>67</v>
      </c>
      <c r="H75" s="133" t="s">
        <v>79</v>
      </c>
      <c r="I75" s="38"/>
      <c r="J75" s="585"/>
      <c r="K75" s="586" t="s">
        <v>718</v>
      </c>
      <c r="L75" s="587"/>
      <c r="M75" s="857">
        <f ca="1">(IF(COUNT(V75,AA75,AD75,AI75,AJ75,AL75)&lt;5,SUM(V75,AA75,AD75,AI75,AJ75,AL75),SUM(LARGE((V75,AA75,AD75,AI75,AJ75,AL75),{1;2;3;4;5}))))+(IF(COUNT(U75,W75,AB75,AC75,AE75,AK75)&lt;5,SUM(U75,W75,AB75,AC75,AE75,AK75),SUM(LARGE((U75,W75,AB75,AC75,AE75,AK75),{1;2;3;4;5}))))+T75</f>
        <v>181</v>
      </c>
      <c r="N75" s="862">
        <f>IF(I75="n",((IF(COUNT(V75,AA75,AD75,AI75,AJ75,AL75)&lt;5,SUM(V75,AA75,AD75,AI75,AJ75,AL75),SUM(LARGE((V75,AA75,AD75,AI75,AJ75,AL75),{1;2;3;4;5}))))+(IF(COUNT(U75,Y75,AB75,AC75,AG75,AK75)&lt;5,SUM(U75,Y75,AB75,AC75,AG75,AK75),SUM(LARGE((U75,Y75,AB75,AC75,AG75,AK75),{1;2;3;4;5}))))+T75),0)</f>
        <v>0</v>
      </c>
      <c r="O75" s="863">
        <f>IF(J75="j",((IF(COUNT(V75,AA75,AD75,AI75,AJ75,AL75)&lt;5,SUM(V75,AA75,AD75,AI75,AJ75,AL75),SUM(LARGE((V75,AA75,AD75,AI75,AJ75,AL75),{1;2;3;4;5}))))+(IF(COUNT(U75,W75,AB75,AC75,AE75,AK75)&lt;5,SUM(U75,W75,AB75,AC75,AE75,AK75),SUM(LARGE((U75,W75,AB75,AC75,AE75,AK75),{1;2;3;4;5}))))+T75),0)</f>
        <v>0</v>
      </c>
      <c r="P75" s="886" t="str">
        <f t="shared" ca="1" si="36"/>
        <v>181,0</v>
      </c>
      <c r="Q75" s="890">
        <f t="shared" si="37"/>
        <v>128</v>
      </c>
      <c r="R75" s="886" t="str">
        <f t="shared" ca="1" si="38"/>
        <v>0181,0-128</v>
      </c>
      <c r="S75" s="889">
        <f t="shared" ca="1" si="39"/>
        <v>127</v>
      </c>
      <c r="T75" s="847">
        <v>1</v>
      </c>
      <c r="U75" s="75" t="str">
        <f>IFERROR(INDEX('1'!C$300:C$400,MATCH("*"&amp;H75&amp;"*",'1'!B$300:B$400,0)),"  ")</f>
        <v xml:space="preserve">  </v>
      </c>
      <c r="V75" s="199" t="str">
        <f>IFERROR(INDEX('2'!C$300:C$400,MATCH("*"&amp;H75&amp;"*",'2'!B$300:B$400,0)),"  ")</f>
        <v xml:space="preserve">  </v>
      </c>
      <c r="W75" s="199">
        <f ca="1">IF(I75="",IFERROR(INDEX('3M'!C$300:C$400,MATCH("*"&amp;H75&amp;"*",'3M'!B$300:B$400,0)),"  "),IFERROR(INDEX('3N'!D$300:D$400,MATCH("*"&amp;H75&amp;"*",'3N'!B$300:B$400,0)),"  "))</f>
        <v>111</v>
      </c>
      <c r="X75" s="908">
        <f ca="1">IFERROR(INDEX('3M'!C$300:C$400,MATCH("*"&amp;H75&amp;"*",'3M'!B$300:B$400,0)),"  ")</f>
        <v>111</v>
      </c>
      <c r="Y75" s="907" t="str">
        <f ca="1">IFERROR(INDEX('3N'!C$300:C$400,MATCH("*"&amp;H75&amp;"*",'3N'!B$300:B$400,0)),"  ")</f>
        <v xml:space="preserve">  </v>
      </c>
      <c r="Z75" s="440"/>
      <c r="AA75" s="75" t="str">
        <f>IFERROR(INDEX('4'!C$300:C$400,MATCH("*"&amp;H75&amp;"*",'4'!B$300:B$400,0)),"  ")</f>
        <v xml:space="preserve">  </v>
      </c>
      <c r="AB75" s="75" t="str">
        <f>IFERROR(INDEX('5'!C$300:C$400,MATCH("*"&amp;H75&amp;"*",'5'!B$300:B$400,0)),"  ")</f>
        <v xml:space="preserve">  </v>
      </c>
      <c r="AC75" s="75" t="str">
        <f>IFERROR(INDEX('6'!C$300:C$400,MATCH("*"&amp;H75&amp;"*",'6'!B$300:B$400,0)),"  ")</f>
        <v xml:space="preserve">  </v>
      </c>
      <c r="AD75" s="75" t="str">
        <f>IFERROR(INDEX('7'!C$300:C$400,MATCH("*"&amp;H75&amp;"*",'7'!B$300:B$400,0)),"  ")</f>
        <v xml:space="preserve">  </v>
      </c>
      <c r="AE75" s="75" t="str">
        <f>IF(I75="",IFERROR(INDEX('8M'!C$300:C$400,MATCH("*"&amp;H75&amp;"*",'8M'!B$300:B$400,0)),"  "),IFERROR(INDEX('8N'!D$300:D$400,MATCH("*"&amp;H75&amp;"*",'8N'!B$300:B$400,0)),"  "))</f>
        <v xml:space="preserve">  </v>
      </c>
      <c r="AF75" s="908" t="str">
        <f>IFERROR(INDEX('8M'!C$300:C$400,MATCH("*"&amp;H75&amp;"*",'8M'!B$300:B$400,0)),"  ")</f>
        <v xml:space="preserve">  </v>
      </c>
      <c r="AG75" s="907" t="str">
        <f>IFERROR(INDEX('8N'!C$300:C$400,MATCH("*"&amp;H75&amp;"*",'8N'!B$300:B$400,0)),"  ")</f>
        <v xml:space="preserve">  </v>
      </c>
      <c r="AH75" s="440"/>
      <c r="AI75" s="75">
        <f>IFERROR(INDEX('9'!C$300:C$400,MATCH("*"&amp;H75&amp;"*",'9'!B$300:B$400,0)),"  ")</f>
        <v>69</v>
      </c>
      <c r="AJ75" s="830" t="str">
        <f>IFERROR(INDEX('10'!C$300:C$400,MATCH("*"&amp;H75&amp;"*",'10'!B$300:B$400,0)),"  ")</f>
        <v xml:space="preserve">  </v>
      </c>
      <c r="AK75" s="75" t="str">
        <f>IFERROR(INDEX('11'!C$300:C$400,MATCH("*"&amp;H75&amp;"*",'11'!B$300:B$400,0)),"  ")</f>
        <v xml:space="preserve">  </v>
      </c>
      <c r="AL75" s="75" t="str">
        <f>IFERROR(INDEX('12'!C$300:C$400,MATCH("*"&amp;H75&amp;"*",'12'!B$300:B$400,0)),"  ")</f>
        <v xml:space="preserve">  </v>
      </c>
      <c r="AM75" s="26">
        <f t="shared" ca="1" si="40"/>
        <v>2</v>
      </c>
      <c r="AN75" s="579">
        <f t="shared" ca="1" si="41"/>
        <v>0</v>
      </c>
      <c r="AO75" s="580">
        <f t="shared" ca="1" si="42"/>
        <v>0</v>
      </c>
      <c r="AP75" s="27">
        <f t="shared" ca="1" si="43"/>
        <v>0</v>
      </c>
      <c r="AQ75" s="933">
        <f t="shared" si="46"/>
        <v>2.0000000000000001E-4</v>
      </c>
      <c r="AR75" s="933">
        <f t="shared" ca="1" si="47"/>
        <v>1E-4</v>
      </c>
    </row>
    <row r="76" spans="1:44" x14ac:dyDescent="0.2">
      <c r="A76" s="851">
        <f t="shared" ca="1" si="31"/>
        <v>49</v>
      </c>
      <c r="B76" s="77">
        <f t="shared" ca="1" si="32"/>
        <v>10178</v>
      </c>
      <c r="C76" s="853" t="str">
        <f t="shared" ca="1" si="44"/>
        <v/>
      </c>
      <c r="D76" s="76">
        <f t="shared" si="33"/>
        <v>0</v>
      </c>
      <c r="E76" s="855" t="str">
        <f t="shared" ca="1" si="45"/>
        <v/>
      </c>
      <c r="F76" s="899">
        <f t="shared" si="34"/>
        <v>0</v>
      </c>
      <c r="G76" s="897">
        <f t="shared" ca="1" si="35"/>
        <v>68</v>
      </c>
      <c r="H76" s="133" t="s">
        <v>296</v>
      </c>
      <c r="I76" s="38"/>
      <c r="J76" s="585"/>
      <c r="K76" s="586"/>
      <c r="L76" s="587"/>
      <c r="M76" s="857">
        <f ca="1">(IF(COUNT(V76,AA76,AD76,AI76,AJ76,AL76)&lt;5,SUM(V76,AA76,AD76,AI76,AJ76,AL76),SUM(LARGE((V76,AA76,AD76,AI76,AJ76,AL76),{1;2;3;4;5}))))+(IF(COUNT(U76,W76,AB76,AC76,AE76,AK76)&lt;5,SUM(U76,W76,AB76,AC76,AE76,AK76),SUM(LARGE((U76,W76,AB76,AC76,AE76,AK76),{1;2;3;4;5}))))+T76</f>
        <v>178</v>
      </c>
      <c r="N76" s="862">
        <f>IF(I76="n",((IF(COUNT(V76,AA76,AD76,AI76,AJ76,AL76)&lt;5,SUM(V76,AA76,AD76,AI76,AJ76,AL76),SUM(LARGE((V76,AA76,AD76,AI76,AJ76,AL76),{1;2;3;4;5}))))+(IF(COUNT(U76,Y76,AB76,AC76,AG76,AK76)&lt;5,SUM(U76,Y76,AB76,AC76,AG76,AK76),SUM(LARGE((U76,Y76,AB76,AC76,AG76,AK76),{1;2;3;4;5}))))+T76),0)</f>
        <v>0</v>
      </c>
      <c r="O76" s="863">
        <f>IF(J76="j",((IF(COUNT(V76,AA76,AD76,AI76,AJ76,AL76)&lt;5,SUM(V76,AA76,AD76,AI76,AJ76,AL76),SUM(LARGE((V76,AA76,AD76,AI76,AJ76,AL76),{1;2;3;4;5}))))+(IF(COUNT(U76,W76,AB76,AC76,AE76,AK76)&lt;5,SUM(U76,W76,AB76,AC76,AE76,AK76),SUM(LARGE((U76,W76,AB76,AC76,AE76,AK76),{1;2;3;4;5}))))+T76),0)</f>
        <v>0</v>
      </c>
      <c r="P76" s="886" t="str">
        <f t="shared" ca="1" si="36"/>
        <v>178,0</v>
      </c>
      <c r="Q76" s="890">
        <f t="shared" si="37"/>
        <v>172</v>
      </c>
      <c r="R76" s="886" t="str">
        <f t="shared" ca="1" si="38"/>
        <v>0178,0-172</v>
      </c>
      <c r="S76" s="889">
        <f t="shared" ca="1" si="39"/>
        <v>126</v>
      </c>
      <c r="T76" s="847">
        <v>1</v>
      </c>
      <c r="U76" s="75" t="str">
        <f>IFERROR(INDEX('1'!C$300:C$400,MATCH("*"&amp;H76&amp;"*",'1'!B$300:B$400,0)),"  ")</f>
        <v xml:space="preserve">  </v>
      </c>
      <c r="V76" s="199" t="str">
        <f>IFERROR(INDEX('2'!C$300:C$400,MATCH("*"&amp;H76&amp;"*",'2'!B$300:B$400,0)),"  ")</f>
        <v xml:space="preserve">  </v>
      </c>
      <c r="W76" s="199">
        <f ca="1">IF(I76="",IFERROR(INDEX('3M'!C$300:C$400,MATCH("*"&amp;H76&amp;"*",'3M'!B$300:B$400,0)),"  "),IFERROR(INDEX('3N'!D$300:D$400,MATCH("*"&amp;H76&amp;"*",'3N'!B$300:B$400,0)),"  "))</f>
        <v>84</v>
      </c>
      <c r="X76" s="908">
        <f ca="1">IFERROR(INDEX('3M'!C$300:C$400,MATCH("*"&amp;H76&amp;"*",'3M'!B$300:B$400,0)),"  ")</f>
        <v>84</v>
      </c>
      <c r="Y76" s="907" t="str">
        <f ca="1">IFERROR(INDEX('3N'!C$300:C$400,MATCH("*"&amp;H76&amp;"*",'3N'!B$300:B$400,0)),"  ")</f>
        <v xml:space="preserve">  </v>
      </c>
      <c r="Z76" s="440"/>
      <c r="AA76" s="75">
        <f>IFERROR(INDEX('4'!C$300:C$400,MATCH("*"&amp;H76&amp;"*",'4'!B$300:B$400,0)),"  ")</f>
        <v>69</v>
      </c>
      <c r="AB76" s="75">
        <f>IFERROR(INDEX('5'!C$300:C$400,MATCH("*"&amp;H76&amp;"*",'5'!B$300:B$400,0)),"  ")</f>
        <v>24</v>
      </c>
      <c r="AC76" s="75" t="str">
        <f>IFERROR(INDEX('6'!C$300:C$400,MATCH("*"&amp;H76&amp;"*",'6'!B$300:B$400,0)),"  ")</f>
        <v xml:space="preserve">  </v>
      </c>
      <c r="AD76" s="75" t="str">
        <f>IFERROR(INDEX('7'!C$300:C$400,MATCH("*"&amp;H76&amp;"*",'7'!B$300:B$400,0)),"  ")</f>
        <v xml:space="preserve">  </v>
      </c>
      <c r="AE76" s="75" t="str">
        <f>IF(I76="",IFERROR(INDEX('8M'!C$300:C$400,MATCH("*"&amp;H76&amp;"*",'8M'!B$300:B$400,0)),"  "),IFERROR(INDEX('8N'!D$300:D$400,MATCH("*"&amp;H76&amp;"*",'8N'!B$300:B$400,0)),"  "))</f>
        <v xml:space="preserve">  </v>
      </c>
      <c r="AF76" s="908" t="str">
        <f>IFERROR(INDEX('8M'!C$300:C$400,MATCH("*"&amp;H76&amp;"*",'8M'!B$300:B$400,0)),"  ")</f>
        <v xml:space="preserve">  </v>
      </c>
      <c r="AG76" s="907" t="str">
        <f>IFERROR(INDEX('8N'!C$300:C$400,MATCH("*"&amp;H76&amp;"*",'8N'!B$300:B$400,0)),"  ")</f>
        <v xml:space="preserve">  </v>
      </c>
      <c r="AH76" s="440"/>
      <c r="AI76" s="75" t="str">
        <f>IFERROR(INDEX('9'!C$300:C$400,MATCH("*"&amp;H76&amp;"*",'9'!B$300:B$400,0)),"  ")</f>
        <v xml:space="preserve">  </v>
      </c>
      <c r="AJ76" s="830" t="str">
        <f>IFERROR(INDEX('10'!C$300:C$400,MATCH("*"&amp;H76&amp;"*",'10'!B$300:B$400,0)),"  ")</f>
        <v xml:space="preserve">  </v>
      </c>
      <c r="AK76" s="75" t="str">
        <f>IFERROR(INDEX('11'!C$300:C$400,MATCH("*"&amp;H76&amp;"*",'11'!B$300:B$400,0)),"  ")</f>
        <v xml:space="preserve">  </v>
      </c>
      <c r="AL76" s="75" t="str">
        <f>IFERROR(INDEX('12'!C$300:C$400,MATCH("*"&amp;H76&amp;"*",'12'!B$300:B$400,0)),"  ")</f>
        <v xml:space="preserve">  </v>
      </c>
      <c r="AM76" s="26">
        <f t="shared" ca="1" si="40"/>
        <v>3</v>
      </c>
      <c r="AN76" s="579">
        <f t="shared" ca="1" si="41"/>
        <v>0</v>
      </c>
      <c r="AO76" s="580">
        <f t="shared" ca="1" si="42"/>
        <v>0</v>
      </c>
      <c r="AP76" s="27">
        <f t="shared" ca="1" si="43"/>
        <v>0</v>
      </c>
      <c r="AQ76" s="933">
        <f t="shared" si="46"/>
        <v>2.0000000000000001E-4</v>
      </c>
      <c r="AR76" s="933">
        <f t="shared" ca="1" si="47"/>
        <v>1E-4</v>
      </c>
    </row>
    <row r="77" spans="1:44" x14ac:dyDescent="0.2">
      <c r="A77" s="851">
        <f t="shared" ca="1" si="31"/>
        <v>50</v>
      </c>
      <c r="B77" s="77">
        <f t="shared" ca="1" si="32"/>
        <v>10174</v>
      </c>
      <c r="C77" s="853" t="str">
        <f t="shared" ca="1" si="44"/>
        <v/>
      </c>
      <c r="D77" s="76">
        <f t="shared" si="33"/>
        <v>0</v>
      </c>
      <c r="E77" s="855" t="str">
        <f t="shared" ca="1" si="45"/>
        <v/>
      </c>
      <c r="F77" s="899">
        <f t="shared" si="34"/>
        <v>0</v>
      </c>
      <c r="G77" s="897">
        <f t="shared" ca="1" si="35"/>
        <v>69</v>
      </c>
      <c r="H77" s="133" t="s">
        <v>55</v>
      </c>
      <c r="I77" s="38"/>
      <c r="J77" s="585"/>
      <c r="K77" s="586" t="s">
        <v>718</v>
      </c>
      <c r="L77" s="587"/>
      <c r="M77" s="857">
        <f ca="1">(IF(COUNT(V77,AA77,AD77,AI77,AJ77,AL77)&lt;5,SUM(V77,AA77,AD77,AI77,AJ77,AL77),SUM(LARGE((V77,AA77,AD77,AI77,AJ77,AL77),{1;2;3;4;5}))))+(IF(COUNT(U77,W77,AB77,AC77,AE77,AK77)&lt;5,SUM(U77,W77,AB77,AC77,AE77,AK77),SUM(LARGE((U77,W77,AB77,AC77,AE77,AK77),{1;2;3;4;5}))))+T77</f>
        <v>174</v>
      </c>
      <c r="N77" s="862">
        <f>IF(I77="n",((IF(COUNT(V77,AA77,AD77,AI77,AJ77,AL77)&lt;5,SUM(V77,AA77,AD77,AI77,AJ77,AL77),SUM(LARGE((V77,AA77,AD77,AI77,AJ77,AL77),{1;2;3;4;5}))))+(IF(COUNT(U77,Y77,AB77,AC77,AG77,AK77)&lt;5,SUM(U77,Y77,AB77,AC77,AG77,AK77),SUM(LARGE((U77,Y77,AB77,AC77,AG77,AK77),{1;2;3;4;5}))))+T77),0)</f>
        <v>0</v>
      </c>
      <c r="O77" s="863">
        <f>IF(J77="j",((IF(COUNT(V77,AA77,AD77,AI77,AJ77,AL77)&lt;5,SUM(V77,AA77,AD77,AI77,AJ77,AL77),SUM(LARGE((V77,AA77,AD77,AI77,AJ77,AL77),{1;2;3;4;5}))))+(IF(COUNT(U77,W77,AB77,AC77,AE77,AK77)&lt;5,SUM(U77,W77,AB77,AC77,AE77,AK77),SUM(LARGE((U77,W77,AB77,AC77,AE77,AK77),{1;2;3;4;5}))))+T77),0)</f>
        <v>0</v>
      </c>
      <c r="P77" s="886" t="str">
        <f t="shared" ca="1" si="36"/>
        <v>174,0</v>
      </c>
      <c r="Q77" s="890">
        <f t="shared" si="37"/>
        <v>73</v>
      </c>
      <c r="R77" s="886" t="str">
        <f t="shared" ca="1" si="38"/>
        <v>0174,0-073</v>
      </c>
      <c r="S77" s="889">
        <f t="shared" ca="1" si="39"/>
        <v>125</v>
      </c>
      <c r="T77" s="847">
        <v>1</v>
      </c>
      <c r="U77" s="75" t="str">
        <f>IFERROR(INDEX('1'!C$300:C$400,MATCH("*"&amp;H77&amp;"*",'1'!B$300:B$400,0)),"  ")</f>
        <v xml:space="preserve">  </v>
      </c>
      <c r="V77" s="199" t="str">
        <f>IFERROR(INDEX('2'!C$300:C$400,MATCH("*"&amp;H77&amp;"*",'2'!B$300:B$400,0)),"  ")</f>
        <v xml:space="preserve">  </v>
      </c>
      <c r="W77" s="199" t="str">
        <f ca="1">IF(I77="",IFERROR(INDEX('3M'!C$300:C$400,MATCH("*"&amp;H77&amp;"*",'3M'!B$300:B$400,0)),"  "),IFERROR(INDEX('3N'!D$300:D$400,MATCH("*"&amp;H77&amp;"*",'3N'!B$300:B$400,0)),"  "))</f>
        <v xml:space="preserve">  </v>
      </c>
      <c r="X77" s="908" t="str">
        <f ca="1">IFERROR(INDEX('3M'!C$300:C$400,MATCH("*"&amp;H77&amp;"*",'3M'!B$300:B$400,0)),"  ")</f>
        <v xml:space="preserve">  </v>
      </c>
      <c r="Y77" s="907" t="str">
        <f ca="1">IFERROR(INDEX('3N'!C$300:C$400,MATCH("*"&amp;H77&amp;"*",'3N'!B$300:B$400,0)),"  ")</f>
        <v xml:space="preserve">  </v>
      </c>
      <c r="Z77" s="440"/>
      <c r="AA77" s="75">
        <f>IFERROR(INDEX('4'!C$300:C$400,MATCH("*"&amp;H77&amp;"*",'4'!B$300:B$400,0)),"  ")</f>
        <v>60</v>
      </c>
      <c r="AB77" s="75" t="str">
        <f>IFERROR(INDEX('5'!C$300:C$400,MATCH("*"&amp;H77&amp;"*",'5'!B$300:B$400,0)),"  ")</f>
        <v xml:space="preserve">  </v>
      </c>
      <c r="AC77" s="75" t="str">
        <f>IFERROR(INDEX('6'!C$300:C$400,MATCH("*"&amp;H77&amp;"*",'6'!B$300:B$400,0)),"  ")</f>
        <v xml:space="preserve">  </v>
      </c>
      <c r="AD77" s="75" t="str">
        <f>IFERROR(INDEX('7'!C$300:C$400,MATCH("*"&amp;H77&amp;"*",'7'!B$300:B$400,0)),"  ")</f>
        <v xml:space="preserve">  </v>
      </c>
      <c r="AE77" s="75" t="str">
        <f>IF(I77="",IFERROR(INDEX('8M'!C$300:C$400,MATCH("*"&amp;H77&amp;"*",'8M'!B$300:B$400,0)),"  "),IFERROR(INDEX('8N'!D$300:D$400,MATCH("*"&amp;H77&amp;"*",'8N'!B$300:B$400,0)),"  "))</f>
        <v xml:space="preserve">  </v>
      </c>
      <c r="AF77" s="908" t="str">
        <f>IFERROR(INDEX('8M'!C$300:C$400,MATCH("*"&amp;H77&amp;"*",'8M'!B$300:B$400,0)),"  ")</f>
        <v xml:space="preserve">  </v>
      </c>
      <c r="AG77" s="907" t="str">
        <f>IFERROR(INDEX('8N'!C$300:C$400,MATCH("*"&amp;H77&amp;"*",'8N'!B$300:B$400,0)),"  ")</f>
        <v xml:space="preserve">  </v>
      </c>
      <c r="AH77" s="440"/>
      <c r="AI77" s="75">
        <f>IFERROR(INDEX('9'!C$300:C$400,MATCH("*"&amp;H77&amp;"*",'9'!B$300:B$400,0)),"  ")</f>
        <v>49</v>
      </c>
      <c r="AJ77" s="830">
        <f>IFERROR(INDEX('10'!C$300:C$400,MATCH("*"&amp;H77&amp;"*",'10'!B$300:B$400,0)),"  ")</f>
        <v>64</v>
      </c>
      <c r="AK77" s="75" t="str">
        <f>IFERROR(INDEX('11'!C$300:C$400,MATCH("*"&amp;H77&amp;"*",'11'!B$300:B$400,0)),"  ")</f>
        <v xml:space="preserve">  </v>
      </c>
      <c r="AL77" s="75" t="str">
        <f>IFERROR(INDEX('12'!C$300:C$400,MATCH("*"&amp;H77&amp;"*",'12'!B$300:B$400,0)),"  ")</f>
        <v xml:space="preserve">  </v>
      </c>
      <c r="AM77" s="26">
        <f t="shared" ca="1" si="40"/>
        <v>3</v>
      </c>
      <c r="AN77" s="579">
        <f t="shared" ca="1" si="41"/>
        <v>0</v>
      </c>
      <c r="AO77" s="580">
        <f t="shared" ca="1" si="42"/>
        <v>0</v>
      </c>
      <c r="AP77" s="27">
        <f t="shared" ca="1" si="43"/>
        <v>0</v>
      </c>
      <c r="AQ77" s="933">
        <f t="shared" si="46"/>
        <v>2.0000000000000001E-4</v>
      </c>
      <c r="AR77" s="933">
        <f t="shared" ca="1" si="47"/>
        <v>1E-4</v>
      </c>
    </row>
    <row r="78" spans="1:44" x14ac:dyDescent="0.2">
      <c r="A78" s="851">
        <f t="shared" ca="1" si="31"/>
        <v>51</v>
      </c>
      <c r="B78" s="77">
        <f t="shared" ca="1" si="32"/>
        <v>10167</v>
      </c>
      <c r="C78" s="853" t="str">
        <f t="shared" ca="1" si="44"/>
        <v/>
      </c>
      <c r="D78" s="76">
        <f t="shared" si="33"/>
        <v>0</v>
      </c>
      <c r="E78" s="855" t="str">
        <f t="shared" ca="1" si="45"/>
        <v/>
      </c>
      <c r="F78" s="899">
        <f t="shared" si="34"/>
        <v>0</v>
      </c>
      <c r="G78" s="897">
        <f t="shared" ca="1" si="35"/>
        <v>70</v>
      </c>
      <c r="H78" s="133" t="s">
        <v>298</v>
      </c>
      <c r="I78" s="38"/>
      <c r="J78" s="585"/>
      <c r="K78" s="586"/>
      <c r="L78" s="587"/>
      <c r="M78" s="857">
        <f ca="1">(IF(COUNT(V78,AA78,AD78,AI78,AJ78,AL78)&lt;5,SUM(V78,AA78,AD78,AI78,AJ78,AL78),SUM(LARGE((V78,AA78,AD78,AI78,AJ78,AL78),{1;2;3;4;5}))))+(IF(COUNT(U78,W78,AB78,AC78,AE78,AK78)&lt;5,SUM(U78,W78,AB78,AC78,AE78,AK78),SUM(LARGE((U78,W78,AB78,AC78,AE78,AK78),{1;2;3;4;5}))))+T78</f>
        <v>167</v>
      </c>
      <c r="N78" s="862">
        <f>IF(I78="n",((IF(COUNT(V78,AA78,AD78,AI78,AJ78,AL78)&lt;5,SUM(V78,AA78,AD78,AI78,AJ78,AL78),SUM(LARGE((V78,AA78,AD78,AI78,AJ78,AL78),{1;2;3;4;5}))))+(IF(COUNT(U78,Y78,AB78,AC78,AG78,AK78)&lt;5,SUM(U78,Y78,AB78,AC78,AG78,AK78),SUM(LARGE((U78,Y78,AB78,AC78,AG78,AK78),{1;2;3;4;5}))))+T78),0)</f>
        <v>0</v>
      </c>
      <c r="O78" s="863">
        <f>IF(J78="j",((IF(COUNT(V78,AA78,AD78,AI78,AJ78,AL78)&lt;5,SUM(V78,AA78,AD78,AI78,AJ78,AL78),SUM(LARGE((V78,AA78,AD78,AI78,AJ78,AL78),{1;2;3;4;5}))))+(IF(COUNT(U78,W78,AB78,AC78,AE78,AK78)&lt;5,SUM(U78,W78,AB78,AC78,AE78,AK78),SUM(LARGE((U78,W78,AB78,AC78,AE78,AK78),{1;2;3;4;5}))))+T78),0)</f>
        <v>0</v>
      </c>
      <c r="P78" s="886" t="str">
        <f t="shared" ca="1" si="36"/>
        <v>167,0</v>
      </c>
      <c r="Q78" s="890">
        <f t="shared" si="37"/>
        <v>16</v>
      </c>
      <c r="R78" s="886" t="str">
        <f t="shared" ca="1" si="38"/>
        <v>0167,0-016</v>
      </c>
      <c r="S78" s="889">
        <f t="shared" ca="1" si="39"/>
        <v>124</v>
      </c>
      <c r="T78" s="847">
        <v>1</v>
      </c>
      <c r="U78" s="75">
        <f>IFERROR(INDEX('1'!C$300:C$400,MATCH("*"&amp;H78&amp;"*",'1'!B$300:B$400,0)),"  ")</f>
        <v>60</v>
      </c>
      <c r="V78" s="199" t="str">
        <f>IFERROR(INDEX('2'!C$300:C$400,MATCH("*"&amp;H78&amp;"*",'2'!B$300:B$400,0)),"  ")</f>
        <v xml:space="preserve">  </v>
      </c>
      <c r="W78" s="199" t="str">
        <f ca="1">IF(I78="",IFERROR(INDEX('3M'!C$300:C$400,MATCH("*"&amp;H78&amp;"*",'3M'!B$300:B$400,0)),"  "),IFERROR(INDEX('3N'!D$300:D$400,MATCH("*"&amp;H78&amp;"*",'3N'!B$300:B$400,0)),"  "))</f>
        <v xml:space="preserve">  </v>
      </c>
      <c r="X78" s="908" t="str">
        <f ca="1">IFERROR(INDEX('3M'!C$300:C$400,MATCH("*"&amp;H78&amp;"*",'3M'!B$300:B$400,0)),"  ")</f>
        <v xml:space="preserve">  </v>
      </c>
      <c r="Y78" s="907" t="str">
        <f ca="1">IFERROR(INDEX('3N'!C$300:C$400,MATCH("*"&amp;H78&amp;"*",'3N'!B$300:B$400,0)),"  ")</f>
        <v xml:space="preserve">  </v>
      </c>
      <c r="Z78" s="440"/>
      <c r="AA78" s="75" t="str">
        <f>IFERROR(INDEX('4'!C$300:C$400,MATCH("*"&amp;H78&amp;"*",'4'!B$300:B$400,0)),"  ")</f>
        <v xml:space="preserve">  </v>
      </c>
      <c r="AB78" s="75" t="str">
        <f>IFERROR(INDEX('5'!C$300:C$400,MATCH("*"&amp;H78&amp;"*",'5'!B$300:B$400,0)),"  ")</f>
        <v xml:space="preserve">  </v>
      </c>
      <c r="AC78" s="75" t="str">
        <f>IFERROR(INDEX('6'!C$300:C$400,MATCH("*"&amp;H78&amp;"*",'6'!B$300:B$400,0)),"  ")</f>
        <v xml:space="preserve">  </v>
      </c>
      <c r="AD78" s="75" t="str">
        <f>IFERROR(INDEX('7'!C$300:C$400,MATCH("*"&amp;H78&amp;"*",'7'!B$300:B$400,0)),"  ")</f>
        <v xml:space="preserve">  </v>
      </c>
      <c r="AE78" s="75" t="str">
        <f>IF(I78="",IFERROR(INDEX('8M'!C$300:C$400,MATCH("*"&amp;H78&amp;"*",'8M'!B$300:B$400,0)),"  "),IFERROR(INDEX('8N'!D$300:D$400,MATCH("*"&amp;H78&amp;"*",'8N'!B$300:B$400,0)),"  "))</f>
        <v xml:space="preserve">  </v>
      </c>
      <c r="AF78" s="908" t="str">
        <f>IFERROR(INDEX('8M'!C$300:C$400,MATCH("*"&amp;H78&amp;"*",'8M'!B$300:B$400,0)),"  ")</f>
        <v xml:space="preserve">  </v>
      </c>
      <c r="AG78" s="907" t="str">
        <f>IFERROR(INDEX('8N'!C$300:C$400,MATCH("*"&amp;H78&amp;"*",'8N'!B$300:B$400,0)),"  ")</f>
        <v xml:space="preserve">  </v>
      </c>
      <c r="AH78" s="440"/>
      <c r="AI78" s="75" t="str">
        <f>IFERROR(INDEX('9'!C$300:C$400,MATCH("*"&amp;H78&amp;"*",'9'!B$300:B$400,0)),"  ")</f>
        <v xml:space="preserve">  </v>
      </c>
      <c r="AJ78" s="830" t="str">
        <f>IFERROR(INDEX('10'!C$300:C$400,MATCH("*"&amp;H78&amp;"*",'10'!B$300:B$400,0)),"  ")</f>
        <v xml:space="preserve">  </v>
      </c>
      <c r="AK78" s="75">
        <f>IFERROR(INDEX('11'!C$300:C$400,MATCH("*"&amp;H78&amp;"*",'11'!B$300:B$400,0)),"  ")</f>
        <v>96</v>
      </c>
      <c r="AL78" s="75">
        <f>IFERROR(INDEX('12'!C$300:C$400,MATCH("*"&amp;H78&amp;"*",'12'!B$300:B$400,0)),"  ")</f>
        <v>10</v>
      </c>
      <c r="AM78" s="26">
        <f t="shared" ca="1" si="40"/>
        <v>3</v>
      </c>
      <c r="AN78" s="579">
        <f t="shared" ca="1" si="41"/>
        <v>0</v>
      </c>
      <c r="AO78" s="580">
        <f t="shared" ca="1" si="42"/>
        <v>0</v>
      </c>
      <c r="AP78" s="27">
        <f t="shared" ca="1" si="43"/>
        <v>0</v>
      </c>
      <c r="AQ78" s="933">
        <f t="shared" si="46"/>
        <v>2.0000000000000001E-4</v>
      </c>
      <c r="AR78" s="933">
        <f t="shared" ca="1" si="47"/>
        <v>2.9999999999999997E-4</v>
      </c>
    </row>
    <row r="79" spans="1:44" x14ac:dyDescent="0.2">
      <c r="A79" s="851">
        <f t="shared" ca="1" si="31"/>
        <v>52</v>
      </c>
      <c r="B79" s="77">
        <f t="shared" ca="1" si="32"/>
        <v>10165</v>
      </c>
      <c r="C79" s="853" t="str">
        <f t="shared" ca="1" si="44"/>
        <v/>
      </c>
      <c r="D79" s="76">
        <f t="shared" si="33"/>
        <v>0</v>
      </c>
      <c r="E79" s="855" t="str">
        <f t="shared" ca="1" si="45"/>
        <v/>
      </c>
      <c r="F79" s="899">
        <f t="shared" si="34"/>
        <v>0</v>
      </c>
      <c r="G79" s="897">
        <f t="shared" ca="1" si="35"/>
        <v>71</v>
      </c>
      <c r="H79" s="133" t="s">
        <v>38</v>
      </c>
      <c r="I79" s="38"/>
      <c r="J79" s="585"/>
      <c r="K79" s="586"/>
      <c r="L79" s="587"/>
      <c r="M79" s="857">
        <f ca="1">(IF(COUNT(V79,AA79,AD79,AI79,AJ79,AL79)&lt;5,SUM(V79,AA79,AD79,AI79,AJ79,AL79),SUM(LARGE((V79,AA79,AD79,AI79,AJ79,AL79),{1;2;3;4;5}))))+(IF(COUNT(U79,W79,AB79,AC79,AE79,AK79)&lt;5,SUM(U79,W79,AB79,AC79,AE79,AK79),SUM(LARGE((U79,W79,AB79,AC79,AE79,AK79),{1;2;3;4;5}))))+T79</f>
        <v>165</v>
      </c>
      <c r="N79" s="862">
        <f>IF(I79="n",((IF(COUNT(V79,AA79,AD79,AI79,AJ79,AL79)&lt;5,SUM(V79,AA79,AD79,AI79,AJ79,AL79),SUM(LARGE((V79,AA79,AD79,AI79,AJ79,AL79),{1;2;3;4;5}))))+(IF(COUNT(U79,Y79,AB79,AC79,AG79,AK79)&lt;5,SUM(U79,Y79,AB79,AC79,AG79,AK79),SUM(LARGE((U79,Y79,AB79,AC79,AG79,AK79),{1;2;3;4;5}))))+T79),0)</f>
        <v>0</v>
      </c>
      <c r="O79" s="863">
        <f>IF(J79="j",((IF(COUNT(V79,AA79,AD79,AI79,AJ79,AL79)&lt;5,SUM(V79,AA79,AD79,AI79,AJ79,AL79),SUM(LARGE((V79,AA79,AD79,AI79,AJ79,AL79),{1;2;3;4;5}))))+(IF(COUNT(U79,W79,AB79,AC79,AE79,AK79)&lt;5,SUM(U79,W79,AB79,AC79,AE79,AK79),SUM(LARGE((U79,W79,AB79,AC79,AE79,AK79),{1;2;3;4;5}))))+T79),0)</f>
        <v>0</v>
      </c>
      <c r="P79" s="886" t="str">
        <f t="shared" ca="1" si="36"/>
        <v>165,0</v>
      </c>
      <c r="Q79" s="890">
        <f t="shared" si="37"/>
        <v>123</v>
      </c>
      <c r="R79" s="886" t="str">
        <f t="shared" ca="1" si="38"/>
        <v>0165,0-123</v>
      </c>
      <c r="S79" s="889">
        <f t="shared" ca="1" si="39"/>
        <v>123</v>
      </c>
      <c r="T79" s="849">
        <v>60</v>
      </c>
      <c r="U79" s="75" t="str">
        <f>IFERROR(INDEX('1'!C$300:C$400,MATCH("*"&amp;H79&amp;"*",'1'!B$300:B$400,0)),"  ")</f>
        <v xml:space="preserve">  </v>
      </c>
      <c r="V79" s="199" t="str">
        <f>IFERROR(INDEX('2'!C$300:C$400,MATCH("*"&amp;H79&amp;"*",'2'!B$300:B$400,0)),"  ")</f>
        <v xml:space="preserve">  </v>
      </c>
      <c r="W79" s="199" t="str">
        <f ca="1">IF(I79="",IFERROR(INDEX('3M'!C$300:C$400,MATCH("*"&amp;H79&amp;"*",'3M'!B$300:B$400,0)),"  "),IFERROR(INDEX('3N'!D$300:D$400,MATCH("*"&amp;H79&amp;"*",'3N'!B$300:B$400,0)),"  "))</f>
        <v xml:space="preserve">  </v>
      </c>
      <c r="X79" s="908" t="str">
        <f ca="1">IFERROR(INDEX('3M'!C$300:C$400,MATCH("*"&amp;H79&amp;"*",'3M'!B$300:B$400,0)),"  ")</f>
        <v xml:space="preserve">  </v>
      </c>
      <c r="Y79" s="907" t="str">
        <f ca="1">IFERROR(INDEX('3N'!C$300:C$400,MATCH("*"&amp;H79&amp;"*",'3N'!B$300:B$400,0)),"  ")</f>
        <v xml:space="preserve">  </v>
      </c>
      <c r="Z79" s="440"/>
      <c r="AA79" s="75" t="str">
        <f>IFERROR(INDEX('4'!C$300:C$400,MATCH("*"&amp;H79&amp;"*",'4'!B$300:B$400,0)),"  ")</f>
        <v xml:space="preserve">  </v>
      </c>
      <c r="AB79" s="75" t="str">
        <f>IFERROR(INDEX('5'!C$300:C$400,MATCH("*"&amp;H79&amp;"*",'5'!B$300:B$400,0)),"  ")</f>
        <v xml:space="preserve">  </v>
      </c>
      <c r="AC79" s="75" t="str">
        <f>IFERROR(INDEX('6'!C$300:C$400,MATCH("*"&amp;H79&amp;"*",'6'!B$300:B$400,0)),"  ")</f>
        <v xml:space="preserve">  </v>
      </c>
      <c r="AD79" s="75" t="str">
        <f>IFERROR(INDEX('7'!C$300:C$400,MATCH("*"&amp;H79&amp;"*",'7'!B$300:B$400,0)),"  ")</f>
        <v xml:space="preserve">  </v>
      </c>
      <c r="AE79" s="75" t="str">
        <f>IF(I79="",IFERROR(INDEX('8M'!C$300:C$400,MATCH("*"&amp;H79&amp;"*",'8M'!B$300:B$400,0)),"  "),IFERROR(INDEX('8N'!D$300:D$400,MATCH("*"&amp;H79&amp;"*",'8N'!B$300:B$400,0)),"  "))</f>
        <v xml:space="preserve">  </v>
      </c>
      <c r="AF79" s="908" t="str">
        <f>IFERROR(INDEX('8M'!C$300:C$400,MATCH("*"&amp;H79&amp;"*",'8M'!B$300:B$400,0)),"  ")</f>
        <v xml:space="preserve">  </v>
      </c>
      <c r="AG79" s="907" t="str">
        <f>IFERROR(INDEX('8N'!C$300:C$400,MATCH("*"&amp;H79&amp;"*",'8N'!B$300:B$400,0)),"  ")</f>
        <v xml:space="preserve">  </v>
      </c>
      <c r="AH79" s="440"/>
      <c r="AI79" s="75" t="str">
        <f>IFERROR(INDEX('9'!C$300:C$400,MATCH("*"&amp;H79&amp;"*",'9'!B$300:B$400,0)),"  ")</f>
        <v xml:space="preserve">  </v>
      </c>
      <c r="AJ79" s="830" t="str">
        <f>IFERROR(INDEX('10'!C$300:C$400,MATCH("*"&amp;H79&amp;"*",'10'!B$300:B$400,0)),"  ")</f>
        <v xml:space="preserve">  </v>
      </c>
      <c r="AK79" s="75" t="str">
        <f>IFERROR(INDEX('11'!C$300:C$400,MATCH("*"&amp;H79&amp;"*",'11'!B$300:B$400,0)),"  ")</f>
        <v xml:space="preserve">  </v>
      </c>
      <c r="AL79" s="75">
        <f>IFERROR(INDEX('12'!C$300:C$400,MATCH("*"&amp;H79&amp;"*",'12'!B$300:B$400,0)),"  ")</f>
        <v>105</v>
      </c>
      <c r="AM79" s="26">
        <f t="shared" ca="1" si="40"/>
        <v>1</v>
      </c>
      <c r="AN79" s="579">
        <f t="shared" ca="1" si="41"/>
        <v>1</v>
      </c>
      <c r="AO79" s="580">
        <f t="shared" ca="1" si="42"/>
        <v>0</v>
      </c>
      <c r="AP79" s="27">
        <f t="shared" ca="1" si="43"/>
        <v>0</v>
      </c>
      <c r="AQ79" s="933">
        <f t="shared" si="46"/>
        <v>2.0000000000000001E-4</v>
      </c>
      <c r="AR79" s="933">
        <f t="shared" ca="1" si="47"/>
        <v>1E-4</v>
      </c>
    </row>
    <row r="80" spans="1:44" x14ac:dyDescent="0.2">
      <c r="A80" s="851" t="str">
        <f t="shared" ca="1" si="31"/>
        <v/>
      </c>
      <c r="B80" s="77">
        <f t="shared" si="32"/>
        <v>0</v>
      </c>
      <c r="C80" s="853">
        <f t="shared" ca="1" si="44"/>
        <v>21</v>
      </c>
      <c r="D80" s="76">
        <f t="shared" ca="1" si="33"/>
        <v>10163</v>
      </c>
      <c r="E80" s="855" t="str">
        <f t="shared" ca="1" si="45"/>
        <v/>
      </c>
      <c r="F80" s="899">
        <f t="shared" si="34"/>
        <v>0</v>
      </c>
      <c r="G80" s="897">
        <f t="shared" ca="1" si="35"/>
        <v>72</v>
      </c>
      <c r="H80" s="133" t="s">
        <v>627</v>
      </c>
      <c r="I80" s="38" t="s">
        <v>32</v>
      </c>
      <c r="J80" s="585"/>
      <c r="K80" s="586"/>
      <c r="L80" s="587"/>
      <c r="M80" s="857">
        <f ca="1">(IF(COUNT(V80,AA80,AD80,AI80,AJ80,AL80)&lt;5,SUM(V80,AA80,AD80,AI80,AJ80,AL80),SUM(LARGE((V80,AA80,AD80,AI80,AJ80,AL80),{1;2;3;4;5}))))+(IF(COUNT(U80,W80,AB80,AC80,AE80,AK80)&lt;5,SUM(U80,W80,AB80,AC80,AE80,AK80),SUM(LARGE((U80,W80,AB80,AC80,AE80,AK80),{1;2;3;4;5}))))+T80</f>
        <v>163</v>
      </c>
      <c r="N80" s="862">
        <f ca="1">IF(I80="n",((IF(COUNT(V80,AA80,AD80,AI80,AJ80,AL80)&lt;5,SUM(V80,AA80,AD80,AI80,AJ80,AL80),SUM(LARGE((V80,AA80,AD80,AI80,AJ80,AL80),{1;2;3;4;5}))))+(IF(COUNT(U80,Y80,AB80,AC80,AG80,AK80)&lt;5,SUM(U80,Y80,AB80,AC80,AG80,AK80),SUM(LARGE((U80,Y80,AB80,AC80,AG80,AK80),{1;2;3;4;5}))))+T80),0)</f>
        <v>163</v>
      </c>
      <c r="O80" s="863">
        <f>IF(J80="j",((IF(COUNT(V80,AA80,AD80,AI80,AJ80,AL80)&lt;5,SUM(V80,AA80,AD80,AI80,AJ80,AL80),SUM(LARGE((V80,AA80,AD80,AI80,AJ80,AL80),{1;2;3;4;5}))))+(IF(COUNT(U80,W80,AB80,AC80,AE80,AK80)&lt;5,SUM(U80,W80,AB80,AC80,AE80,AK80),SUM(LARGE((U80,W80,AB80,AC80,AE80,AK80),{1;2;3;4;5}))))+T80),0)</f>
        <v>0</v>
      </c>
      <c r="P80" s="886" t="str">
        <f t="shared" ca="1" si="36"/>
        <v>163,0</v>
      </c>
      <c r="Q80" s="890">
        <f t="shared" si="37"/>
        <v>85</v>
      </c>
      <c r="R80" s="886" t="str">
        <f t="shared" ca="1" si="38"/>
        <v>0163,0-085</v>
      </c>
      <c r="S80" s="889">
        <f t="shared" ca="1" si="39"/>
        <v>122</v>
      </c>
      <c r="T80" s="847"/>
      <c r="U80" s="75" t="str">
        <f>IFERROR(INDEX('1'!C$300:C$400,MATCH("*"&amp;H80&amp;"*",'1'!B$300:B$400,0)),"  ")</f>
        <v xml:space="preserve">  </v>
      </c>
      <c r="V80" s="199" t="str">
        <f>IFERROR(INDEX('2'!C$300:C$400,MATCH("*"&amp;H80&amp;"*",'2'!B$300:B$400,0)),"  ")</f>
        <v xml:space="preserve">  </v>
      </c>
      <c r="W80" s="199" t="str">
        <f ca="1">IF(I80="",IFERROR(INDEX('3M'!C$300:C$400,MATCH("*"&amp;H80&amp;"*",'3M'!B$300:B$400,0)),"  "),IFERROR(INDEX('3N'!D$300:D$400,MATCH("*"&amp;H80&amp;"*",'3N'!B$300:B$400,0)),"  "))</f>
        <v xml:space="preserve">  </v>
      </c>
      <c r="X80" s="908" t="str">
        <f ca="1">IFERROR(INDEX('3M'!C$300:C$400,MATCH("*"&amp;H80&amp;"*",'3M'!B$300:B$400,0)),"  ")</f>
        <v xml:space="preserve">  </v>
      </c>
      <c r="Y80" s="907" t="str">
        <f ca="1">IFERROR(INDEX('3N'!C$300:C$400,MATCH("*"&amp;H80&amp;"*",'3N'!B$300:B$400,0)),"  ")</f>
        <v xml:space="preserve">  </v>
      </c>
      <c r="Z80" s="440"/>
      <c r="AA80" s="75">
        <f>IFERROR(INDEX('4'!C$300:C$400,MATCH("*"&amp;H80&amp;"*",'4'!B$300:B$400,0)),"  ")</f>
        <v>79</v>
      </c>
      <c r="AB80" s="75" t="str">
        <f>IFERROR(INDEX('5'!C$300:C$400,MATCH("*"&amp;H80&amp;"*",'5'!B$300:B$400,0)),"  ")</f>
        <v xml:space="preserve">  </v>
      </c>
      <c r="AC80" s="75" t="str">
        <f>IFERROR(INDEX('6'!C$300:C$400,MATCH("*"&amp;H80&amp;"*",'6'!B$300:B$400,0)),"  ")</f>
        <v xml:space="preserve">  </v>
      </c>
      <c r="AD80" s="75" t="str">
        <f>IFERROR(INDEX('7'!C$300:C$400,MATCH("*"&amp;H80&amp;"*",'7'!B$300:B$400,0)),"  ")</f>
        <v xml:space="preserve">  </v>
      </c>
      <c r="AE80" s="75" t="str">
        <f>IF(I80="",IFERROR(INDEX('8M'!C$300:C$400,MATCH("*"&amp;H80&amp;"*",'8M'!B$300:B$400,0)),"  "),IFERROR(INDEX('8N'!D$300:D$400,MATCH("*"&amp;H80&amp;"*",'8N'!B$300:B$400,0)),"  "))</f>
        <v xml:space="preserve">  </v>
      </c>
      <c r="AF80" s="908" t="str">
        <f>IFERROR(INDEX('8M'!C$300:C$400,MATCH("*"&amp;H80&amp;"*",'8M'!B$300:B$400,0)),"  ")</f>
        <v xml:space="preserve">  </v>
      </c>
      <c r="AG80" s="907" t="str">
        <f>IFERROR(INDEX('8N'!C$300:C$400,MATCH("*"&amp;H80&amp;"*",'8N'!B$300:B$400,0)),"  ")</f>
        <v xml:space="preserve">  </v>
      </c>
      <c r="AH80" s="440"/>
      <c r="AI80" s="75" t="str">
        <f>IFERROR(INDEX('9'!C$300:C$400,MATCH("*"&amp;H80&amp;"*",'9'!B$300:B$400,0)),"  ")</f>
        <v xml:space="preserve">  </v>
      </c>
      <c r="AJ80" s="830">
        <f>IFERROR(INDEX('10'!C$300:C$400,MATCH("*"&amp;H80&amp;"*",'10'!B$300:B$400,0)),"  ")</f>
        <v>84</v>
      </c>
      <c r="AK80" s="75" t="str">
        <f>IFERROR(INDEX('11'!C$300:C$400,MATCH("*"&amp;H80&amp;"*",'11'!B$300:B$400,0)),"  ")</f>
        <v xml:space="preserve">  </v>
      </c>
      <c r="AL80" s="75" t="str">
        <f>IFERROR(INDEX('12'!C$300:C$400,MATCH("*"&amp;H80&amp;"*",'12'!B$300:B$400,0)),"  ")</f>
        <v xml:space="preserve">  </v>
      </c>
      <c r="AM80" s="26">
        <f t="shared" ca="1" si="40"/>
        <v>2</v>
      </c>
      <c r="AN80" s="579">
        <f t="shared" ca="1" si="41"/>
        <v>0</v>
      </c>
      <c r="AO80" s="580">
        <f t="shared" ca="1" si="42"/>
        <v>0</v>
      </c>
      <c r="AP80" s="27">
        <f t="shared" ca="1" si="43"/>
        <v>0</v>
      </c>
      <c r="AQ80" s="933">
        <f t="shared" si="46"/>
        <v>2.0000000000000001E-4</v>
      </c>
      <c r="AR80" s="933">
        <f t="shared" ca="1" si="47"/>
        <v>1E-4</v>
      </c>
    </row>
    <row r="81" spans="1:44" x14ac:dyDescent="0.2">
      <c r="A81" s="851" t="str">
        <f t="shared" ca="1" si="31"/>
        <v/>
      </c>
      <c r="B81" s="77">
        <f t="shared" si="32"/>
        <v>0</v>
      </c>
      <c r="C81" s="853">
        <f t="shared" ca="1" si="44"/>
        <v>22</v>
      </c>
      <c r="D81" s="76">
        <f t="shared" ca="1" si="33"/>
        <v>10160</v>
      </c>
      <c r="E81" s="855" t="str">
        <f t="shared" ca="1" si="45"/>
        <v/>
      </c>
      <c r="F81" s="899">
        <f t="shared" si="34"/>
        <v>0</v>
      </c>
      <c r="G81" s="897">
        <f t="shared" ca="1" si="35"/>
        <v>73</v>
      </c>
      <c r="H81" s="133" t="s">
        <v>47</v>
      </c>
      <c r="I81" s="38" t="s">
        <v>32</v>
      </c>
      <c r="J81" s="585"/>
      <c r="K81" s="586" t="s">
        <v>718</v>
      </c>
      <c r="L81" s="587"/>
      <c r="M81" s="857">
        <f ca="1">(IF(COUNT(V81,AA81,AD81,AI81,AJ81,AL81)&lt;5,SUM(V81,AA81,AD81,AI81,AJ81,AL81),SUM(LARGE((V81,AA81,AD81,AI81,AJ81,AL81),{1;2;3;4;5}))))+(IF(COUNT(U81,W81,AB81,AC81,AE81,AK81)&lt;5,SUM(U81,W81,AB81,AC81,AE81,AK81),SUM(LARGE((U81,W81,AB81,AC81,AE81,AK81),{1;2;3;4;5}))))+T81</f>
        <v>160</v>
      </c>
      <c r="N81" s="862">
        <f ca="1">IF(I81="n",((IF(COUNT(V81,AA81,AD81,AI81,AJ81,AL81)&lt;5,SUM(V81,AA81,AD81,AI81,AJ81,AL81),SUM(LARGE((V81,AA81,AD81,AI81,AJ81,AL81),{1;2;3;4;5}))))+(IF(COUNT(U81,Y81,AB81,AC81,AG81,AK81)&lt;5,SUM(U81,Y81,AB81,AC81,AG81,AK81),SUM(LARGE((U81,Y81,AB81,AC81,AG81,AK81),{1;2;3;4;5}))))+T81),0)</f>
        <v>160</v>
      </c>
      <c r="O81" s="863">
        <f>IF(J81="j",((IF(COUNT(V81,AA81,AD81,AI81,AJ81,AL81)&lt;5,SUM(V81,AA81,AD81,AI81,AJ81,AL81),SUM(LARGE((V81,AA81,AD81,AI81,AJ81,AL81),{1;2;3;4;5}))))+(IF(COUNT(U81,W81,AB81,AC81,AE81,AK81)&lt;5,SUM(U81,W81,AB81,AC81,AE81,AK81),SUM(LARGE((U81,W81,AB81,AC81,AE81,AK81),{1;2;3;4;5}))))+T81),0)</f>
        <v>0</v>
      </c>
      <c r="P81" s="886" t="str">
        <f t="shared" ca="1" si="36"/>
        <v>160,0</v>
      </c>
      <c r="Q81" s="890">
        <f t="shared" si="37"/>
        <v>38</v>
      </c>
      <c r="R81" s="886" t="str">
        <f t="shared" ca="1" si="38"/>
        <v>0160,0-038</v>
      </c>
      <c r="S81" s="889">
        <f t="shared" ca="1" si="39"/>
        <v>121</v>
      </c>
      <c r="T81" s="847">
        <v>49</v>
      </c>
      <c r="U81" s="75" t="str">
        <f>IFERROR(INDEX('1'!C$300:C$400,MATCH("*"&amp;H81&amp;"*",'1'!B$300:B$400,0)),"  ")</f>
        <v xml:space="preserve">  </v>
      </c>
      <c r="V81" s="199" t="str">
        <f>IFERROR(INDEX('2'!C$300:C$400,MATCH("*"&amp;H81&amp;"*",'2'!B$300:B$400,0)),"  ")</f>
        <v xml:space="preserve">  </v>
      </c>
      <c r="W81" s="199" t="str">
        <f ca="1">IF(I81="",IFERROR(INDEX('3M'!C$300:C$400,MATCH("*"&amp;H81&amp;"*",'3M'!B$300:B$400,0)),"  "),IFERROR(INDEX('3N'!D$300:D$400,MATCH("*"&amp;H81&amp;"*",'3N'!B$300:B$400,0)),"  "))</f>
        <v xml:space="preserve">  </v>
      </c>
      <c r="X81" s="908" t="str">
        <f ca="1">IFERROR(INDEX('3M'!C$300:C$400,MATCH("*"&amp;H81&amp;"*",'3M'!B$300:B$400,0)),"  ")</f>
        <v xml:space="preserve">  </v>
      </c>
      <c r="Y81" s="907" t="str">
        <f ca="1">IFERROR(INDEX('3N'!C$300:C$400,MATCH("*"&amp;H81&amp;"*",'3N'!B$300:B$400,0)),"  ")</f>
        <v xml:space="preserve">  </v>
      </c>
      <c r="Z81" s="440"/>
      <c r="AA81" s="75" t="str">
        <f>IFERROR(INDEX('4'!C$300:C$400,MATCH("*"&amp;H81&amp;"*",'4'!B$300:B$400,0)),"  ")</f>
        <v xml:space="preserve">  </v>
      </c>
      <c r="AB81" s="75" t="str">
        <f>IFERROR(INDEX('5'!C$300:C$400,MATCH("*"&amp;H81&amp;"*",'5'!B$300:B$400,0)),"  ")</f>
        <v xml:space="preserve">  </v>
      </c>
      <c r="AC81" s="75" t="str">
        <f>IFERROR(INDEX('6'!C$300:C$400,MATCH("*"&amp;H81&amp;"*",'6'!B$300:B$400,0)),"  ")</f>
        <v xml:space="preserve">  </v>
      </c>
      <c r="AD81" s="75" t="str">
        <f>IFERROR(INDEX('7'!C$300:C$400,MATCH("*"&amp;H81&amp;"*",'7'!B$300:B$400,0)),"  ")</f>
        <v xml:space="preserve">  </v>
      </c>
      <c r="AE81" s="75" t="str">
        <f>IF(I81="",IFERROR(INDEX('8M'!C$300:C$400,MATCH("*"&amp;H81&amp;"*",'8M'!B$300:B$400,0)),"  "),IFERROR(INDEX('8N'!D$300:D$400,MATCH("*"&amp;H81&amp;"*",'8N'!B$300:B$400,0)),"  "))</f>
        <v xml:space="preserve">  </v>
      </c>
      <c r="AF81" s="908" t="str">
        <f>IFERROR(INDEX('8M'!C$300:C$400,MATCH("*"&amp;H81&amp;"*",'8M'!B$300:B$400,0)),"  ")</f>
        <v xml:space="preserve">  </v>
      </c>
      <c r="AG81" s="907" t="str">
        <f>IFERROR(INDEX('8N'!C$300:C$400,MATCH("*"&amp;H81&amp;"*",'8N'!B$300:B$400,0)),"  ")</f>
        <v xml:space="preserve">  </v>
      </c>
      <c r="AH81" s="440"/>
      <c r="AI81" s="75" t="str">
        <f>IFERROR(INDEX('9'!C$300:C$400,MATCH("*"&amp;H81&amp;"*",'9'!B$300:B$400,0)),"  ")</f>
        <v xml:space="preserve">  </v>
      </c>
      <c r="AJ81" s="830" t="str">
        <f>IFERROR(INDEX('10'!C$300:C$400,MATCH("*"&amp;H81&amp;"*",'10'!B$300:B$400,0)),"  ")</f>
        <v xml:space="preserve">  </v>
      </c>
      <c r="AK81" s="75">
        <f>IFERROR(INDEX('11'!C$300:C$400,MATCH("*"&amp;H81&amp;"*",'11'!B$300:B$400,0)),"  ")</f>
        <v>111</v>
      </c>
      <c r="AL81" s="75" t="str">
        <f>IFERROR(INDEX('12'!C$300:C$400,MATCH("*"&amp;H81&amp;"*",'12'!B$300:B$400,0)),"  ")</f>
        <v xml:space="preserve">  </v>
      </c>
      <c r="AM81" s="26">
        <f t="shared" ca="1" si="40"/>
        <v>1</v>
      </c>
      <c r="AN81" s="579">
        <f t="shared" ca="1" si="41"/>
        <v>0</v>
      </c>
      <c r="AO81" s="580">
        <f t="shared" ca="1" si="42"/>
        <v>0</v>
      </c>
      <c r="AP81" s="27">
        <f t="shared" ca="1" si="43"/>
        <v>0</v>
      </c>
      <c r="AQ81" s="933">
        <f t="shared" si="46"/>
        <v>2.0000000000000001E-4</v>
      </c>
      <c r="AR81" s="933">
        <f t="shared" ca="1" si="47"/>
        <v>1E-4</v>
      </c>
    </row>
    <row r="82" spans="1:44" x14ac:dyDescent="0.2">
      <c r="A82" s="851" t="str">
        <f t="shared" ca="1" si="31"/>
        <v/>
      </c>
      <c r="B82" s="77">
        <f t="shared" si="32"/>
        <v>0</v>
      </c>
      <c r="C82" s="853">
        <f t="shared" ca="1" si="44"/>
        <v>18</v>
      </c>
      <c r="D82" s="76">
        <f t="shared" ca="1" si="33"/>
        <v>10221</v>
      </c>
      <c r="E82" s="855" t="str">
        <f t="shared" ca="1" si="45"/>
        <v/>
      </c>
      <c r="F82" s="899">
        <f t="shared" si="34"/>
        <v>0</v>
      </c>
      <c r="G82" s="897">
        <f t="shared" ca="1" si="35"/>
        <v>73</v>
      </c>
      <c r="H82" s="133" t="s">
        <v>381</v>
      </c>
      <c r="I82" s="38" t="s">
        <v>32</v>
      </c>
      <c r="J82" s="585"/>
      <c r="K82" s="586"/>
      <c r="L82" s="587"/>
      <c r="M82" s="857">
        <f ca="1">(IF(COUNT(V82,AA82,AD82,AI82,AJ82,AL82)&lt;5,SUM(V82,AA82,AD82,AI82,AJ82,AL82),SUM(LARGE((V82,AA82,AD82,AI82,AJ82,AL82),{1;2;3;4;5}))))+(IF(COUNT(U82,W82,AB82,AC82,AE82,AK82)&lt;5,SUM(U82,W82,AB82,AC82,AE82,AK82),SUM(LARGE((U82,W82,AB82,AC82,AE82,AK82),{1;2;3;4;5}))))+T82</f>
        <v>160</v>
      </c>
      <c r="N82" s="862">
        <f ca="1">IF(I82="n",((IF(COUNT(V82,AA82,AD82,AI82,AJ82,AL82)&lt;5,SUM(V82,AA82,AD82,AI82,AJ82,AL82),SUM(LARGE((V82,AA82,AD82,AI82,AJ82,AL82),{1;2;3;4;5}))))+(IF(COUNT(U82,Y82,AB82,AC82,AG82,AK82)&lt;5,SUM(U82,Y82,AB82,AC82,AG82,AK82),SUM(LARGE((U82,Y82,AB82,AC82,AG82,AK82),{1;2;3;4;5}))))+T82),0)</f>
        <v>221</v>
      </c>
      <c r="O82" s="863">
        <f>IF(J82="j",((IF(COUNT(V82,AA82,AD82,AI82,AJ82,AL82)&lt;5,SUM(V82,AA82,AD82,AI82,AJ82,AL82),SUM(LARGE((V82,AA82,AD82,AI82,AJ82,AL82),{1;2;3;4;5}))))+(IF(COUNT(U82,W82,AB82,AC82,AE82,AK82)&lt;5,SUM(U82,W82,AB82,AC82,AE82,AK82),SUM(LARGE((U82,W82,AB82,AC82,AE82,AK82),{1;2;3;4;5}))))+T82),0)</f>
        <v>0</v>
      </c>
      <c r="P82" s="886" t="str">
        <f t="shared" ca="1" si="36"/>
        <v>160,0</v>
      </c>
      <c r="Q82" s="890">
        <f t="shared" si="37"/>
        <v>28</v>
      </c>
      <c r="R82" s="886" t="str">
        <f t="shared" ca="1" si="38"/>
        <v>0160,0-028</v>
      </c>
      <c r="S82" s="889">
        <f t="shared" ca="1" si="39"/>
        <v>120</v>
      </c>
      <c r="T82" s="847">
        <v>19</v>
      </c>
      <c r="U82" s="75">
        <f>IFERROR(INDEX('1'!C$300:C$400,MATCH("*"&amp;H82&amp;"*",'1'!B$300:B$400,0)),"  ")</f>
        <v>78</v>
      </c>
      <c r="V82" s="199" t="str">
        <f>IFERROR(INDEX('2'!C$300:C$400,MATCH("*"&amp;H82&amp;"*",'2'!B$300:B$400,0)),"  ")</f>
        <v xml:space="preserve">  </v>
      </c>
      <c r="W82" s="199" t="str">
        <f ca="1">IF(I82="",IFERROR(INDEX('3M'!C$300:C$400,MATCH("*"&amp;H82&amp;"*",'3M'!B$300:B$400,0)),"  "),IFERROR(INDEX('3N'!D$300:D$400,MATCH("*"&amp;H82&amp;"*",'3N'!B$300:B$400,0)),"  "))</f>
        <v xml:space="preserve">  </v>
      </c>
      <c r="X82" s="908" t="str">
        <f ca="1">IFERROR(INDEX('3M'!C$300:C$400,MATCH("*"&amp;H82&amp;"*",'3M'!B$300:B$400,0)),"  ")</f>
        <v xml:space="preserve">  </v>
      </c>
      <c r="Y82" s="907" t="str">
        <f ca="1">IFERROR(INDEX('3N'!C$300:C$400,MATCH("*"&amp;H82&amp;"*",'3N'!B$300:B$400,0)),"  ")</f>
        <v xml:space="preserve">  </v>
      </c>
      <c r="Z82" s="440"/>
      <c r="AA82" s="75" t="str">
        <f>IFERROR(INDEX('4'!C$300:C$400,MATCH("*"&amp;H82&amp;"*",'4'!B$300:B$400,0)),"  ")</f>
        <v xml:space="preserve">  </v>
      </c>
      <c r="AB82" s="75" t="str">
        <f>IFERROR(INDEX('5'!C$300:C$400,MATCH("*"&amp;H82&amp;"*",'5'!B$300:B$400,0)),"  ")</f>
        <v xml:space="preserve">  </v>
      </c>
      <c r="AC82" s="75" t="str">
        <f>IFERROR(INDEX('6'!C$300:C$400,MATCH("*"&amp;H82&amp;"*",'6'!B$300:B$400,0)),"  ")</f>
        <v xml:space="preserve">  </v>
      </c>
      <c r="AD82" s="75" t="str">
        <f>IFERROR(INDEX('7'!C$300:C$400,MATCH("*"&amp;H82&amp;"*",'7'!B$300:B$400,0)),"  ")</f>
        <v xml:space="preserve">  </v>
      </c>
      <c r="AE82" s="75">
        <f>IF(I82="",IFERROR(INDEX('8M'!C$300:C$400,MATCH("*"&amp;H82&amp;"*",'8M'!B$300:B$400,0)),"  "),IFERROR(INDEX('8N'!D$300:D$400,MATCH("*"&amp;H82&amp;"*",'8N'!B$300:B$400,0)),"  "))</f>
        <v>35</v>
      </c>
      <c r="AF82" s="908" t="str">
        <f>IFERROR(INDEX('8M'!C$300:C$400,MATCH("*"&amp;H82&amp;"*",'8M'!B$300:B$400,0)),"  ")</f>
        <v xml:space="preserve">  </v>
      </c>
      <c r="AG82" s="907">
        <f>IFERROR(INDEX('8N'!C$300:C$400,MATCH("*"&amp;H82&amp;"*",'8N'!B$300:B$400,0)),"  ")</f>
        <v>96</v>
      </c>
      <c r="AH82" s="440"/>
      <c r="AI82" s="75" t="str">
        <f>IFERROR(INDEX('9'!C$300:C$400,MATCH("*"&amp;H82&amp;"*",'9'!B$300:B$400,0)),"  ")</f>
        <v xml:space="preserve">  </v>
      </c>
      <c r="AJ82" s="830" t="str">
        <f>IFERROR(INDEX('10'!C$300:C$400,MATCH("*"&amp;H82&amp;"*",'10'!B$300:B$400,0)),"  ")</f>
        <v xml:space="preserve">  </v>
      </c>
      <c r="AK82" s="75" t="str">
        <f>IFERROR(INDEX('11'!C$300:C$400,MATCH("*"&amp;H82&amp;"*",'11'!B$300:B$400,0)),"  ")</f>
        <v xml:space="preserve">  </v>
      </c>
      <c r="AL82" s="75">
        <f>IFERROR(INDEX('12'!C$300:C$400,MATCH("*"&amp;H82&amp;"*",'12'!B$300:B$400,0)),"  ")</f>
        <v>28</v>
      </c>
      <c r="AM82" s="26">
        <f t="shared" ca="1" si="40"/>
        <v>3</v>
      </c>
      <c r="AN82" s="579">
        <f t="shared" ca="1" si="41"/>
        <v>0</v>
      </c>
      <c r="AO82" s="580">
        <f t="shared" ca="1" si="42"/>
        <v>0</v>
      </c>
      <c r="AP82" s="27">
        <f t="shared" ca="1" si="43"/>
        <v>0</v>
      </c>
      <c r="AQ82" s="933">
        <f t="shared" si="46"/>
        <v>2.0000000000000001E-4</v>
      </c>
      <c r="AR82" s="933">
        <f t="shared" ca="1" si="47"/>
        <v>2.9999999999999997E-4</v>
      </c>
    </row>
    <row r="83" spans="1:44" x14ac:dyDescent="0.2">
      <c r="A83" s="851" t="str">
        <f t="shared" ca="1" si="31"/>
        <v/>
      </c>
      <c r="B83" s="77">
        <f t="shared" si="32"/>
        <v>0</v>
      </c>
      <c r="C83" s="853">
        <f t="shared" ca="1" si="44"/>
        <v>23</v>
      </c>
      <c r="D83" s="76">
        <f t="shared" ca="1" si="33"/>
        <v>10159</v>
      </c>
      <c r="E83" s="855" t="str">
        <f t="shared" ca="1" si="45"/>
        <v/>
      </c>
      <c r="F83" s="899">
        <f t="shared" si="34"/>
        <v>0</v>
      </c>
      <c r="G83" s="897">
        <f t="shared" ca="1" si="35"/>
        <v>75</v>
      </c>
      <c r="H83" s="133" t="s">
        <v>379</v>
      </c>
      <c r="I83" s="38" t="s">
        <v>32</v>
      </c>
      <c r="J83" s="585"/>
      <c r="K83" s="586"/>
      <c r="L83" s="587"/>
      <c r="M83" s="857">
        <f ca="1">(IF(COUNT(V83,AA83,AD83,AI83,AJ83,AL83)&lt;5,SUM(V83,AA83,AD83,AI83,AJ83,AL83),SUM(LARGE((V83,AA83,AD83,AI83,AJ83,AL83),{1;2;3;4;5}))))+(IF(COUNT(U83,W83,AB83,AC83,AE83,AK83)&lt;5,SUM(U83,W83,AB83,AC83,AE83,AK83),SUM(LARGE((U83,W83,AB83,AC83,AE83,AK83),{1;2;3;4;5}))))+T83</f>
        <v>159</v>
      </c>
      <c r="N83" s="862">
        <f ca="1">IF(I83="n",((IF(COUNT(V83,AA83,AD83,AI83,AJ83,AL83)&lt;5,SUM(V83,AA83,AD83,AI83,AJ83,AL83),SUM(LARGE((V83,AA83,AD83,AI83,AJ83,AL83),{1;2;3;4;5}))))+(IF(COUNT(U83,Y83,AB83,AC83,AG83,AK83)&lt;5,SUM(U83,Y83,AB83,AC83,AG83,AK83),SUM(LARGE((U83,Y83,AB83,AC83,AG83,AK83),{1;2;3;4;5}))))+T83),0)</f>
        <v>159</v>
      </c>
      <c r="O83" s="863">
        <f>IF(J83="j",((IF(COUNT(V83,AA83,AD83,AI83,AJ83,AL83)&lt;5,SUM(V83,AA83,AD83,AI83,AJ83,AL83),SUM(LARGE((V83,AA83,AD83,AI83,AJ83,AL83),{1;2;3;4;5}))))+(IF(COUNT(U83,W83,AB83,AC83,AE83,AK83)&lt;5,SUM(U83,W83,AB83,AC83,AE83,AK83),SUM(LARGE((U83,W83,AB83,AC83,AE83,AK83),{1;2;3;4;5}))))+T83),0)</f>
        <v>0</v>
      </c>
      <c r="P83" s="886" t="str">
        <f t="shared" ca="1" si="36"/>
        <v>159,0</v>
      </c>
      <c r="Q83" s="890">
        <f t="shared" si="37"/>
        <v>177</v>
      </c>
      <c r="R83" s="886" t="str">
        <f t="shared" ca="1" si="38"/>
        <v>0159,0-177</v>
      </c>
      <c r="S83" s="889">
        <f t="shared" ca="1" si="39"/>
        <v>119</v>
      </c>
      <c r="T83" s="847">
        <v>1</v>
      </c>
      <c r="U83" s="75">
        <f>IFERROR(INDEX('1'!C$300:C$400,MATCH("*"&amp;H83&amp;"*",'1'!B$300:B$400,0)),"  ")</f>
        <v>74</v>
      </c>
      <c r="V83" s="199" t="str">
        <f>IFERROR(INDEX('2'!C$300:C$400,MATCH("*"&amp;H83&amp;"*",'2'!B$300:B$400,0)),"  ")</f>
        <v xml:space="preserve">  </v>
      </c>
      <c r="W83" s="199" t="str">
        <f ca="1">IF(I83="",IFERROR(INDEX('3M'!C$300:C$400,MATCH("*"&amp;H83&amp;"*",'3M'!B$300:B$400,0)),"  "),IFERROR(INDEX('3N'!D$300:D$400,MATCH("*"&amp;H83&amp;"*",'3N'!B$300:B$400,0)),"  "))</f>
        <v xml:space="preserve">  </v>
      </c>
      <c r="X83" s="908" t="str">
        <f ca="1">IFERROR(INDEX('3M'!C$300:C$400,MATCH("*"&amp;H83&amp;"*",'3M'!B$300:B$400,0)),"  ")</f>
        <v xml:space="preserve">  </v>
      </c>
      <c r="Y83" s="907" t="str">
        <f ca="1">IFERROR(INDEX('3N'!C$300:C$400,MATCH("*"&amp;H83&amp;"*",'3N'!B$300:B$400,0)),"  ")</f>
        <v xml:space="preserve">  </v>
      </c>
      <c r="Z83" s="440"/>
      <c r="AA83" s="75" t="str">
        <f>IFERROR(INDEX('4'!C$300:C$400,MATCH("*"&amp;H83&amp;"*",'4'!B$300:B$400,0)),"  ")</f>
        <v xml:space="preserve">  </v>
      </c>
      <c r="AB83" s="75" t="str">
        <f>IFERROR(INDEX('5'!C$300:C$400,MATCH("*"&amp;H83&amp;"*",'5'!B$300:B$400,0)),"  ")</f>
        <v xml:space="preserve">  </v>
      </c>
      <c r="AC83" s="75" t="str">
        <f>IFERROR(INDEX('6'!C$300:C$400,MATCH("*"&amp;H83&amp;"*",'6'!B$300:B$400,0)),"  ")</f>
        <v xml:space="preserve">  </v>
      </c>
      <c r="AD83" s="75" t="str">
        <f>IFERROR(INDEX('7'!C$300:C$400,MATCH("*"&amp;H83&amp;"*",'7'!B$300:B$400,0)),"  ")</f>
        <v xml:space="preserve">  </v>
      </c>
      <c r="AE83" s="75" t="str">
        <f>IF(I83="",IFERROR(INDEX('8M'!C$300:C$400,MATCH("*"&amp;H83&amp;"*",'8M'!B$300:B$400,0)),"  "),IFERROR(INDEX('8N'!D$300:D$400,MATCH("*"&amp;H83&amp;"*",'8N'!B$300:B$400,0)),"  "))</f>
        <v xml:space="preserve">  </v>
      </c>
      <c r="AF83" s="908" t="str">
        <f>IFERROR(INDEX('8M'!C$300:C$400,MATCH("*"&amp;H83&amp;"*",'8M'!B$300:B$400,0)),"  ")</f>
        <v xml:space="preserve">  </v>
      </c>
      <c r="AG83" s="907" t="str">
        <f>IFERROR(INDEX('8N'!C$300:C$400,MATCH("*"&amp;H83&amp;"*",'8N'!B$300:B$400,0)),"  ")</f>
        <v xml:space="preserve">  </v>
      </c>
      <c r="AH83" s="440"/>
      <c r="AI83" s="75" t="str">
        <f>IFERROR(INDEX('9'!C$300:C$400,MATCH("*"&amp;H83&amp;"*",'9'!B$300:B$400,0)),"  ")</f>
        <v xml:space="preserve">  </v>
      </c>
      <c r="AJ83" s="830" t="str">
        <f>IFERROR(INDEX('10'!C$300:C$400,MATCH("*"&amp;H83&amp;"*",'10'!B$300:B$400,0)),"  ")</f>
        <v xml:space="preserve">  </v>
      </c>
      <c r="AK83" s="75">
        <f>IFERROR(INDEX('11'!C$300:C$400,MATCH("*"&amp;H83&amp;"*",'11'!B$300:B$400,0)),"  ")</f>
        <v>56</v>
      </c>
      <c r="AL83" s="75">
        <f>IFERROR(INDEX('12'!C$300:C$400,MATCH("*"&amp;H83&amp;"*",'12'!B$300:B$400,0)),"  ")</f>
        <v>28</v>
      </c>
      <c r="AM83" s="26">
        <f t="shared" ca="1" si="40"/>
        <v>3</v>
      </c>
      <c r="AN83" s="579">
        <f t="shared" ca="1" si="41"/>
        <v>0</v>
      </c>
      <c r="AO83" s="580">
        <f t="shared" ca="1" si="42"/>
        <v>0</v>
      </c>
      <c r="AP83" s="27">
        <f t="shared" ca="1" si="43"/>
        <v>0</v>
      </c>
      <c r="AQ83" s="933">
        <f t="shared" si="46"/>
        <v>2.0000000000000001E-4</v>
      </c>
      <c r="AR83" s="933">
        <f t="shared" ca="1" si="47"/>
        <v>2.9999999999999997E-4</v>
      </c>
    </row>
    <row r="84" spans="1:44" x14ac:dyDescent="0.2">
      <c r="A84" s="851">
        <f t="shared" ca="1" si="31"/>
        <v>53</v>
      </c>
      <c r="B84" s="77">
        <f t="shared" ca="1" si="32"/>
        <v>10151</v>
      </c>
      <c r="C84" s="853" t="str">
        <f t="shared" ca="1" si="44"/>
        <v/>
      </c>
      <c r="D84" s="76">
        <f t="shared" si="33"/>
        <v>0</v>
      </c>
      <c r="E84" s="855" t="str">
        <f t="shared" ca="1" si="45"/>
        <v/>
      </c>
      <c r="F84" s="899">
        <f t="shared" si="34"/>
        <v>0</v>
      </c>
      <c r="G84" s="897">
        <f t="shared" ca="1" si="35"/>
        <v>76</v>
      </c>
      <c r="H84" s="133" t="s">
        <v>81</v>
      </c>
      <c r="I84" s="38"/>
      <c r="J84" s="585"/>
      <c r="K84" s="586"/>
      <c r="L84" s="587"/>
      <c r="M84" s="857">
        <f ca="1">(IF(COUNT(V84,AA84,AD84,AI84,AJ84,AL84)&lt;5,SUM(V84,AA84,AD84,AI84,AJ84,AL84),SUM(LARGE((V84,AA84,AD84,AI84,AJ84,AL84),{1;2;3;4;5}))))+(IF(COUNT(U84,W84,AB84,AC84,AE84,AK84)&lt;5,SUM(U84,W84,AB84,AC84,AE84,AK84),SUM(LARGE((U84,W84,AB84,AC84,AE84,AK84),{1;2;3;4;5}))))+T84</f>
        <v>151</v>
      </c>
      <c r="N84" s="862">
        <f>IF(I84="n",((IF(COUNT(V84,AA84,AD84,AI84,AJ84,AL84)&lt;5,SUM(V84,AA84,AD84,AI84,AJ84,AL84),SUM(LARGE((V84,AA84,AD84,AI84,AJ84,AL84),{1;2;3;4;5}))))+(IF(COUNT(U84,Y84,AB84,AC84,AG84,AK84)&lt;5,SUM(U84,Y84,AB84,AC84,AG84,AK84),SUM(LARGE((U84,Y84,AB84,AC84,AG84,AK84),{1;2;3;4;5}))))+T84),0)</f>
        <v>0</v>
      </c>
      <c r="O84" s="863">
        <f>IF(J84="j",((IF(COUNT(V84,AA84,AD84,AI84,AJ84,AL84)&lt;5,SUM(V84,AA84,AD84,AI84,AJ84,AL84),SUM(LARGE((V84,AA84,AD84,AI84,AJ84,AL84),{1;2;3;4;5}))))+(IF(COUNT(U84,W84,AB84,AC84,AE84,AK84)&lt;5,SUM(U84,W84,AB84,AC84,AE84,AK84),SUM(LARGE((U84,W84,AB84,AC84,AE84,AK84),{1;2;3;4;5}))))+T84),0)</f>
        <v>0</v>
      </c>
      <c r="P84" s="886" t="str">
        <f t="shared" ca="1" si="36"/>
        <v>151,0</v>
      </c>
      <c r="Q84" s="890">
        <f t="shared" si="37"/>
        <v>66</v>
      </c>
      <c r="R84" s="886" t="str">
        <f t="shared" ca="1" si="38"/>
        <v>0151,0-066</v>
      </c>
      <c r="S84" s="889">
        <f t="shared" ca="1" si="39"/>
        <v>118</v>
      </c>
      <c r="T84" s="847">
        <v>1</v>
      </c>
      <c r="U84" s="75" t="str">
        <f>IFERROR(INDEX('1'!C$300:C$400,MATCH("*"&amp;H84&amp;"*",'1'!B$300:B$400,0)),"  ")</f>
        <v xml:space="preserve">  </v>
      </c>
      <c r="V84" s="199" t="str">
        <f>IFERROR(INDEX('2'!C$300:C$400,MATCH("*"&amp;H84&amp;"*",'2'!B$300:B$400,0)),"  ")</f>
        <v xml:space="preserve">  </v>
      </c>
      <c r="W84" s="199" t="str">
        <f ca="1">IF(I84="",IFERROR(INDEX('3M'!C$300:C$400,MATCH("*"&amp;H84&amp;"*",'3M'!B$300:B$400,0)),"  "),IFERROR(INDEX('3N'!D$300:D$400,MATCH("*"&amp;H84&amp;"*",'3N'!B$300:B$400,0)),"  "))</f>
        <v xml:space="preserve">  </v>
      </c>
      <c r="X84" s="908" t="str">
        <f ca="1">IFERROR(INDEX('3M'!C$300:C$400,MATCH("*"&amp;H84&amp;"*",'3M'!B$300:B$400,0)),"  ")</f>
        <v xml:space="preserve">  </v>
      </c>
      <c r="Y84" s="907" t="str">
        <f ca="1">IFERROR(INDEX('3N'!C$300:C$400,MATCH("*"&amp;H84&amp;"*",'3N'!B$300:B$400,0)),"  ")</f>
        <v xml:space="preserve">  </v>
      </c>
      <c r="Z84" s="440"/>
      <c r="AA84" s="75" t="str">
        <f>IFERROR(INDEX('4'!C$300:C$400,MATCH("*"&amp;H84&amp;"*",'4'!B$300:B$400,0)),"  ")</f>
        <v xml:space="preserve">  </v>
      </c>
      <c r="AB84" s="75" t="str">
        <f>IFERROR(INDEX('5'!C$300:C$400,MATCH("*"&amp;H84&amp;"*",'5'!B$300:B$400,0)),"  ")</f>
        <v xml:space="preserve">  </v>
      </c>
      <c r="AC84" s="75" t="str">
        <f>IFERROR(INDEX('6'!C$300:C$400,MATCH("*"&amp;H84&amp;"*",'6'!B$300:B$400,0)),"  ")</f>
        <v xml:space="preserve">  </v>
      </c>
      <c r="AD84" s="75">
        <f>IFERROR(INDEX('7'!C$300:C$400,MATCH("*"&amp;H84&amp;"*",'7'!B$300:B$400,0)),"  ")</f>
        <v>46</v>
      </c>
      <c r="AE84" s="75" t="str">
        <f>IF(I84="",IFERROR(INDEX('8M'!C$300:C$400,MATCH("*"&amp;H84&amp;"*",'8M'!B$300:B$400,0)),"  "),IFERROR(INDEX('8N'!D$300:D$400,MATCH("*"&amp;H84&amp;"*",'8N'!B$300:B$400,0)),"  "))</f>
        <v xml:space="preserve">  </v>
      </c>
      <c r="AF84" s="908" t="str">
        <f>IFERROR(INDEX('8M'!C$300:C$400,MATCH("*"&amp;H84&amp;"*",'8M'!B$300:B$400,0)),"  ")</f>
        <v xml:space="preserve">  </v>
      </c>
      <c r="AG84" s="907" t="str">
        <f>IFERROR(INDEX('8N'!C$300:C$400,MATCH("*"&amp;H84&amp;"*",'8N'!B$300:B$400,0)),"  ")</f>
        <v xml:space="preserve">  </v>
      </c>
      <c r="AH84" s="440"/>
      <c r="AI84" s="75" t="str">
        <f>IFERROR(INDEX('9'!C$300:C$400,MATCH("*"&amp;H84&amp;"*",'9'!B$300:B$400,0)),"  ")</f>
        <v xml:space="preserve">  </v>
      </c>
      <c r="AJ84" s="830" t="str">
        <f>IFERROR(INDEX('10'!C$300:C$400,MATCH("*"&amp;H84&amp;"*",'10'!B$300:B$400,0)),"  ")</f>
        <v xml:space="preserve">  </v>
      </c>
      <c r="AK84" s="75">
        <f>IFERROR(INDEX('11'!C$300:C$400,MATCH("*"&amp;H84&amp;"*",'11'!B$300:B$400,0)),"  ")</f>
        <v>104</v>
      </c>
      <c r="AL84" s="75" t="str">
        <f>IFERROR(INDEX('12'!C$300:C$400,MATCH("*"&amp;H84&amp;"*",'12'!B$300:B$400,0)),"  ")</f>
        <v xml:space="preserve">  </v>
      </c>
      <c r="AM84" s="26">
        <f t="shared" ca="1" si="40"/>
        <v>2</v>
      </c>
      <c r="AN84" s="579">
        <f t="shared" ca="1" si="41"/>
        <v>0</v>
      </c>
      <c r="AO84" s="580">
        <f t="shared" ca="1" si="42"/>
        <v>0</v>
      </c>
      <c r="AP84" s="27">
        <f t="shared" ca="1" si="43"/>
        <v>0</v>
      </c>
      <c r="AQ84" s="933">
        <f t="shared" si="46"/>
        <v>2.0000000000000001E-4</v>
      </c>
      <c r="AR84" s="933">
        <f t="shared" ca="1" si="47"/>
        <v>1E-4</v>
      </c>
    </row>
    <row r="85" spans="1:44" x14ac:dyDescent="0.2">
      <c r="A85" s="851">
        <f t="shared" ca="1" si="31"/>
        <v>54</v>
      </c>
      <c r="B85" s="77">
        <f t="shared" ca="1" si="32"/>
        <v>10149</v>
      </c>
      <c r="C85" s="853" t="str">
        <f t="shared" ca="1" si="44"/>
        <v/>
      </c>
      <c r="D85" s="76">
        <f t="shared" si="33"/>
        <v>0</v>
      </c>
      <c r="E85" s="855" t="str">
        <f t="shared" ca="1" si="45"/>
        <v/>
      </c>
      <c r="F85" s="899">
        <f t="shared" si="34"/>
        <v>0</v>
      </c>
      <c r="G85" s="897">
        <f t="shared" ca="1" si="35"/>
        <v>77</v>
      </c>
      <c r="H85" s="265" t="s">
        <v>86</v>
      </c>
      <c r="I85" s="38"/>
      <c r="J85" s="585"/>
      <c r="K85" s="586"/>
      <c r="L85" s="587"/>
      <c r="M85" s="857">
        <f ca="1">(IF(COUNT(V85,AA85,AD85,AI85,AJ85,AL85)&lt;5,SUM(V85,AA85,AD85,AI85,AJ85,AL85),SUM(LARGE((V85,AA85,AD85,AI85,AJ85,AL85),{1;2;3;4;5}))))+(IF(COUNT(U85,W85,AB85,AC85,AE85,AK85)&lt;5,SUM(U85,W85,AB85,AC85,AE85,AK85),SUM(LARGE((U85,W85,AB85,AC85,AE85,AK85),{1;2;3;4;5}))))+T85</f>
        <v>149</v>
      </c>
      <c r="N85" s="862">
        <f>IF(I85="n",((IF(COUNT(V85,AA85,AD85,AI85,AJ85,AL85)&lt;5,SUM(V85,AA85,AD85,AI85,AJ85,AL85),SUM(LARGE((V85,AA85,AD85,AI85,AJ85,AL85),{1;2;3;4;5}))))+(IF(COUNT(U85,Y85,AB85,AC85,AG85,AK85)&lt;5,SUM(U85,Y85,AB85,AC85,AG85,AK85),SUM(LARGE((U85,Y85,AB85,AC85,AG85,AK85),{1;2;3;4;5}))))+T85),0)</f>
        <v>0</v>
      </c>
      <c r="O85" s="863">
        <f>IF(J85="j",((IF(COUNT(V85,AA85,AD85,AI85,AJ85,AL85)&lt;5,SUM(V85,AA85,AD85,AI85,AJ85,AL85),SUM(LARGE((V85,AA85,AD85,AI85,AJ85,AL85),{1;2;3;4;5}))))+(IF(COUNT(U85,W85,AB85,AC85,AE85,AK85)&lt;5,SUM(U85,W85,AB85,AC85,AE85,AK85),SUM(LARGE((U85,W85,AB85,AC85,AE85,AK85),{1;2;3;4;5}))))+T85),0)</f>
        <v>0</v>
      </c>
      <c r="P85" s="886" t="str">
        <f t="shared" ca="1" si="36"/>
        <v>149,0</v>
      </c>
      <c r="Q85" s="890">
        <f t="shared" si="37"/>
        <v>186</v>
      </c>
      <c r="R85" s="886" t="str">
        <f t="shared" ca="1" si="38"/>
        <v>0149,0-186</v>
      </c>
      <c r="S85" s="889">
        <f t="shared" ca="1" si="39"/>
        <v>117</v>
      </c>
      <c r="T85" s="847">
        <v>1</v>
      </c>
      <c r="U85" s="75" t="str">
        <f>IFERROR(INDEX('1'!C$300:C$400,MATCH("*"&amp;H85&amp;"*",'1'!B$300:B$400,0)),"  ")</f>
        <v xml:space="preserve">  </v>
      </c>
      <c r="V85" s="199">
        <f>IFERROR(INDEX('2'!C$300:C$400,MATCH("*"&amp;H85&amp;"*",'2'!B$300:B$400,0)),"  ")</f>
        <v>69</v>
      </c>
      <c r="W85" s="199" t="str">
        <f ca="1">IF(I85="",IFERROR(INDEX('3M'!C$300:C$400,MATCH("*"&amp;H85&amp;"*",'3M'!B$300:B$400,0)),"  "),IFERROR(INDEX('3N'!D$300:D$400,MATCH("*"&amp;H85&amp;"*",'3N'!B$300:B$400,0)),"  "))</f>
        <v xml:space="preserve">  </v>
      </c>
      <c r="X85" s="908" t="str">
        <f ca="1">IFERROR(INDEX('3M'!C$300:C$400,MATCH("*"&amp;H85&amp;"*",'3M'!B$300:B$400,0)),"  ")</f>
        <v xml:space="preserve">  </v>
      </c>
      <c r="Y85" s="907" t="str">
        <f ca="1">IFERROR(INDEX('3N'!C$300:C$400,MATCH("*"&amp;H85&amp;"*",'3N'!B$300:B$400,0)),"  ")</f>
        <v xml:space="preserve">  </v>
      </c>
      <c r="Z85" s="440"/>
      <c r="AA85" s="75" t="str">
        <f>IFERROR(INDEX('4'!C$300:C$400,MATCH("*"&amp;H85&amp;"*",'4'!B$300:B$400,0)),"  ")</f>
        <v xml:space="preserve">  </v>
      </c>
      <c r="AB85" s="75" t="str">
        <f>IFERROR(INDEX('5'!C$300:C$400,MATCH("*"&amp;H85&amp;"*",'5'!B$300:B$400,0)),"  ")</f>
        <v xml:space="preserve">  </v>
      </c>
      <c r="AC85" s="75" t="str">
        <f>IFERROR(INDEX('6'!C$300:C$400,MATCH("*"&amp;H85&amp;"*",'6'!B$300:B$400,0)),"  ")</f>
        <v xml:space="preserve">  </v>
      </c>
      <c r="AD85" s="75">
        <f>IFERROR(INDEX('7'!C$300:C$400,MATCH("*"&amp;H85&amp;"*",'7'!B$300:B$400,0)),"  ")</f>
        <v>79</v>
      </c>
      <c r="AE85" s="75" t="str">
        <f>IF(I85="",IFERROR(INDEX('8M'!C$300:C$400,MATCH("*"&amp;H85&amp;"*",'8M'!B$300:B$400,0)),"  "),IFERROR(INDEX('8N'!D$300:D$400,MATCH("*"&amp;H85&amp;"*",'8N'!B$300:B$400,0)),"  "))</f>
        <v xml:space="preserve">  </v>
      </c>
      <c r="AF85" s="908" t="str">
        <f>IFERROR(INDEX('8M'!C$300:C$400,MATCH("*"&amp;H85&amp;"*",'8M'!B$300:B$400,0)),"  ")</f>
        <v xml:space="preserve">  </v>
      </c>
      <c r="AG85" s="907" t="str">
        <f>IFERROR(INDEX('8N'!C$300:C$400,MATCH("*"&amp;H85&amp;"*",'8N'!B$300:B$400,0)),"  ")</f>
        <v xml:space="preserve">  </v>
      </c>
      <c r="AH85" s="440"/>
      <c r="AI85" s="75" t="str">
        <f>IFERROR(INDEX('9'!C$300:C$400,MATCH("*"&amp;H85&amp;"*",'9'!B$300:B$400,0)),"  ")</f>
        <v xml:space="preserve">  </v>
      </c>
      <c r="AJ85" s="830" t="str">
        <f>IFERROR(INDEX('10'!C$300:C$400,MATCH("*"&amp;H85&amp;"*",'10'!B$300:B$400,0)),"  ")</f>
        <v xml:space="preserve">  </v>
      </c>
      <c r="AK85" s="75" t="str">
        <f>IFERROR(INDEX('11'!C$300:C$400,MATCH("*"&amp;H85&amp;"*",'11'!B$300:B$400,0)),"  ")</f>
        <v xml:space="preserve">  </v>
      </c>
      <c r="AL85" s="75" t="str">
        <f>IFERROR(INDEX('12'!C$300:C$400,MATCH("*"&amp;H85&amp;"*",'12'!B$300:B$400,0)),"  ")</f>
        <v xml:space="preserve">  </v>
      </c>
      <c r="AM85" s="26">
        <f t="shared" ca="1" si="40"/>
        <v>2</v>
      </c>
      <c r="AN85" s="579">
        <f t="shared" ca="1" si="41"/>
        <v>0</v>
      </c>
      <c r="AO85" s="580">
        <f t="shared" ca="1" si="42"/>
        <v>0</v>
      </c>
      <c r="AP85" s="27">
        <f t="shared" ca="1" si="43"/>
        <v>0</v>
      </c>
      <c r="AQ85" s="933">
        <f t="shared" si="46"/>
        <v>4.0000000000000002E-4</v>
      </c>
      <c r="AR85" s="933">
        <f t="shared" ca="1" si="47"/>
        <v>1E-4</v>
      </c>
    </row>
    <row r="86" spans="1:44" x14ac:dyDescent="0.2">
      <c r="A86" s="851">
        <f t="shared" ca="1" si="31"/>
        <v>55</v>
      </c>
      <c r="B86" s="77">
        <f t="shared" ca="1" si="32"/>
        <v>10138</v>
      </c>
      <c r="C86" s="853" t="str">
        <f t="shared" ca="1" si="44"/>
        <v/>
      </c>
      <c r="D86" s="76">
        <f t="shared" si="33"/>
        <v>0</v>
      </c>
      <c r="E86" s="855" t="str">
        <f t="shared" ca="1" si="45"/>
        <v/>
      </c>
      <c r="F86" s="899">
        <f t="shared" si="34"/>
        <v>0</v>
      </c>
      <c r="G86" s="897">
        <f t="shared" ca="1" si="35"/>
        <v>78</v>
      </c>
      <c r="H86" s="133" t="s">
        <v>628</v>
      </c>
      <c r="I86" s="38"/>
      <c r="J86" s="585"/>
      <c r="K86" s="586"/>
      <c r="L86" s="587"/>
      <c r="M86" s="857">
        <f ca="1">(IF(COUNT(V86,AA86,AD86,AI86,AJ86,AL86)&lt;5,SUM(V86,AA86,AD86,AI86,AJ86,AL86),SUM(LARGE((V86,AA86,AD86,AI86,AJ86,AL86),{1;2;3;4;5}))))+(IF(COUNT(U86,W86,AB86,AC86,AE86,AK86)&lt;5,SUM(U86,W86,AB86,AC86,AE86,AK86),SUM(LARGE((U86,W86,AB86,AC86,AE86,AK86),{1;2;3;4;5}))))+T86</f>
        <v>138</v>
      </c>
      <c r="N86" s="862">
        <f>IF(I86="n",((IF(COUNT(V86,AA86,AD86,AI86,AJ86,AL86)&lt;5,SUM(V86,AA86,AD86,AI86,AJ86,AL86),SUM(LARGE((V86,AA86,AD86,AI86,AJ86,AL86),{1;2;3;4;5}))))+(IF(COUNT(U86,Y86,AB86,AC86,AG86,AK86)&lt;5,SUM(U86,Y86,AB86,AC86,AG86,AK86),SUM(LARGE((U86,Y86,AB86,AC86,AG86,AK86),{1;2;3;4;5}))))+T86),0)</f>
        <v>0</v>
      </c>
      <c r="O86" s="863">
        <f>IF(J86="j",((IF(COUNT(V86,AA86,AD86,AI86,AJ86,AL86)&lt;5,SUM(V86,AA86,AD86,AI86,AJ86,AL86),SUM(LARGE((V86,AA86,AD86,AI86,AJ86,AL86),{1;2;3;4;5}))))+(IF(COUNT(U86,W86,AB86,AC86,AE86,AK86)&lt;5,SUM(U86,W86,AB86,AC86,AE86,AK86),SUM(LARGE((U86,W86,AB86,AC86,AE86,AK86),{1;2;3;4;5}))))+T86),0)</f>
        <v>0</v>
      </c>
      <c r="P86" s="886" t="str">
        <f t="shared" ca="1" si="36"/>
        <v>138,0</v>
      </c>
      <c r="Q86" s="890">
        <f t="shared" si="37"/>
        <v>50</v>
      </c>
      <c r="R86" s="886" t="str">
        <f t="shared" ca="1" si="38"/>
        <v>0138,0-050</v>
      </c>
      <c r="S86" s="889">
        <f t="shared" ca="1" si="39"/>
        <v>116</v>
      </c>
      <c r="T86" s="847"/>
      <c r="U86" s="75" t="str">
        <f>IFERROR(INDEX('1'!C$300:C$400,MATCH("*"&amp;H86&amp;"*",'1'!B$300:B$400,0)),"  ")</f>
        <v xml:space="preserve">  </v>
      </c>
      <c r="V86" s="199" t="str">
        <f>IFERROR(INDEX('2'!C$300:C$400,MATCH("*"&amp;H86&amp;"*",'2'!B$300:B$400,0)),"  ")</f>
        <v xml:space="preserve">  </v>
      </c>
      <c r="W86" s="199" t="str">
        <f ca="1">IF(I86="",IFERROR(INDEX('3M'!C$300:C$400,MATCH("*"&amp;H86&amp;"*",'3M'!B$300:B$400,0)),"  "),IFERROR(INDEX('3N'!D$300:D$400,MATCH("*"&amp;H86&amp;"*",'3N'!B$300:B$400,0)),"  "))</f>
        <v xml:space="preserve">  </v>
      </c>
      <c r="X86" s="908" t="str">
        <f ca="1">IFERROR(INDEX('3M'!C$300:C$400,MATCH("*"&amp;H86&amp;"*",'3M'!B$300:B$400,0)),"  ")</f>
        <v xml:space="preserve">  </v>
      </c>
      <c r="Y86" s="907" t="str">
        <f ca="1">IFERROR(INDEX('3N'!C$300:C$400,MATCH("*"&amp;H86&amp;"*",'3N'!B$300:B$400,0)),"  ")</f>
        <v xml:space="preserve">  </v>
      </c>
      <c r="Z86" s="440"/>
      <c r="AA86" s="75" t="str">
        <f>IFERROR(INDEX('4'!C$300:C$400,MATCH("*"&amp;H86&amp;"*",'4'!B$300:B$400,0)),"  ")</f>
        <v xml:space="preserve">  </v>
      </c>
      <c r="AB86" s="75">
        <f>IFERROR(INDEX('5'!C$300:C$400,MATCH("*"&amp;H86&amp;"*",'5'!B$300:B$400,0)),"  ")</f>
        <v>60</v>
      </c>
      <c r="AC86" s="75" t="str">
        <f>IFERROR(INDEX('6'!C$300:C$400,MATCH("*"&amp;H86&amp;"*",'6'!B$300:B$400,0)),"  ")</f>
        <v xml:space="preserve">  </v>
      </c>
      <c r="AD86" s="75" t="str">
        <f>IFERROR(INDEX('7'!C$300:C$400,MATCH("*"&amp;H86&amp;"*",'7'!B$300:B$400,0)),"  ")</f>
        <v xml:space="preserve">  </v>
      </c>
      <c r="AE86" s="75" t="str">
        <f>IF(I86="",IFERROR(INDEX('8M'!C$300:C$400,MATCH("*"&amp;H86&amp;"*",'8M'!B$300:B$400,0)),"  "),IFERROR(INDEX('8N'!D$300:D$400,MATCH("*"&amp;H86&amp;"*",'8N'!B$300:B$400,0)),"  "))</f>
        <v xml:space="preserve">  </v>
      </c>
      <c r="AF86" s="908" t="str">
        <f>IFERROR(INDEX('8M'!C$300:C$400,MATCH("*"&amp;H86&amp;"*",'8M'!B$300:B$400,0)),"  ")</f>
        <v xml:space="preserve">  </v>
      </c>
      <c r="AG86" s="907" t="str">
        <f>IFERROR(INDEX('8N'!C$300:C$400,MATCH("*"&amp;H86&amp;"*",'8N'!B$300:B$400,0)),"  ")</f>
        <v xml:space="preserve">  </v>
      </c>
      <c r="AH86" s="440"/>
      <c r="AI86" s="75" t="str">
        <f>IFERROR(INDEX('9'!C$300:C$400,MATCH("*"&amp;H86&amp;"*",'9'!B$300:B$400,0)),"  ")</f>
        <v xml:space="preserve">  </v>
      </c>
      <c r="AJ86" s="830" t="str">
        <f>IFERROR(INDEX('10'!C$300:C$400,MATCH("*"&amp;H86&amp;"*",'10'!B$300:B$400,0)),"  ")</f>
        <v xml:space="preserve">  </v>
      </c>
      <c r="AK86" s="75">
        <f>IFERROR(INDEX('11'!C$300:C$400,MATCH("*"&amp;H86&amp;"*",'11'!B$300:B$400,0)),"  ")</f>
        <v>78</v>
      </c>
      <c r="AL86" s="75" t="str">
        <f>IFERROR(INDEX('12'!C$300:C$400,MATCH("*"&amp;H86&amp;"*",'12'!B$300:B$400,0)),"  ")</f>
        <v xml:space="preserve">  </v>
      </c>
      <c r="AM86" s="26">
        <f t="shared" ca="1" si="40"/>
        <v>2</v>
      </c>
      <c r="AN86" s="579">
        <f t="shared" ca="1" si="41"/>
        <v>0</v>
      </c>
      <c r="AO86" s="580">
        <f t="shared" ca="1" si="42"/>
        <v>0</v>
      </c>
      <c r="AP86" s="27">
        <f t="shared" ca="1" si="43"/>
        <v>0</v>
      </c>
      <c r="AQ86" s="933">
        <f t="shared" si="46"/>
        <v>2.0000000000000001E-4</v>
      </c>
      <c r="AR86" s="933">
        <f t="shared" ca="1" si="47"/>
        <v>1E-4</v>
      </c>
    </row>
    <row r="87" spans="1:44" x14ac:dyDescent="0.2">
      <c r="A87" s="851" t="str">
        <f t="shared" ca="1" si="31"/>
        <v/>
      </c>
      <c r="B87" s="77">
        <f t="shared" si="32"/>
        <v>0</v>
      </c>
      <c r="C87" s="853">
        <f t="shared" ca="1" si="44"/>
        <v>24</v>
      </c>
      <c r="D87" s="76">
        <f t="shared" ca="1" si="33"/>
        <v>10136</v>
      </c>
      <c r="E87" s="855" t="str">
        <f t="shared" ca="1" si="45"/>
        <v/>
      </c>
      <c r="F87" s="899">
        <f t="shared" si="34"/>
        <v>0</v>
      </c>
      <c r="G87" s="897">
        <f t="shared" ca="1" si="35"/>
        <v>79</v>
      </c>
      <c r="H87" s="133" t="s">
        <v>728</v>
      </c>
      <c r="I87" s="38" t="s">
        <v>32</v>
      </c>
      <c r="J87" s="585"/>
      <c r="K87" s="586"/>
      <c r="L87" s="587"/>
      <c r="M87" s="857">
        <f ca="1">(IF(COUNT(V87,AA87,AD87,AI87,AJ87,AL87)&lt;5,SUM(V87,AA87,AD87,AI87,AJ87,AL87),SUM(LARGE((V87,AA87,AD87,AI87,AJ87,AL87),{1;2;3;4;5}))))+(IF(COUNT(U87,W87,AB87,AC87,AE87,AK87)&lt;5,SUM(U87,W87,AB87,AC87,AE87,AK87),SUM(LARGE((U87,W87,AB87,AC87,AE87,AK87),{1;2;3;4;5}))))+T87</f>
        <v>136</v>
      </c>
      <c r="N87" s="862">
        <f ca="1">IF(I87="n",((IF(COUNT(V87,AA87,AD87,AI87,AJ87,AL87)&lt;5,SUM(V87,AA87,AD87,AI87,AJ87,AL87),SUM(LARGE((V87,AA87,AD87,AI87,AJ87,AL87),{1;2;3;4;5}))))+(IF(COUNT(U87,Y87,AB87,AC87,AG87,AK87)&lt;5,SUM(U87,Y87,AB87,AC87,AG87,AK87),SUM(LARGE((U87,Y87,AB87,AC87,AG87,AK87),{1;2;3;4;5}))))+T87),0)</f>
        <v>136</v>
      </c>
      <c r="O87" s="863">
        <f>IF(J87="j",((IF(COUNT(V87,AA87,AD87,AI87,AJ87,AL87)&lt;5,SUM(V87,AA87,AD87,AI87,AJ87,AL87),SUM(LARGE((V87,AA87,AD87,AI87,AJ87,AL87),{1;2;3;4;5}))))+(IF(COUNT(U87,W87,AB87,AC87,AE87,AK87)&lt;5,SUM(U87,W87,AB87,AC87,AE87,AK87),SUM(LARGE((U87,W87,AB87,AC87,AE87,AK87),{1;2;3;4;5}))))+T87),0)</f>
        <v>0</v>
      </c>
      <c r="P87" s="886" t="str">
        <f t="shared" ca="1" si="36"/>
        <v>136,0</v>
      </c>
      <c r="Q87" s="890">
        <f t="shared" si="37"/>
        <v>159</v>
      </c>
      <c r="R87" s="886" t="str">
        <f t="shared" ca="1" si="38"/>
        <v>0136,0-159</v>
      </c>
      <c r="S87" s="889">
        <f t="shared" ca="1" si="39"/>
        <v>115</v>
      </c>
      <c r="T87" s="847">
        <v>1</v>
      </c>
      <c r="U87" s="75" t="str">
        <f>IFERROR(INDEX('1'!C$300:C$400,MATCH("*"&amp;H87&amp;"*",'1'!B$300:B$400,0)),"  ")</f>
        <v xml:space="preserve">  </v>
      </c>
      <c r="V87" s="199" t="str">
        <f>IFERROR(INDEX('2'!C$300:C$400,MATCH("*"&amp;H87&amp;"*",'2'!B$300:B$400,0)),"  ")</f>
        <v xml:space="preserve">  </v>
      </c>
      <c r="W87" s="199" t="str">
        <f ca="1">IF(I87="",IFERROR(INDEX('3M'!C$300:C$400,MATCH("*"&amp;H87&amp;"*",'3M'!B$300:B$400,0)),"  "),IFERROR(INDEX('3N'!D$300:D$400,MATCH("*"&amp;H87&amp;"*",'3N'!B$300:B$400,0)),"  "))</f>
        <v xml:space="preserve">  </v>
      </c>
      <c r="X87" s="908" t="str">
        <f ca="1">IFERROR(INDEX('3M'!C$300:C$400,MATCH("*"&amp;H87&amp;"*",'3M'!B$300:B$400,0)),"  ")</f>
        <v xml:space="preserve">  </v>
      </c>
      <c r="Y87" s="907" t="str">
        <f ca="1">IFERROR(INDEX('3N'!C$300:C$400,MATCH("*"&amp;H87&amp;"*",'3N'!B$300:B$400,0)),"  ")</f>
        <v xml:space="preserve">  </v>
      </c>
      <c r="Z87" s="440"/>
      <c r="AA87" s="75" t="str">
        <f>IFERROR(INDEX('4'!C$300:C$400,MATCH("*"&amp;H87&amp;"*",'4'!B$300:B$400,0)),"  ")</f>
        <v xml:space="preserve">  </v>
      </c>
      <c r="AB87" s="75">
        <f>IFERROR(INDEX('5'!C$300:C$400,MATCH("*"&amp;H87&amp;"*",'5'!B$300:B$400,0)),"  ")</f>
        <v>135</v>
      </c>
      <c r="AC87" s="75" t="str">
        <f>IFERROR(INDEX('6'!C$300:C$400,MATCH("*"&amp;H87&amp;"*",'6'!B$300:B$400,0)),"  ")</f>
        <v xml:space="preserve">  </v>
      </c>
      <c r="AD87" s="75" t="str">
        <f>IFERROR(INDEX('7'!C$300:C$400,MATCH("*"&amp;H87&amp;"*",'7'!B$300:B$400,0)),"  ")</f>
        <v xml:space="preserve">  </v>
      </c>
      <c r="AE87" s="75" t="str">
        <f>IF(I87="",IFERROR(INDEX('8M'!C$300:C$400,MATCH("*"&amp;H87&amp;"*",'8M'!B$300:B$400,0)),"  "),IFERROR(INDEX('8N'!D$300:D$400,MATCH("*"&amp;H87&amp;"*",'8N'!B$300:B$400,0)),"  "))</f>
        <v xml:space="preserve">  </v>
      </c>
      <c r="AF87" s="908" t="str">
        <f>IFERROR(INDEX('8M'!C$300:C$400,MATCH("*"&amp;H87&amp;"*",'8M'!B$300:B$400,0)),"  ")</f>
        <v xml:space="preserve">  </v>
      </c>
      <c r="AG87" s="907" t="str">
        <f>IFERROR(INDEX('8N'!C$300:C$400,MATCH("*"&amp;H87&amp;"*",'8N'!B$300:B$400,0)),"  ")</f>
        <v xml:space="preserve">  </v>
      </c>
      <c r="AH87" s="440"/>
      <c r="AI87" s="75" t="str">
        <f>IFERROR(INDEX('9'!C$300:C$400,MATCH("*"&amp;H87&amp;"*",'9'!B$300:B$400,0)),"  ")</f>
        <v xml:space="preserve">  </v>
      </c>
      <c r="AJ87" s="830" t="str">
        <f>IFERROR(INDEX('10'!C$300:C$400,MATCH("*"&amp;H87&amp;"*",'10'!B$300:B$400,0)),"  ")</f>
        <v xml:space="preserve">  </v>
      </c>
      <c r="AK87" s="75" t="str">
        <f>IFERROR(INDEX('11'!C$300:C$400,MATCH("*"&amp;H87&amp;"*",'11'!B$300:B$400,0)),"  ")</f>
        <v xml:space="preserve">  </v>
      </c>
      <c r="AL87" s="75" t="str">
        <f>IFERROR(INDEX('12'!C$300:C$400,MATCH("*"&amp;H87&amp;"*",'12'!B$300:B$400,0)),"  ")</f>
        <v xml:space="preserve">  </v>
      </c>
      <c r="AM87" s="26">
        <f t="shared" ca="1" si="40"/>
        <v>1</v>
      </c>
      <c r="AN87" s="579">
        <f t="shared" ca="1" si="41"/>
        <v>0</v>
      </c>
      <c r="AO87" s="580">
        <f t="shared" ca="1" si="42"/>
        <v>0</v>
      </c>
      <c r="AP87" s="27">
        <f t="shared" ca="1" si="43"/>
        <v>0</v>
      </c>
      <c r="AQ87" s="933">
        <f t="shared" si="46"/>
        <v>2.0000000000000001E-4</v>
      </c>
      <c r="AR87" s="933">
        <f t="shared" ca="1" si="47"/>
        <v>1E-4</v>
      </c>
    </row>
    <row r="88" spans="1:44" x14ac:dyDescent="0.2">
      <c r="A88" s="851">
        <f t="shared" ca="1" si="31"/>
        <v>56</v>
      </c>
      <c r="B88" s="77">
        <f t="shared" ca="1" si="32"/>
        <v>10135</v>
      </c>
      <c r="C88" s="853" t="str">
        <f t="shared" ca="1" si="44"/>
        <v/>
      </c>
      <c r="D88" s="76">
        <f t="shared" si="33"/>
        <v>0</v>
      </c>
      <c r="E88" s="855" t="str">
        <f t="shared" ca="1" si="45"/>
        <v/>
      </c>
      <c r="F88" s="899">
        <f t="shared" si="34"/>
        <v>0</v>
      </c>
      <c r="G88" s="897">
        <f t="shared" ca="1" si="35"/>
        <v>80</v>
      </c>
      <c r="H88" s="133" t="s">
        <v>176</v>
      </c>
      <c r="I88" s="38"/>
      <c r="J88" s="585"/>
      <c r="K88" s="586"/>
      <c r="L88" s="587"/>
      <c r="M88" s="857">
        <f ca="1">(IF(COUNT(V88,AA88,AD88,AI88,AJ88,AL88)&lt;5,SUM(V88,AA88,AD88,AI88,AJ88,AL88),SUM(LARGE((V88,AA88,AD88,AI88,AJ88,AL88),{1;2;3;4;5}))))+(IF(COUNT(U88,W88,AB88,AC88,AE88,AK88)&lt;5,SUM(U88,W88,AB88,AC88,AE88,AK88),SUM(LARGE((U88,W88,AB88,AC88,AE88,AK88),{1;2;3;4;5}))))+T88</f>
        <v>135</v>
      </c>
      <c r="N88" s="862">
        <f>IF(I88="n",((IF(COUNT(V88,AA88,AD88,AI88,AJ88,AL88)&lt;5,SUM(V88,AA88,AD88,AI88,AJ88,AL88),SUM(LARGE((V88,AA88,AD88,AI88,AJ88,AL88),{1;2;3;4;5}))))+(IF(COUNT(U88,Y88,AB88,AC88,AG88,AK88)&lt;5,SUM(U88,Y88,AB88,AC88,AG88,AK88),SUM(LARGE((U88,Y88,AB88,AC88,AG88,AK88),{1;2;3;4;5}))))+T88),0)</f>
        <v>0</v>
      </c>
      <c r="O88" s="863">
        <f>IF(J88="j",((IF(COUNT(V88,AA88,AD88,AI88,AJ88,AL88)&lt;5,SUM(V88,AA88,AD88,AI88,AJ88,AL88),SUM(LARGE((V88,AA88,AD88,AI88,AJ88,AL88),{1;2;3;4;5}))))+(IF(COUNT(U88,W88,AB88,AC88,AE88,AK88)&lt;5,SUM(U88,W88,AB88,AC88,AE88,AK88),SUM(LARGE((U88,W88,AB88,AC88,AE88,AK88),{1;2;3;4;5}))))+T88),0)</f>
        <v>0</v>
      </c>
      <c r="P88" s="886" t="str">
        <f t="shared" ca="1" si="36"/>
        <v>135,0</v>
      </c>
      <c r="Q88" s="890">
        <f t="shared" si="37"/>
        <v>110</v>
      </c>
      <c r="R88" s="886" t="str">
        <f t="shared" ca="1" si="38"/>
        <v>0135,0-110</v>
      </c>
      <c r="S88" s="889">
        <f t="shared" ca="1" si="39"/>
        <v>114</v>
      </c>
      <c r="T88" s="847"/>
      <c r="U88" s="75" t="str">
        <f>IFERROR(INDEX('1'!C$300:C$400,MATCH("*"&amp;H88&amp;"*",'1'!B$300:B$400,0)),"  ")</f>
        <v xml:space="preserve">  </v>
      </c>
      <c r="V88" s="199" t="str">
        <f>IFERROR(INDEX('2'!C$300:C$400,MATCH("*"&amp;H88&amp;"*",'2'!B$300:B$400,0)),"  ")</f>
        <v xml:space="preserve">  </v>
      </c>
      <c r="W88" s="199" t="str">
        <f ca="1">IF(I88="",IFERROR(INDEX('3M'!C$300:C$400,MATCH("*"&amp;H88&amp;"*",'3M'!B$300:B$400,0)),"  "),IFERROR(INDEX('3N'!D$300:D$400,MATCH("*"&amp;H88&amp;"*",'3N'!B$300:B$400,0)),"  "))</f>
        <v xml:space="preserve">  </v>
      </c>
      <c r="X88" s="908" t="str">
        <f ca="1">IFERROR(INDEX('3M'!C$300:C$400,MATCH("*"&amp;H88&amp;"*",'3M'!B$300:B$400,0)),"  ")</f>
        <v xml:space="preserve">  </v>
      </c>
      <c r="Y88" s="907" t="str">
        <f ca="1">IFERROR(INDEX('3N'!C$300:C$400,MATCH("*"&amp;H88&amp;"*",'3N'!B$300:B$400,0)),"  ")</f>
        <v xml:space="preserve">  </v>
      </c>
      <c r="Z88" s="440"/>
      <c r="AA88" s="75" t="str">
        <f>IFERROR(INDEX('4'!C$300:C$400,MATCH("*"&amp;H88&amp;"*",'4'!B$300:B$400,0)),"  ")</f>
        <v xml:space="preserve">  </v>
      </c>
      <c r="AB88" s="75" t="str">
        <f>IFERROR(INDEX('5'!C$300:C$400,MATCH("*"&amp;H88&amp;"*",'5'!B$300:B$400,0)),"  ")</f>
        <v xml:space="preserve">  </v>
      </c>
      <c r="AC88" s="75" t="str">
        <f>IFERROR(INDEX('6'!C$300:C$400,MATCH("*"&amp;H88&amp;"*",'6'!B$300:B$400,0)),"  ")</f>
        <v xml:space="preserve">  </v>
      </c>
      <c r="AD88" s="75" t="str">
        <f>IFERROR(INDEX('7'!C$300:C$400,MATCH("*"&amp;H88&amp;"*",'7'!B$300:B$400,0)),"  ")</f>
        <v xml:space="preserve">  </v>
      </c>
      <c r="AE88" s="75" t="str">
        <f>IF(I88="",IFERROR(INDEX('8M'!C$300:C$400,MATCH("*"&amp;H88&amp;"*",'8M'!B$300:B$400,0)),"  "),IFERROR(INDEX('8N'!D$300:D$400,MATCH("*"&amp;H88&amp;"*",'8N'!B$300:B$400,0)),"  "))</f>
        <v xml:space="preserve">  </v>
      </c>
      <c r="AF88" s="908" t="str">
        <f>IFERROR(INDEX('8M'!C$300:C$400,MATCH("*"&amp;H88&amp;"*",'8M'!B$300:B$400,0)),"  ")</f>
        <v xml:space="preserve">  </v>
      </c>
      <c r="AG88" s="907" t="str">
        <f>IFERROR(INDEX('8N'!C$300:C$400,MATCH("*"&amp;H88&amp;"*",'8N'!B$300:B$400,0)),"  ")</f>
        <v xml:space="preserve">  </v>
      </c>
      <c r="AH88" s="440"/>
      <c r="AI88" s="75" t="str">
        <f>IFERROR(INDEX('9'!C$300:C$400,MATCH("*"&amp;H88&amp;"*",'9'!B$300:B$400,0)),"  ")</f>
        <v xml:space="preserve">  </v>
      </c>
      <c r="AJ88" s="830" t="str">
        <f>IFERROR(INDEX('10'!C$300:C$400,MATCH("*"&amp;H88&amp;"*",'10'!B$300:B$400,0)),"  ")</f>
        <v xml:space="preserve">  </v>
      </c>
      <c r="AK88" s="75">
        <f>IFERROR(INDEX('11'!C$300:C$400,MATCH("*"&amp;H88&amp;"*",'11'!B$300:B$400,0)),"  ")</f>
        <v>135</v>
      </c>
      <c r="AL88" s="75" t="str">
        <f>IFERROR(INDEX('12'!C$300:C$400,MATCH("*"&amp;H88&amp;"*",'12'!B$300:B$400,0)),"  ")</f>
        <v xml:space="preserve">  </v>
      </c>
      <c r="AM88" s="26">
        <f t="shared" ca="1" si="40"/>
        <v>1</v>
      </c>
      <c r="AN88" s="579">
        <f t="shared" ca="1" si="41"/>
        <v>0</v>
      </c>
      <c r="AO88" s="580">
        <f t="shared" ca="1" si="42"/>
        <v>0</v>
      </c>
      <c r="AP88" s="27">
        <f t="shared" ca="1" si="43"/>
        <v>0</v>
      </c>
      <c r="AQ88" s="933">
        <f t="shared" si="46"/>
        <v>2.0000000000000001E-4</v>
      </c>
      <c r="AR88" s="933">
        <f t="shared" ca="1" si="47"/>
        <v>1E-4</v>
      </c>
    </row>
    <row r="89" spans="1:44" x14ac:dyDescent="0.2">
      <c r="A89" s="851">
        <f t="shared" ca="1" si="31"/>
        <v>57</v>
      </c>
      <c r="B89" s="77">
        <f t="shared" ca="1" si="32"/>
        <v>10133</v>
      </c>
      <c r="C89" s="853" t="str">
        <f t="shared" ca="1" si="44"/>
        <v/>
      </c>
      <c r="D89" s="76">
        <f t="shared" si="33"/>
        <v>0</v>
      </c>
      <c r="E89" s="855" t="str">
        <f t="shared" ca="1" si="45"/>
        <v/>
      </c>
      <c r="F89" s="899">
        <f t="shared" si="34"/>
        <v>0</v>
      </c>
      <c r="G89" s="897">
        <f t="shared" ca="1" si="35"/>
        <v>81</v>
      </c>
      <c r="H89" s="133" t="s">
        <v>148</v>
      </c>
      <c r="I89" s="38"/>
      <c r="J89" s="585"/>
      <c r="K89" s="586"/>
      <c r="L89" s="587"/>
      <c r="M89" s="857">
        <f ca="1">(IF(COUNT(V89,AA89,AD89,AI89,AJ89,AL89)&lt;5,SUM(V89,AA89,AD89,AI89,AJ89,AL89),SUM(LARGE((V89,AA89,AD89,AI89,AJ89,AL89),{1;2;3;4;5}))))+(IF(COUNT(U89,W89,AB89,AC89,AE89,AK89)&lt;5,SUM(U89,W89,AB89,AC89,AE89,AK89),SUM(LARGE((U89,W89,AB89,AC89,AE89,AK89),{1;2;3;4;5}))))+T89</f>
        <v>133</v>
      </c>
      <c r="N89" s="862">
        <f>IF(I89="n",((IF(COUNT(V89,AA89,AD89,AI89,AJ89,AL89)&lt;5,SUM(V89,AA89,AD89,AI89,AJ89,AL89),SUM(LARGE((V89,AA89,AD89,AI89,AJ89,AL89),{1;2;3;4;5}))))+(IF(COUNT(U89,Y89,AB89,AC89,AG89,AK89)&lt;5,SUM(U89,Y89,AB89,AC89,AG89,AK89),SUM(LARGE((U89,Y89,AB89,AC89,AG89,AK89),{1;2;3;4;5}))))+T89),0)</f>
        <v>0</v>
      </c>
      <c r="O89" s="863">
        <f>IF(J89="j",((IF(COUNT(V89,AA89,AD89,AI89,AJ89,AL89)&lt;5,SUM(V89,AA89,AD89,AI89,AJ89,AL89),SUM(LARGE((V89,AA89,AD89,AI89,AJ89,AL89),{1;2;3;4;5}))))+(IF(COUNT(U89,W89,AB89,AC89,AE89,AK89)&lt;5,SUM(U89,W89,AB89,AC89,AE89,AK89),SUM(LARGE((U89,W89,AB89,AC89,AE89,AK89),{1;2;3;4;5}))))+T89),0)</f>
        <v>0</v>
      </c>
      <c r="P89" s="886" t="str">
        <f t="shared" ca="1" si="36"/>
        <v>133,0</v>
      </c>
      <c r="Q89" s="890">
        <f t="shared" si="37"/>
        <v>20</v>
      </c>
      <c r="R89" s="886" t="str">
        <f t="shared" ca="1" si="38"/>
        <v>0133,0-020</v>
      </c>
      <c r="S89" s="889">
        <f t="shared" ca="1" si="39"/>
        <v>113</v>
      </c>
      <c r="T89" s="847"/>
      <c r="U89" s="75" t="str">
        <f>IFERROR(INDEX('1'!C$300:C$400,MATCH("*"&amp;H89&amp;"*",'1'!B$300:B$400,0)),"  ")</f>
        <v xml:space="preserve">  </v>
      </c>
      <c r="V89" s="199" t="str">
        <f>IFERROR(INDEX('2'!C$300:C$400,MATCH("*"&amp;H89&amp;"*",'2'!B$300:B$400,0)),"  ")</f>
        <v xml:space="preserve">  </v>
      </c>
      <c r="W89" s="199" t="str">
        <f ca="1">IF(I89="",IFERROR(INDEX('3M'!C$300:C$400,MATCH("*"&amp;H89&amp;"*",'3M'!B$300:B$400,0)),"  "),IFERROR(INDEX('3N'!D$300:D$400,MATCH("*"&amp;H89&amp;"*",'3N'!B$300:B$400,0)),"  "))</f>
        <v xml:space="preserve">  </v>
      </c>
      <c r="X89" s="908" t="str">
        <f ca="1">IFERROR(INDEX('3M'!C$300:C$400,MATCH("*"&amp;H89&amp;"*",'3M'!B$300:B$400,0)),"  ")</f>
        <v xml:space="preserve">  </v>
      </c>
      <c r="Y89" s="907" t="str">
        <f ca="1">IFERROR(INDEX('3N'!C$300:C$400,MATCH("*"&amp;H89&amp;"*",'3N'!B$300:B$400,0)),"  ")</f>
        <v xml:space="preserve">  </v>
      </c>
      <c r="Z89" s="440"/>
      <c r="AA89" s="75" t="str">
        <f>IFERROR(INDEX('4'!C$300:C$400,MATCH("*"&amp;H89&amp;"*",'4'!B$300:B$400,0)),"  ")</f>
        <v xml:space="preserve">  </v>
      </c>
      <c r="AB89" s="75" t="str">
        <f>IFERROR(INDEX('5'!C$300:C$400,MATCH("*"&amp;H89&amp;"*",'5'!B$300:B$400,0)),"  ")</f>
        <v xml:space="preserve">  </v>
      </c>
      <c r="AC89" s="75">
        <f>IFERROR(INDEX('6'!C$300:C$400,MATCH("*"&amp;H89&amp;"*",'6'!B$300:B$400,0)),"  ")</f>
        <v>119</v>
      </c>
      <c r="AD89" s="75" t="str">
        <f>IFERROR(INDEX('7'!C$300:C$400,MATCH("*"&amp;H89&amp;"*",'7'!B$300:B$400,0)),"  ")</f>
        <v xml:space="preserve">  </v>
      </c>
      <c r="AE89" s="75" t="str">
        <f>IF(I89="",IFERROR(INDEX('8M'!C$300:C$400,MATCH("*"&amp;H89&amp;"*",'8M'!B$300:B$400,0)),"  "),IFERROR(INDEX('8N'!D$300:D$400,MATCH("*"&amp;H89&amp;"*",'8N'!B$300:B$400,0)),"  "))</f>
        <v xml:space="preserve">  </v>
      </c>
      <c r="AF89" s="908" t="str">
        <f>IFERROR(INDEX('8M'!C$300:C$400,MATCH("*"&amp;H89&amp;"*",'8M'!B$300:B$400,0)),"  ")</f>
        <v xml:space="preserve">  </v>
      </c>
      <c r="AG89" s="907" t="str">
        <f>IFERROR(INDEX('8N'!C$300:C$400,MATCH("*"&amp;H89&amp;"*",'8N'!B$300:B$400,0)),"  ")</f>
        <v xml:space="preserve">  </v>
      </c>
      <c r="AH89" s="440"/>
      <c r="AI89" s="75" t="str">
        <f>IFERROR(INDEX('9'!C$300:C$400,MATCH("*"&amp;H89&amp;"*",'9'!B$300:B$400,0)),"  ")</f>
        <v xml:space="preserve">  </v>
      </c>
      <c r="AJ89" s="830" t="str">
        <f>IFERROR(INDEX('10'!C$300:C$400,MATCH("*"&amp;H89&amp;"*",'10'!B$300:B$400,0)),"  ")</f>
        <v xml:space="preserve">  </v>
      </c>
      <c r="AK89" s="75" t="str">
        <f>IFERROR(INDEX('11'!C$300:C$400,MATCH("*"&amp;H89&amp;"*",'11'!B$300:B$400,0)),"  ")</f>
        <v xml:space="preserve">  </v>
      </c>
      <c r="AL89" s="75">
        <f>IFERROR(INDEX('12'!C$300:C$400,MATCH("*"&amp;H89&amp;"*",'12'!B$300:B$400,0)),"  ")</f>
        <v>14</v>
      </c>
      <c r="AM89" s="26">
        <f t="shared" ca="1" si="40"/>
        <v>2</v>
      </c>
      <c r="AN89" s="579">
        <f t="shared" ca="1" si="41"/>
        <v>0</v>
      </c>
      <c r="AO89" s="580">
        <f t="shared" ca="1" si="42"/>
        <v>0</v>
      </c>
      <c r="AP89" s="27">
        <f t="shared" ca="1" si="43"/>
        <v>0</v>
      </c>
      <c r="AQ89" s="933">
        <f t="shared" si="46"/>
        <v>2.0000000000000001E-4</v>
      </c>
      <c r="AR89" s="933">
        <f t="shared" ca="1" si="47"/>
        <v>1E-4</v>
      </c>
    </row>
    <row r="90" spans="1:44" x14ac:dyDescent="0.2">
      <c r="A90" s="851">
        <f t="shared" ca="1" si="31"/>
        <v>58</v>
      </c>
      <c r="B90" s="77">
        <f t="shared" ca="1" si="32"/>
        <v>10127</v>
      </c>
      <c r="C90" s="853" t="str">
        <f t="shared" ca="1" si="44"/>
        <v/>
      </c>
      <c r="D90" s="76">
        <f t="shared" si="33"/>
        <v>0</v>
      </c>
      <c r="E90" s="855">
        <f t="shared" ca="1" si="45"/>
        <v>5</v>
      </c>
      <c r="F90" s="899">
        <f t="shared" ca="1" si="34"/>
        <v>10127</v>
      </c>
      <c r="G90" s="897">
        <f t="shared" ca="1" si="35"/>
        <v>82</v>
      </c>
      <c r="H90" s="133" t="s">
        <v>150</v>
      </c>
      <c r="I90" s="38"/>
      <c r="J90" s="585" t="s">
        <v>45</v>
      </c>
      <c r="K90" s="586"/>
      <c r="L90" s="587"/>
      <c r="M90" s="857">
        <f ca="1">(IF(COUNT(V90,AA90,AD90,AI90,AJ90,AL90)&lt;5,SUM(V90,AA90,AD90,AI90,AJ90,AL90),SUM(LARGE((V90,AA90,AD90,AI90,AJ90,AL90),{1;2;3;4;5}))))+(IF(COUNT(U90,W90,AB90,AC90,AE90,AK90)&lt;5,SUM(U90,W90,AB90,AC90,AE90,AK90),SUM(LARGE((U90,W90,AB90,AC90,AE90,AK90),{1;2;3;4;5}))))+T90</f>
        <v>127</v>
      </c>
      <c r="N90" s="862">
        <f>IF(I90="n",((IF(COUNT(V90,AA90,AD90,AI90,AJ90,AL90)&lt;5,SUM(V90,AA90,AD90,AI90,AJ90,AL90),SUM(LARGE((V90,AA90,AD90,AI90,AJ90,AL90),{1;2;3;4;5}))))+(IF(COUNT(U90,Y90,AB90,AC90,AG90,AK90)&lt;5,SUM(U90,Y90,AB90,AC90,AG90,AK90),SUM(LARGE((U90,Y90,AB90,AC90,AG90,AK90),{1;2;3;4;5}))))+T90),0)</f>
        <v>0</v>
      </c>
      <c r="O90" s="863">
        <f ca="1">IF(J90="j",((IF(COUNT(V90,AA90,AD90,AI90,AJ90,AL90)&lt;5,SUM(V90,AA90,AD90,AI90,AJ90,AL90),SUM(LARGE((V90,AA90,AD90,AI90,AJ90,AL90),{1;2;3;4;5}))))+(IF(COUNT(U90,W90,AB90,AC90,AE90,AK90)&lt;5,SUM(U90,W90,AB90,AC90,AE90,AK90),SUM(LARGE((U90,W90,AB90,AC90,AE90,AK90),{1;2;3;4;5}))))+T90),0)</f>
        <v>127</v>
      </c>
      <c r="P90" s="886" t="str">
        <f t="shared" ca="1" si="36"/>
        <v>127,0</v>
      </c>
      <c r="Q90" s="890">
        <f t="shared" si="37"/>
        <v>59</v>
      </c>
      <c r="R90" s="886" t="str">
        <f t="shared" ca="1" si="38"/>
        <v>0127,0-059</v>
      </c>
      <c r="S90" s="889">
        <f t="shared" ca="1" si="39"/>
        <v>112</v>
      </c>
      <c r="T90" s="847">
        <v>1</v>
      </c>
      <c r="U90" s="75" t="str">
        <f>IFERROR(INDEX('1'!C$300:C$400,MATCH("*"&amp;H90&amp;"*",'1'!B$300:B$400,0)),"  ")</f>
        <v xml:space="preserve">  </v>
      </c>
      <c r="V90" s="199" t="str">
        <f>IFERROR(INDEX('2'!C$300:C$400,MATCH("*"&amp;H90&amp;"*",'2'!B$300:B$400,0)),"  ")</f>
        <v xml:space="preserve">  </v>
      </c>
      <c r="W90" s="199" t="str">
        <f ca="1">IF(I90="",IFERROR(INDEX('3M'!C$300:C$400,MATCH("*"&amp;H90&amp;"*",'3M'!B$300:B$400,0)),"  "),IFERROR(INDEX('3N'!D$300:D$400,MATCH("*"&amp;H90&amp;"*",'3N'!B$300:B$400,0)),"  "))</f>
        <v xml:space="preserve">  </v>
      </c>
      <c r="X90" s="908" t="str">
        <f ca="1">IFERROR(INDEX('3M'!C$300:C$400,MATCH("*"&amp;H90&amp;"*",'3M'!B$300:B$400,0)),"  ")</f>
        <v xml:space="preserve">  </v>
      </c>
      <c r="Y90" s="907" t="str">
        <f ca="1">IFERROR(INDEX('3N'!C$300:C$400,MATCH("*"&amp;H90&amp;"*",'3N'!B$300:B$400,0)),"  ")</f>
        <v xml:space="preserve">  </v>
      </c>
      <c r="Z90" s="440"/>
      <c r="AA90" s="75" t="str">
        <f>IFERROR(INDEX('4'!C$300:C$400,MATCH("*"&amp;H90&amp;"*",'4'!B$300:B$400,0)),"  ")</f>
        <v xml:space="preserve">  </v>
      </c>
      <c r="AB90" s="75" t="str">
        <f>IFERROR(INDEX('5'!C$300:C$400,MATCH("*"&amp;H90&amp;"*",'5'!B$300:B$400,0)),"  ")</f>
        <v xml:space="preserve">  </v>
      </c>
      <c r="AC90" s="75" t="str">
        <f>IFERROR(INDEX('6'!C$300:C$400,MATCH("*"&amp;H90&amp;"*",'6'!B$300:B$400,0)),"  ")</f>
        <v xml:space="preserve">  </v>
      </c>
      <c r="AD90" s="75" t="str">
        <f>IFERROR(INDEX('7'!C$300:C$400,MATCH("*"&amp;H90&amp;"*",'7'!B$300:B$400,0)),"  ")</f>
        <v xml:space="preserve">  </v>
      </c>
      <c r="AE90" s="75" t="str">
        <f>IF(I90="",IFERROR(INDEX('8M'!C$300:C$400,MATCH("*"&amp;H90&amp;"*",'8M'!B$300:B$400,0)),"  "),IFERROR(INDEX('8N'!D$300:D$400,MATCH("*"&amp;H90&amp;"*",'8N'!B$300:B$400,0)),"  "))</f>
        <v xml:space="preserve">  </v>
      </c>
      <c r="AF90" s="908" t="str">
        <f>IFERROR(INDEX('8M'!C$300:C$400,MATCH("*"&amp;H90&amp;"*",'8M'!B$300:B$400,0)),"  ")</f>
        <v xml:space="preserve">  </v>
      </c>
      <c r="AG90" s="907" t="str">
        <f>IFERROR(INDEX('8N'!C$300:C$400,MATCH("*"&amp;H90&amp;"*",'8N'!B$300:B$400,0)),"  ")</f>
        <v xml:space="preserve">  </v>
      </c>
      <c r="AH90" s="440"/>
      <c r="AI90" s="75" t="str">
        <f>IFERROR(INDEX('9'!C$300:C$400,MATCH("*"&amp;H90&amp;"*",'9'!B$300:B$400,0)),"  ")</f>
        <v xml:space="preserve">  </v>
      </c>
      <c r="AJ90" s="830" t="str">
        <f>IFERROR(INDEX('10'!C$300:C$400,MATCH("*"&amp;H90&amp;"*",'10'!B$300:B$400,0)),"  ")</f>
        <v xml:space="preserve">  </v>
      </c>
      <c r="AK90" s="75">
        <f>IFERROR(INDEX('11'!C$300:C$400,MATCH("*"&amp;H90&amp;"*",'11'!B$300:B$400,0)),"  ")</f>
        <v>104</v>
      </c>
      <c r="AL90" s="75">
        <f>IFERROR(INDEX('12'!C$300:C$400,MATCH("*"&amp;H90&amp;"*",'12'!B$300:B$400,0)),"  ")</f>
        <v>22</v>
      </c>
      <c r="AM90" s="26">
        <f t="shared" ca="1" si="40"/>
        <v>2</v>
      </c>
      <c r="AN90" s="579">
        <f t="shared" ca="1" si="41"/>
        <v>0</v>
      </c>
      <c r="AO90" s="580">
        <f t="shared" ca="1" si="42"/>
        <v>0</v>
      </c>
      <c r="AP90" s="27">
        <f t="shared" ca="1" si="43"/>
        <v>0</v>
      </c>
      <c r="AQ90" s="933">
        <f t="shared" si="46"/>
        <v>2.0000000000000001E-4</v>
      </c>
      <c r="AR90" s="933">
        <f t="shared" ca="1" si="47"/>
        <v>1E-4</v>
      </c>
    </row>
    <row r="91" spans="1:44" x14ac:dyDescent="0.2">
      <c r="A91" s="851">
        <f t="shared" ca="1" si="31"/>
        <v>59</v>
      </c>
      <c r="B91" s="77">
        <f t="shared" ca="1" si="32"/>
        <v>10118</v>
      </c>
      <c r="C91" s="853" t="str">
        <f t="shared" ca="1" si="44"/>
        <v/>
      </c>
      <c r="D91" s="76">
        <f t="shared" si="33"/>
        <v>0</v>
      </c>
      <c r="E91" s="855">
        <f t="shared" ca="1" si="45"/>
        <v>6</v>
      </c>
      <c r="F91" s="899">
        <f t="shared" ca="1" si="34"/>
        <v>10118</v>
      </c>
      <c r="G91" s="897">
        <f t="shared" ca="1" si="35"/>
        <v>83</v>
      </c>
      <c r="H91" s="133" t="s">
        <v>314</v>
      </c>
      <c r="I91" s="38"/>
      <c r="J91" s="589" t="s">
        <v>45</v>
      </c>
      <c r="K91" s="586"/>
      <c r="L91" s="587"/>
      <c r="M91" s="857">
        <f ca="1">(IF(COUNT(V91,AA91,AD91,AI91,AJ91,AL91)&lt;5,SUM(V91,AA91,AD91,AI91,AJ91,AL91),SUM(LARGE((V91,AA91,AD91,AI91,AJ91,AL91),{1;2;3;4;5}))))+(IF(COUNT(U91,W91,AB91,AC91,AE91,AK91)&lt;5,SUM(U91,W91,AB91,AC91,AE91,AK91),SUM(LARGE((U91,W91,AB91,AC91,AE91,AK91),{1;2;3;4;5}))))+T91</f>
        <v>118</v>
      </c>
      <c r="N91" s="862">
        <f>IF(I91="n",((IF(COUNT(V91,AA91,AD91,AI91,AJ91,AL91)&lt;5,SUM(V91,AA91,AD91,AI91,AJ91,AL91),SUM(LARGE((V91,AA91,AD91,AI91,AJ91,AL91),{1;2;3;4;5}))))+(IF(COUNT(U91,Y91,AB91,AC91,AG91,AK91)&lt;5,SUM(U91,Y91,AB91,AC91,AG91,AK91),SUM(LARGE((U91,Y91,AB91,AC91,AG91,AK91),{1;2;3;4;5}))))+T91),0)</f>
        <v>0</v>
      </c>
      <c r="O91" s="863">
        <f ca="1">IF(J91="j",((IF(COUNT(V91,AA91,AD91,AI91,AJ91,AL91)&lt;5,SUM(V91,AA91,AD91,AI91,AJ91,AL91),SUM(LARGE((V91,AA91,AD91,AI91,AJ91,AL91),{1;2;3;4;5}))))+(IF(COUNT(U91,W91,AB91,AC91,AE91,AK91)&lt;5,SUM(U91,W91,AB91,AC91,AE91,AK91),SUM(LARGE((U91,W91,AB91,AC91,AE91,AK91),{1;2;3;4;5}))))+T91),0)</f>
        <v>118</v>
      </c>
      <c r="P91" s="886" t="str">
        <f t="shared" ca="1" si="36"/>
        <v>118,0</v>
      </c>
      <c r="Q91" s="890">
        <f t="shared" si="37"/>
        <v>78</v>
      </c>
      <c r="R91" s="886" t="str">
        <f t="shared" ca="1" si="38"/>
        <v>0118,0-078</v>
      </c>
      <c r="S91" s="889">
        <f t="shared" ca="1" si="39"/>
        <v>110</v>
      </c>
      <c r="T91" s="847"/>
      <c r="U91" s="75" t="str">
        <f>IFERROR(INDEX('1'!C$300:C$400,MATCH("*"&amp;H91&amp;"*",'1'!B$300:B$400,0)),"  ")</f>
        <v xml:space="preserve">  </v>
      </c>
      <c r="V91" s="199" t="str">
        <f>IFERROR(INDEX('2'!C$300:C$400,MATCH("*"&amp;H91&amp;"*",'2'!B$300:B$400,0)),"  ")</f>
        <v xml:space="preserve">  </v>
      </c>
      <c r="W91" s="199" t="str">
        <f ca="1">IF(I91="",IFERROR(INDEX('3M'!C$300:C$400,MATCH("*"&amp;H91&amp;"*",'3M'!B$300:B$400,0)),"  "),IFERROR(INDEX('3N'!D$300:D$400,MATCH("*"&amp;H91&amp;"*",'3N'!B$300:B$400,0)),"  "))</f>
        <v xml:space="preserve">  </v>
      </c>
      <c r="X91" s="908" t="str">
        <f ca="1">IFERROR(INDEX('3M'!C$300:C$400,MATCH("*"&amp;H91&amp;"*",'3M'!B$300:B$400,0)),"  ")</f>
        <v xml:space="preserve">  </v>
      </c>
      <c r="Y91" s="907" t="str">
        <f ca="1">IFERROR(INDEX('3N'!C$300:C$400,MATCH("*"&amp;H91&amp;"*",'3N'!B$300:B$400,0)),"  ")</f>
        <v xml:space="preserve">  </v>
      </c>
      <c r="Z91" s="440"/>
      <c r="AA91" s="75" t="str">
        <f>IFERROR(INDEX('4'!C$300:C$400,MATCH("*"&amp;H91&amp;"*",'4'!B$300:B$400,0)),"  ")</f>
        <v xml:space="preserve">  </v>
      </c>
      <c r="AB91" s="75" t="str">
        <f>IFERROR(INDEX('5'!C$300:C$400,MATCH("*"&amp;H91&amp;"*",'5'!B$300:B$400,0)),"  ")</f>
        <v xml:space="preserve">  </v>
      </c>
      <c r="AC91" s="75" t="str">
        <f>IFERROR(INDEX('6'!C$300:C$400,MATCH("*"&amp;H91&amp;"*",'6'!B$300:B$400,0)),"  ")</f>
        <v xml:space="preserve">  </v>
      </c>
      <c r="AD91" s="75" t="str">
        <f>IFERROR(INDEX('7'!C$300:C$400,MATCH("*"&amp;H91&amp;"*",'7'!B$300:B$400,0)),"  ")</f>
        <v xml:space="preserve">  </v>
      </c>
      <c r="AE91" s="75" t="str">
        <f>IF(I91="",IFERROR(INDEX('8M'!C$300:C$400,MATCH("*"&amp;H91&amp;"*",'8M'!B$300:B$400,0)),"  "),IFERROR(INDEX('8N'!D$300:D$400,MATCH("*"&amp;H91&amp;"*",'8N'!B$300:B$400,0)),"  "))</f>
        <v xml:space="preserve">  </v>
      </c>
      <c r="AF91" s="908" t="str">
        <f>IFERROR(INDEX('8M'!C$300:C$400,MATCH("*"&amp;H91&amp;"*",'8M'!B$300:B$400,0)),"  ")</f>
        <v xml:space="preserve">  </v>
      </c>
      <c r="AG91" s="907" t="str">
        <f>IFERROR(INDEX('8N'!C$300:C$400,MATCH("*"&amp;H91&amp;"*",'8N'!B$300:B$400,0)),"  ")</f>
        <v xml:space="preserve">  </v>
      </c>
      <c r="AH91" s="440"/>
      <c r="AI91" s="75" t="str">
        <f>IFERROR(INDEX('9'!C$300:C$400,MATCH("*"&amp;H91&amp;"*",'9'!B$300:B$400,0)),"  ")</f>
        <v xml:space="preserve">  </v>
      </c>
      <c r="AJ91" s="830" t="str">
        <f>IFERROR(INDEX('10'!C$300:C$400,MATCH("*"&amp;H91&amp;"*",'10'!B$300:B$400,0)),"  ")</f>
        <v xml:space="preserve">  </v>
      </c>
      <c r="AK91" s="75">
        <f>IFERROR(INDEX('11'!C$300:C$400,MATCH("*"&amp;H91&amp;"*",'11'!B$300:B$400,0)),"  ")</f>
        <v>96</v>
      </c>
      <c r="AL91" s="75">
        <f>IFERROR(INDEX('12'!C$300:C$400,MATCH("*"&amp;H91&amp;"*",'12'!B$300:B$400,0)),"  ")</f>
        <v>22</v>
      </c>
      <c r="AM91" s="26">
        <f t="shared" ca="1" si="40"/>
        <v>2</v>
      </c>
      <c r="AN91" s="579">
        <f t="shared" ca="1" si="41"/>
        <v>0</v>
      </c>
      <c r="AO91" s="580">
        <f t="shared" ca="1" si="42"/>
        <v>0</v>
      </c>
      <c r="AP91" s="27">
        <f t="shared" ca="1" si="43"/>
        <v>0</v>
      </c>
      <c r="AQ91" s="933">
        <f t="shared" si="46"/>
        <v>2.0000000000000001E-4</v>
      </c>
      <c r="AR91" s="933">
        <f t="shared" ca="1" si="47"/>
        <v>1E-4</v>
      </c>
    </row>
    <row r="92" spans="1:44" x14ac:dyDescent="0.2">
      <c r="A92" s="851">
        <f t="shared" ca="1" si="31"/>
        <v>59</v>
      </c>
      <c r="B92" s="77">
        <f t="shared" ca="1" si="32"/>
        <v>10118</v>
      </c>
      <c r="C92" s="853" t="str">
        <f t="shared" ca="1" si="44"/>
        <v/>
      </c>
      <c r="D92" s="76">
        <f t="shared" si="33"/>
        <v>0</v>
      </c>
      <c r="E92" s="855" t="str">
        <f t="shared" ca="1" si="45"/>
        <v/>
      </c>
      <c r="F92" s="899">
        <f t="shared" si="34"/>
        <v>0</v>
      </c>
      <c r="G92" s="897">
        <f t="shared" ca="1" si="35"/>
        <v>83</v>
      </c>
      <c r="H92" s="133" t="s">
        <v>82</v>
      </c>
      <c r="I92" s="38"/>
      <c r="J92" s="585"/>
      <c r="K92" s="586"/>
      <c r="L92" s="587"/>
      <c r="M92" s="857">
        <f ca="1">(IF(COUNT(V92,AA92,AD92,AI92,AJ92,AL92)&lt;5,SUM(V92,AA92,AD92,AI92,AJ92,AL92),SUM(LARGE((V92,AA92,AD92,AI92,AJ92,AL92),{1;2;3;4;5}))))+(IF(COUNT(U92,W92,AB92,AC92,AE92,AK92)&lt;5,SUM(U92,W92,AB92,AC92,AE92,AK92),SUM(LARGE((U92,W92,AB92,AC92,AE92,AK92),{1;2;3;4;5}))))+T92</f>
        <v>118</v>
      </c>
      <c r="N92" s="862">
        <f>IF(I92="n",((IF(COUNT(V92,AA92,AD92,AI92,AJ92,AL92)&lt;5,SUM(V92,AA92,AD92,AI92,AJ92,AL92),SUM(LARGE((V92,AA92,AD92,AI92,AJ92,AL92),{1;2;3;4;5}))))+(IF(COUNT(U92,Y92,AB92,AC92,AG92,AK92)&lt;5,SUM(U92,Y92,AB92,AC92,AG92,AK92),SUM(LARGE((U92,Y92,AB92,AC92,AG92,AK92),{1;2;3;4;5}))))+T92),0)</f>
        <v>0</v>
      </c>
      <c r="O92" s="863">
        <f>IF(J92="j",((IF(COUNT(V92,AA92,AD92,AI92,AJ92,AL92)&lt;5,SUM(V92,AA92,AD92,AI92,AJ92,AL92),SUM(LARGE((V92,AA92,AD92,AI92,AJ92,AL92),{1;2;3;4;5}))))+(IF(COUNT(U92,W92,AB92,AC92,AE92,AK92)&lt;5,SUM(U92,W92,AB92,AC92,AE92,AK92),SUM(LARGE((U92,W92,AB92,AC92,AE92,AK92),{1;2;3;4;5}))))+T92),0)</f>
        <v>0</v>
      </c>
      <c r="P92" s="886" t="str">
        <f t="shared" ca="1" si="36"/>
        <v>118,0</v>
      </c>
      <c r="Q92" s="890">
        <f t="shared" si="37"/>
        <v>169</v>
      </c>
      <c r="R92" s="886" t="str">
        <f t="shared" ca="1" si="38"/>
        <v>0118,0-169</v>
      </c>
      <c r="S92" s="889">
        <f t="shared" ca="1" si="39"/>
        <v>111</v>
      </c>
      <c r="T92" s="847">
        <v>1</v>
      </c>
      <c r="U92" s="75" t="str">
        <f>IFERROR(INDEX('1'!C$300:C$400,MATCH("*"&amp;H92&amp;"*",'1'!B$300:B$400,0)),"  ")</f>
        <v xml:space="preserve">  </v>
      </c>
      <c r="V92" s="199" t="str">
        <f>IFERROR(INDEX('2'!C$300:C$400,MATCH("*"&amp;H92&amp;"*",'2'!B$300:B$400,0)),"  ")</f>
        <v xml:space="preserve">  </v>
      </c>
      <c r="W92" s="199" t="str">
        <f ca="1">IF(I92="",IFERROR(INDEX('3M'!C$300:C$400,MATCH("*"&amp;H92&amp;"*",'3M'!B$300:B$400,0)),"  "),IFERROR(INDEX('3N'!D$300:D$400,MATCH("*"&amp;H92&amp;"*",'3N'!B$300:B$400,0)),"  "))</f>
        <v xml:space="preserve">  </v>
      </c>
      <c r="X92" s="908" t="str">
        <f ca="1">IFERROR(INDEX('3M'!C$300:C$400,MATCH("*"&amp;H92&amp;"*",'3M'!B$300:B$400,0)),"  ")</f>
        <v xml:space="preserve">  </v>
      </c>
      <c r="Y92" s="907" t="str">
        <f ca="1">IFERROR(INDEX('3N'!C$300:C$400,MATCH("*"&amp;H92&amp;"*",'3N'!B$300:B$400,0)),"  ")</f>
        <v xml:space="preserve">  </v>
      </c>
      <c r="Z92" s="440"/>
      <c r="AA92" s="75" t="str">
        <f>IFERROR(INDEX('4'!C$300:C$400,MATCH("*"&amp;H92&amp;"*",'4'!B$300:B$400,0)),"  ")</f>
        <v xml:space="preserve">  </v>
      </c>
      <c r="AB92" s="75" t="str">
        <f>IFERROR(INDEX('5'!C$300:C$400,MATCH("*"&amp;H92&amp;"*",'5'!B$300:B$400,0)),"  ")</f>
        <v xml:space="preserve">  </v>
      </c>
      <c r="AC92" s="75" t="str">
        <f>IFERROR(INDEX('6'!C$300:C$400,MATCH("*"&amp;H92&amp;"*",'6'!B$300:B$400,0)),"  ")</f>
        <v xml:space="preserve">  </v>
      </c>
      <c r="AD92" s="75">
        <f>IFERROR(INDEX('7'!C$300:C$400,MATCH("*"&amp;H92&amp;"*",'7'!B$300:B$400,0)),"  ")</f>
        <v>43</v>
      </c>
      <c r="AE92" s="75" t="str">
        <f>IF(I92="",IFERROR(INDEX('8M'!C$300:C$400,MATCH("*"&amp;H92&amp;"*",'8M'!B$300:B$400,0)),"  "),IFERROR(INDEX('8N'!D$300:D$400,MATCH("*"&amp;H92&amp;"*",'8N'!B$300:B$400,0)),"  "))</f>
        <v xml:space="preserve">  </v>
      </c>
      <c r="AF92" s="908" t="str">
        <f>IFERROR(INDEX('8M'!C$300:C$400,MATCH("*"&amp;H92&amp;"*",'8M'!B$300:B$400,0)),"  ")</f>
        <v xml:space="preserve">  </v>
      </c>
      <c r="AG92" s="907" t="str">
        <f>IFERROR(INDEX('8N'!C$300:C$400,MATCH("*"&amp;H92&amp;"*",'8N'!B$300:B$400,0)),"  ")</f>
        <v xml:space="preserve">  </v>
      </c>
      <c r="AH92" s="440"/>
      <c r="AI92" s="75" t="str">
        <f>IFERROR(INDEX('9'!C$300:C$400,MATCH("*"&amp;H92&amp;"*",'9'!B$300:B$400,0)),"  ")</f>
        <v xml:space="preserve">  </v>
      </c>
      <c r="AJ92" s="830" t="str">
        <f>IFERROR(INDEX('10'!C$300:C$400,MATCH("*"&amp;H92&amp;"*",'10'!B$300:B$400,0)),"  ")</f>
        <v xml:space="preserve">  </v>
      </c>
      <c r="AK92" s="75" t="str">
        <f>IFERROR(INDEX('11'!C$300:C$400,MATCH("*"&amp;H92&amp;"*",'11'!B$300:B$400,0)),"  ")</f>
        <v xml:space="preserve">  </v>
      </c>
      <c r="AL92" s="75">
        <f>IFERROR(INDEX('12'!C$300:C$400,MATCH("*"&amp;H92&amp;"*",'12'!B$300:B$400,0)),"  ")</f>
        <v>74</v>
      </c>
      <c r="AM92" s="26">
        <f t="shared" ca="1" si="40"/>
        <v>2</v>
      </c>
      <c r="AN92" s="579">
        <f t="shared" ca="1" si="41"/>
        <v>0</v>
      </c>
      <c r="AO92" s="580">
        <f t="shared" ca="1" si="42"/>
        <v>0</v>
      </c>
      <c r="AP92" s="27">
        <f t="shared" ca="1" si="43"/>
        <v>0</v>
      </c>
      <c r="AQ92" s="933">
        <f t="shared" si="46"/>
        <v>2.0000000000000001E-4</v>
      </c>
      <c r="AR92" s="933">
        <f t="shared" ca="1" si="47"/>
        <v>1E-4</v>
      </c>
    </row>
    <row r="93" spans="1:44" x14ac:dyDescent="0.2">
      <c r="A93" s="851" t="str">
        <f t="shared" ca="1" si="31"/>
        <v/>
      </c>
      <c r="B93" s="77">
        <f t="shared" si="32"/>
        <v>0</v>
      </c>
      <c r="C93" s="853">
        <f t="shared" ca="1" si="44"/>
        <v>25</v>
      </c>
      <c r="D93" s="76">
        <f t="shared" ca="1" si="33"/>
        <v>10115</v>
      </c>
      <c r="E93" s="855" t="str">
        <f t="shared" ca="1" si="45"/>
        <v/>
      </c>
      <c r="F93" s="899">
        <f t="shared" si="34"/>
        <v>0</v>
      </c>
      <c r="G93" s="897">
        <f t="shared" ca="1" si="35"/>
        <v>85</v>
      </c>
      <c r="H93" s="133" t="s">
        <v>60</v>
      </c>
      <c r="I93" s="38" t="s">
        <v>32</v>
      </c>
      <c r="J93" s="585"/>
      <c r="K93" s="586"/>
      <c r="L93" s="587"/>
      <c r="M93" s="857">
        <f ca="1">(IF(COUNT(V93,AA93,AD93,AI93,AJ93,AL93)&lt;5,SUM(V93,AA93,AD93,AI93,AJ93,AL93),SUM(LARGE((V93,AA93,AD93,AI93,AJ93,AL93),{1;2;3;4;5}))))+(IF(COUNT(U93,W93,AB93,AC93,AE93,AK93)&lt;5,SUM(U93,W93,AB93,AC93,AE93,AK93),SUM(LARGE((U93,W93,AB93,AC93,AE93,AK93),{1;2;3;4;5}))))+T93</f>
        <v>115</v>
      </c>
      <c r="N93" s="862">
        <f ca="1">IF(I93="n",((IF(COUNT(V93,AA93,AD93,AI93,AJ93,AL93)&lt;5,SUM(V93,AA93,AD93,AI93,AJ93,AL93),SUM(LARGE((V93,AA93,AD93,AI93,AJ93,AL93),{1;2;3;4;5}))))+(IF(COUNT(U93,Y93,AB93,AC93,AG93,AK93)&lt;5,SUM(U93,Y93,AB93,AC93,AG93,AK93),SUM(LARGE((U93,Y93,AB93,AC93,AG93,AK93),{1;2;3;4;5}))))+T93),0)</f>
        <v>115</v>
      </c>
      <c r="O93" s="863">
        <f>IF(J93="j",((IF(COUNT(V93,AA93,AD93,AI93,AJ93,AL93)&lt;5,SUM(V93,AA93,AD93,AI93,AJ93,AL93),SUM(LARGE((V93,AA93,AD93,AI93,AJ93,AL93),{1;2;3;4;5}))))+(IF(COUNT(U93,W93,AB93,AC93,AE93,AK93)&lt;5,SUM(U93,W93,AB93,AC93,AE93,AK93),SUM(LARGE((U93,W93,AB93,AC93,AE93,AK93),{1;2;3;4;5}))))+T93),0)</f>
        <v>0</v>
      </c>
      <c r="P93" s="886" t="str">
        <f t="shared" ca="1" si="36"/>
        <v>115,0</v>
      </c>
      <c r="Q93" s="890">
        <f t="shared" si="37"/>
        <v>154</v>
      </c>
      <c r="R93" s="886" t="str">
        <f t="shared" ca="1" si="38"/>
        <v>0115,0-154</v>
      </c>
      <c r="S93" s="889">
        <f t="shared" ca="1" si="39"/>
        <v>109</v>
      </c>
      <c r="T93" s="847">
        <v>115</v>
      </c>
      <c r="U93" s="75" t="str">
        <f>IFERROR(INDEX('1'!C$300:C$400,MATCH("*"&amp;H93&amp;"*",'1'!B$300:B$400,0)),"  ")</f>
        <v xml:space="preserve">  </v>
      </c>
      <c r="V93" s="199" t="str">
        <f>IFERROR(INDEX('2'!C$300:C$400,MATCH("*"&amp;H93&amp;"*",'2'!B$300:B$400,0)),"  ")</f>
        <v xml:space="preserve">  </v>
      </c>
      <c r="W93" s="199" t="str">
        <f ca="1">IF(I93="",IFERROR(INDEX('3M'!C$300:C$400,MATCH("*"&amp;H93&amp;"*",'3M'!B$300:B$400,0)),"  "),IFERROR(INDEX('3N'!D$300:D$400,MATCH("*"&amp;H93&amp;"*",'3N'!B$300:B$400,0)),"  "))</f>
        <v xml:space="preserve">  </v>
      </c>
      <c r="X93" s="908" t="str">
        <f ca="1">IFERROR(INDEX('3M'!C$300:C$400,MATCH("*"&amp;H93&amp;"*",'3M'!B$300:B$400,0)),"  ")</f>
        <v xml:space="preserve">  </v>
      </c>
      <c r="Y93" s="907" t="str">
        <f ca="1">IFERROR(INDEX('3N'!C$300:C$400,MATCH("*"&amp;H93&amp;"*",'3N'!B$300:B$400,0)),"  ")</f>
        <v xml:space="preserve">  </v>
      </c>
      <c r="Z93" s="440"/>
      <c r="AA93" s="75" t="str">
        <f>IFERROR(INDEX('4'!C$300:C$400,MATCH("*"&amp;H93&amp;"*",'4'!B$300:B$400,0)),"  ")</f>
        <v xml:space="preserve">  </v>
      </c>
      <c r="AB93" s="75" t="str">
        <f>IFERROR(INDEX('5'!C$300:C$400,MATCH("*"&amp;H93&amp;"*",'5'!B$300:B$400,0)),"  ")</f>
        <v xml:space="preserve">  </v>
      </c>
      <c r="AC93" s="75" t="str">
        <f>IFERROR(INDEX('6'!C$300:C$400,MATCH("*"&amp;H93&amp;"*",'6'!B$300:B$400,0)),"  ")</f>
        <v xml:space="preserve">  </v>
      </c>
      <c r="AD93" s="75" t="str">
        <f>IFERROR(INDEX('7'!C$300:C$400,MATCH("*"&amp;H93&amp;"*",'7'!B$300:B$400,0)),"  ")</f>
        <v xml:space="preserve">  </v>
      </c>
      <c r="AE93" s="75" t="str">
        <f>IF(I93="",IFERROR(INDEX('8M'!C$300:C$400,MATCH("*"&amp;H93&amp;"*",'8M'!B$300:B$400,0)),"  "),IFERROR(INDEX('8N'!D$300:D$400,MATCH("*"&amp;H93&amp;"*",'8N'!B$300:B$400,0)),"  "))</f>
        <v xml:space="preserve">  </v>
      </c>
      <c r="AF93" s="908" t="str">
        <f>IFERROR(INDEX('8M'!C$300:C$400,MATCH("*"&amp;H93&amp;"*",'8M'!B$300:B$400,0)),"  ")</f>
        <v xml:space="preserve">  </v>
      </c>
      <c r="AG93" s="907" t="str">
        <f>IFERROR(INDEX('8N'!C$300:C$400,MATCH("*"&amp;H93&amp;"*",'8N'!B$300:B$400,0)),"  ")</f>
        <v xml:space="preserve">  </v>
      </c>
      <c r="AH93" s="440"/>
      <c r="AI93" s="75" t="str">
        <f>IFERROR(INDEX('9'!C$300:C$400,MATCH("*"&amp;H93&amp;"*",'9'!B$300:B$400,0)),"  ")</f>
        <v xml:space="preserve">  </v>
      </c>
      <c r="AJ93" s="830" t="str">
        <f>IFERROR(INDEX('10'!C$300:C$400,MATCH("*"&amp;H93&amp;"*",'10'!B$300:B$400,0)),"  ")</f>
        <v xml:space="preserve">  </v>
      </c>
      <c r="AK93" s="75" t="str">
        <f>IFERROR(INDEX('11'!C$300:C$400,MATCH("*"&amp;H93&amp;"*",'11'!B$300:B$400,0)),"  ")</f>
        <v xml:space="preserve">  </v>
      </c>
      <c r="AL93" s="75" t="str">
        <f>IFERROR(INDEX('12'!C$300:C$400,MATCH("*"&amp;H93&amp;"*",'12'!B$300:B$400,0)),"  ")</f>
        <v xml:space="preserve">  </v>
      </c>
      <c r="AM93" s="26">
        <f t="shared" ca="1" si="40"/>
        <v>0</v>
      </c>
      <c r="AN93" s="579">
        <f ca="1">COUNTIF(V93,"&gt;=97")+COUNTIF(AA93,"&gt;=97")+COUNTIF(AD93,"&gt;=97")+COUNTIF(AI93,"&gt;=97")+COUNTIF(AJ93,"&gt;=97")+COUNTIF(AL93,"&gt;=97")+COUNTIF(U93,"&gt;=146")+COUNTIF(W93,"&gt;=146")+COUNTIF(AB93,"&gt;=146")+COUNTIF(AC93,"&gt;=146")+COUNTIF(AE93,"&gt;=146")+COUNTIF(AK93,"&gt;=146")+IF((I93="n"),(COUNTIF(W93,"=83")+COUNTIF(W93,"=93")+COUNTIF(W93,"=105")+COUNTIF(AE93,"=83")+COUNTIF(AE93,"=93")+COUNTIF(AE93,"=105")))+IF((J93="j"),(COUNTIF(AE93,"=33")+COUNTIF(AE93,"=42")+COUNTIF(AE93,"=53")+COUNTIF(V93,"=33")+COUNTIF(V93,"=42")+COUNTIF(V93,"=53")))</f>
        <v>0</v>
      </c>
      <c r="AO93" s="580">
        <f t="shared" ca="1" si="42"/>
        <v>0</v>
      </c>
      <c r="AP93" s="27">
        <f t="shared" ca="1" si="43"/>
        <v>0</v>
      </c>
      <c r="AQ93" s="933">
        <f t="shared" si="46"/>
        <v>2.0000000000000001E-4</v>
      </c>
      <c r="AR93" s="933">
        <f t="shared" ca="1" si="47"/>
        <v>1E-4</v>
      </c>
    </row>
    <row r="94" spans="1:44" x14ac:dyDescent="0.2">
      <c r="A94" s="851">
        <f t="shared" ca="1" si="31"/>
        <v>61</v>
      </c>
      <c r="B94" s="77">
        <f t="shared" ca="1" si="32"/>
        <v>10110</v>
      </c>
      <c r="C94" s="853" t="str">
        <f t="shared" ca="1" si="44"/>
        <v/>
      </c>
      <c r="D94" s="76">
        <f t="shared" si="33"/>
        <v>0</v>
      </c>
      <c r="E94" s="855" t="str">
        <f t="shared" ca="1" si="45"/>
        <v/>
      </c>
      <c r="F94" s="899">
        <f t="shared" si="34"/>
        <v>0</v>
      </c>
      <c r="G94" s="897">
        <f t="shared" ca="1" si="35"/>
        <v>86</v>
      </c>
      <c r="H94" s="177" t="s">
        <v>1068</v>
      </c>
      <c r="I94" s="38"/>
      <c r="J94" s="589"/>
      <c r="K94" s="586" t="s">
        <v>718</v>
      </c>
      <c r="L94" s="587"/>
      <c r="M94" s="857">
        <f ca="1">(IF(COUNT(V94,AA94,AD94,AI94,AJ94,AL94)&lt;5,SUM(V94,AA94,AD94,AI94,AJ94,AL94),SUM(LARGE((V94,AA94,AD94,AI94,AJ94,AL94),{1;2;3;4;5}))))+(IF(COUNT(U94,W94,AB94,AC94,AE94,AK94)&lt;5,SUM(U94,W94,AB94,AC94,AE94,AK94),SUM(LARGE((U94,W94,AB94,AC94,AE94,AK94),{1;2;3;4;5}))))+T94</f>
        <v>110</v>
      </c>
      <c r="N94" s="862">
        <f>IF(I94="n",((IF(COUNT(V94,AA94,AD94,AI94,AJ94,AL94)&lt;5,SUM(V94,AA94,AD94,AI94,AJ94,AL94),SUM(LARGE((V94,AA94,AD94,AI94,AJ94,AL94),{1;2;3;4;5}))))+(IF(COUNT(U94,Y94,AB94,AC94,AG94,AK94)&lt;5,SUM(U94,Y94,AB94,AC94,AG94,AK94),SUM(LARGE((U94,Y94,AB94,AC94,AG94,AK94),{1;2;3;4;5}))))+T94),0)</f>
        <v>0</v>
      </c>
      <c r="O94" s="863">
        <f>IF(J94="j",((IF(COUNT(V94,AA94,AD94,AI94,AJ94,AL94)&lt;5,SUM(V94,AA94,AD94,AI94,AJ94,AL94),SUM(LARGE((V94,AA94,AD94,AI94,AJ94,AL94),{1;2;3;4;5}))))+(IF(COUNT(U94,W94,AB94,AC94,AE94,AK94)&lt;5,SUM(U94,W94,AB94,AC94,AE94,AK94),SUM(LARGE((U94,W94,AB94,AC94,AE94,AK94),{1;2;3;4;5}))))+T94),0)</f>
        <v>0</v>
      </c>
      <c r="P94" s="886" t="str">
        <f t="shared" ca="1" si="36"/>
        <v>110,0</v>
      </c>
      <c r="Q94" s="890">
        <f t="shared" si="37"/>
        <v>58</v>
      </c>
      <c r="R94" s="886" t="str">
        <f t="shared" ca="1" si="38"/>
        <v>0110,0-058</v>
      </c>
      <c r="S94" s="889">
        <f t="shared" ca="1" si="39"/>
        <v>108</v>
      </c>
      <c r="T94" s="847"/>
      <c r="U94" s="75" t="str">
        <f>IFERROR(INDEX('1'!C$300:C$400,MATCH("*"&amp;H94&amp;"*",'1'!B$300:B$400,0)),"  ")</f>
        <v xml:space="preserve">  </v>
      </c>
      <c r="V94" s="199" t="str">
        <f>IFERROR(INDEX('2'!C$300:C$400,MATCH("*"&amp;H94&amp;"*",'2'!B$300:B$400,0)),"  ")</f>
        <v xml:space="preserve">  </v>
      </c>
      <c r="W94" s="199" t="str">
        <f ca="1">IF(I94="",IFERROR(INDEX('3M'!C$300:C$400,MATCH("*"&amp;H94&amp;"*",'3M'!B$300:B$400,0)),"  "),IFERROR(INDEX('3N'!D$300:D$400,MATCH("*"&amp;H94&amp;"*",'3N'!B$300:B$400,0)),"  "))</f>
        <v xml:space="preserve">  </v>
      </c>
      <c r="X94" s="908" t="str">
        <f ca="1">IFERROR(INDEX('3M'!C$300:C$400,MATCH("*"&amp;H94&amp;"*",'3M'!B$300:B$400,0)),"  ")</f>
        <v xml:space="preserve">  </v>
      </c>
      <c r="Y94" s="907" t="str">
        <f ca="1">IFERROR(INDEX('3N'!C$300:C$400,MATCH("*"&amp;H94&amp;"*",'3N'!B$300:B$400,0)),"  ")</f>
        <v xml:space="preserve">  </v>
      </c>
      <c r="Z94" s="440"/>
      <c r="AA94" s="75" t="str">
        <f>IFERROR(INDEX('4'!C$300:C$400,MATCH("*"&amp;H94&amp;"*",'4'!B$300:B$400,0)),"  ")</f>
        <v xml:space="preserve">  </v>
      </c>
      <c r="AB94" s="75">
        <f>IFERROR(INDEX('5'!C$300:C$400,MATCH("*"&amp;H94&amp;"*",'5'!B$300:B$400,0)),"  ")</f>
        <v>29</v>
      </c>
      <c r="AC94" s="75" t="str">
        <f>IFERROR(INDEX('6'!C$300:C$400,MATCH("*"&amp;H94&amp;"*",'6'!B$300:B$400,0)),"  ")</f>
        <v xml:space="preserve">  </v>
      </c>
      <c r="AD94" s="75">
        <f>IFERROR(INDEX('7'!C$300:C$400,MATCH("*"&amp;H94&amp;"*",'7'!B$300:B$400,0)),"  ")</f>
        <v>52</v>
      </c>
      <c r="AE94" s="75">
        <f>IF(I94="",IFERROR(INDEX('8M'!C$300:C$400,MATCH("*"&amp;H94&amp;"*",'8M'!B$300:B$400,0)),"  "),IFERROR(INDEX('8N'!D$300:D$400,MATCH("*"&amp;H94&amp;"*",'8N'!B$300:B$400,0)),"  "))</f>
        <v>29</v>
      </c>
      <c r="AF94" s="908">
        <f>IFERROR(INDEX('8M'!C$300:C$400,MATCH("*"&amp;H94&amp;"*",'8M'!B$300:B$400,0)),"  ")</f>
        <v>29</v>
      </c>
      <c r="AG94" s="907" t="str">
        <f>IFERROR(INDEX('8N'!C$300:C$400,MATCH("*"&amp;H94&amp;"*",'8N'!B$300:B$400,0)),"  ")</f>
        <v xml:space="preserve">  </v>
      </c>
      <c r="AH94" s="440"/>
      <c r="AI94" s="75" t="str">
        <f>IFERROR(INDEX('9'!C$300:C$400,MATCH("*"&amp;H94&amp;"*",'9'!B$300:B$400,0)),"  ")</f>
        <v xml:space="preserve">  </v>
      </c>
      <c r="AJ94" s="830" t="str">
        <f>IFERROR(INDEX('10'!C$300:C$400,MATCH("*"&amp;H94&amp;"*",'10'!B$300:B$400,0)),"  ")</f>
        <v xml:space="preserve">  </v>
      </c>
      <c r="AK94" s="75" t="str">
        <f>IFERROR(INDEX('11'!C$300:C$400,MATCH("*"&amp;H94&amp;"*",'11'!B$300:B$400,0)),"  ")</f>
        <v xml:space="preserve">  </v>
      </c>
      <c r="AL94" s="75" t="str">
        <f>IFERROR(INDEX('12'!C$300:C$400,MATCH("*"&amp;H94&amp;"*",'12'!B$300:B$400,0)),"  ")</f>
        <v xml:space="preserve">  </v>
      </c>
      <c r="AM94" s="26">
        <f t="shared" ca="1" si="40"/>
        <v>3</v>
      </c>
      <c r="AN94" s="579">
        <f t="shared" ref="AN94:AN125" ca="1" si="48">COUNTIF(V94,"&gt;=97")+COUNTIF(AA94,"&gt;=97")+COUNTIF(AI94,"&gt;=97")+COUNTIF(AJ94,"&gt;=97")+COUNTIF(AD94,"&gt;=97")+COUNTIF(AL94,"&gt;=97")+COUNTIF(U94,"&gt;=146")+COUNTIF(AE94,"&gt;=146")+COUNTIF(W94,"&gt;=146")+COUNTIF(AB94,"&gt;=146")+COUNTIF(AC94,"&gt;=146")+COUNTIF(AK94,"&gt;=146")+IF((I94="n"),(COUNTIF(AE94,"=83")+COUNTIF(AE94,"=93")+COUNTIF(AE94,"=105")+COUNTIF(W94,"=83")+COUNTIF(W94,"=93")+COUNTIF(W94,"=105")))+IF((J94="j"),(COUNTIF(AE94,"=33")+COUNTIF(AE94,"=42")+COUNTIF(AE94,"=53")+COUNTIF(W94,"=33")+COUNTIF(W94,"=42")+COUNTIF(W94,"=53")))</f>
        <v>0</v>
      </c>
      <c r="AO94" s="580">
        <f t="shared" ca="1" si="42"/>
        <v>0</v>
      </c>
      <c r="AP94" s="27">
        <f t="shared" ca="1" si="43"/>
        <v>0</v>
      </c>
      <c r="AQ94" s="933">
        <f t="shared" si="46"/>
        <v>2.0000000000000001E-4</v>
      </c>
      <c r="AR94" s="933">
        <f t="shared" ca="1" si="47"/>
        <v>1E-4</v>
      </c>
    </row>
    <row r="95" spans="1:44" x14ac:dyDescent="0.2">
      <c r="A95" s="851">
        <f t="shared" ca="1" si="31"/>
        <v>62</v>
      </c>
      <c r="B95" s="77">
        <f t="shared" ca="1" si="32"/>
        <v>10105</v>
      </c>
      <c r="C95" s="853" t="str">
        <f t="shared" ca="1" si="44"/>
        <v/>
      </c>
      <c r="D95" s="76">
        <f t="shared" si="33"/>
        <v>0</v>
      </c>
      <c r="E95" s="855" t="str">
        <f t="shared" ca="1" si="45"/>
        <v/>
      </c>
      <c r="F95" s="899">
        <f t="shared" si="34"/>
        <v>0</v>
      </c>
      <c r="G95" s="897">
        <f t="shared" ca="1" si="35"/>
        <v>87</v>
      </c>
      <c r="H95" s="133" t="s">
        <v>620</v>
      </c>
      <c r="I95" s="38"/>
      <c r="J95" s="585"/>
      <c r="K95" s="586"/>
      <c r="L95" s="587"/>
      <c r="M95" s="857">
        <f ca="1">(IF(COUNT(V95,AA95,AD95,AI95,AJ95,AL95)&lt;5,SUM(V95,AA95,AD95,AI95,AJ95,AL95),SUM(LARGE((V95,AA95,AD95,AI95,AJ95,AL95),{1;2;3;4;5}))))+(IF(COUNT(U95,W95,AB95,AC95,AE95,AK95)&lt;5,SUM(U95,W95,AB95,AC95,AE95,AK95),SUM(LARGE((U95,W95,AB95,AC95,AE95,AK95),{1;2;3;4;5}))))+T95</f>
        <v>105</v>
      </c>
      <c r="N95" s="862">
        <f>IF(I95="n",((IF(COUNT(V95,AA95,AD95,AI95,AJ95,AL95)&lt;5,SUM(V95,AA95,AD95,AI95,AJ95,AL95),SUM(LARGE((V95,AA95,AD95,AI95,AJ95,AL95),{1;2;3;4;5}))))+(IF(COUNT(U95,Y95,AB95,AC95,AG95,AK95)&lt;5,SUM(U95,Y95,AB95,AC95,AG95,AK95),SUM(LARGE((U95,Y95,AB95,AC95,AG95,AK95),{1;2;3;4;5}))))+T95),0)</f>
        <v>0</v>
      </c>
      <c r="O95" s="863">
        <f>IF(J95="j",((IF(COUNT(V95,AA95,AD95,AI95,AJ95,AL95)&lt;5,SUM(V95,AA95,AD95,AI95,AJ95,AL95),SUM(LARGE((V95,AA95,AD95,AI95,AJ95,AL95),{1;2;3;4;5}))))+(IF(COUNT(U95,W95,AB95,AC95,AE95,AK95)&lt;5,SUM(U95,W95,AB95,AC95,AE95,AK95),SUM(LARGE((U95,W95,AB95,AC95,AE95,AK95),{1;2;3;4;5}))))+T95),0)</f>
        <v>0</v>
      </c>
      <c r="P95" s="886" t="str">
        <f t="shared" ca="1" si="36"/>
        <v>105,0</v>
      </c>
      <c r="Q95" s="890">
        <f t="shared" si="37"/>
        <v>134</v>
      </c>
      <c r="R95" s="886" t="str">
        <f t="shared" ca="1" si="38"/>
        <v>0105,0-134</v>
      </c>
      <c r="S95" s="889">
        <f t="shared" ca="1" si="39"/>
        <v>107</v>
      </c>
      <c r="T95" s="847"/>
      <c r="U95" s="75" t="str">
        <f>IFERROR(INDEX('1'!C$300:C$400,MATCH("*"&amp;H95&amp;"*",'1'!B$300:B$400,0)),"  ")</f>
        <v xml:space="preserve">  </v>
      </c>
      <c r="V95" s="199" t="str">
        <f>IFERROR(INDEX('2'!C$300:C$400,MATCH("*"&amp;H95&amp;"*",'2'!B$300:B$400,0)),"  ")</f>
        <v xml:space="preserve">  </v>
      </c>
      <c r="W95" s="199" t="str">
        <f ca="1">IF(I95="",IFERROR(INDEX('3M'!C$300:C$400,MATCH("*"&amp;H95&amp;"*",'3M'!B$300:B$400,0)),"  "),IFERROR(INDEX('3N'!D$300:D$400,MATCH("*"&amp;H95&amp;"*",'3N'!B$300:B$400,0)),"  "))</f>
        <v xml:space="preserve">  </v>
      </c>
      <c r="X95" s="908" t="str">
        <f ca="1">IFERROR(INDEX('3M'!C$300:C$400,MATCH("*"&amp;H95&amp;"*",'3M'!B$300:B$400,0)),"  ")</f>
        <v xml:space="preserve">  </v>
      </c>
      <c r="Y95" s="907" t="str">
        <f ca="1">IFERROR(INDEX('3N'!C$300:C$400,MATCH("*"&amp;H95&amp;"*",'3N'!B$300:B$400,0)),"  ")</f>
        <v xml:space="preserve">  </v>
      </c>
      <c r="Z95" s="440"/>
      <c r="AA95" s="75" t="str">
        <f>IFERROR(INDEX('4'!C$300:C$400,MATCH("*"&amp;H95&amp;"*",'4'!B$300:B$400,0)),"  ")</f>
        <v xml:space="preserve">  </v>
      </c>
      <c r="AB95" s="75" t="str">
        <f>IFERROR(INDEX('5'!C$300:C$400,MATCH("*"&amp;H95&amp;"*",'5'!B$300:B$400,0)),"  ")</f>
        <v xml:space="preserve">  </v>
      </c>
      <c r="AC95" s="75" t="str">
        <f>IFERROR(INDEX('6'!C$300:C$400,MATCH("*"&amp;H95&amp;"*",'6'!B$300:B$400,0)),"  ")</f>
        <v xml:space="preserve">  </v>
      </c>
      <c r="AD95" s="75" t="str">
        <f>IFERROR(INDEX('7'!C$300:C$400,MATCH("*"&amp;H95&amp;"*",'7'!B$300:B$400,0)),"  ")</f>
        <v xml:space="preserve">  </v>
      </c>
      <c r="AE95" s="75" t="str">
        <f>IF(I95="",IFERROR(INDEX('8M'!C$300:C$400,MATCH("*"&amp;H95&amp;"*",'8M'!B$300:B$400,0)),"  "),IFERROR(INDEX('8N'!D$300:D$400,MATCH("*"&amp;H95&amp;"*",'8N'!B$300:B$400,0)),"  "))</f>
        <v xml:space="preserve">  </v>
      </c>
      <c r="AF95" s="908" t="str">
        <f>IFERROR(INDEX('8M'!C$300:C$400,MATCH("*"&amp;H95&amp;"*",'8M'!B$300:B$400,0)),"  ")</f>
        <v xml:space="preserve">  </v>
      </c>
      <c r="AG95" s="907" t="str">
        <f>IFERROR(INDEX('8N'!C$300:C$400,MATCH("*"&amp;H95&amp;"*",'8N'!B$300:B$400,0)),"  ")</f>
        <v xml:space="preserve">  </v>
      </c>
      <c r="AH95" s="440"/>
      <c r="AI95" s="75" t="str">
        <f>IFERROR(INDEX('9'!C$300:C$400,MATCH("*"&amp;H95&amp;"*",'9'!B$300:B$400,0)),"  ")</f>
        <v xml:space="preserve">  </v>
      </c>
      <c r="AJ95" s="830">
        <f>IFERROR(INDEX('10'!C$300:C$400,MATCH("*"&amp;H95&amp;"*",'10'!B$300:B$400,0)),"  ")</f>
        <v>105</v>
      </c>
      <c r="AK95" s="75" t="str">
        <f>IFERROR(INDEX('11'!C$300:C$400,MATCH("*"&amp;H95&amp;"*",'11'!B$300:B$400,0)),"  ")</f>
        <v xml:space="preserve">  </v>
      </c>
      <c r="AL95" s="75" t="str">
        <f>IFERROR(INDEX('12'!C$300:C$400,MATCH("*"&amp;H95&amp;"*",'12'!B$300:B$400,0)),"  ")</f>
        <v xml:space="preserve">  </v>
      </c>
      <c r="AM95" s="26">
        <f t="shared" ca="1" si="40"/>
        <v>1</v>
      </c>
      <c r="AN95" s="579">
        <f t="shared" ca="1" si="48"/>
        <v>1</v>
      </c>
      <c r="AO95" s="580">
        <f t="shared" ca="1" si="42"/>
        <v>0</v>
      </c>
      <c r="AP95" s="27">
        <f t="shared" ca="1" si="43"/>
        <v>0</v>
      </c>
      <c r="AQ95" s="933">
        <f t="shared" si="46"/>
        <v>2.0000000000000001E-4</v>
      </c>
      <c r="AR95" s="933">
        <f t="shared" ca="1" si="47"/>
        <v>1E-4</v>
      </c>
    </row>
    <row r="96" spans="1:44" x14ac:dyDescent="0.2">
      <c r="A96" s="851">
        <f t="shared" ca="1" si="31"/>
        <v>62</v>
      </c>
      <c r="B96" s="77">
        <f t="shared" ca="1" si="32"/>
        <v>10105</v>
      </c>
      <c r="C96" s="853" t="str">
        <f t="shared" ca="1" si="44"/>
        <v/>
      </c>
      <c r="D96" s="76">
        <f t="shared" si="33"/>
        <v>0</v>
      </c>
      <c r="E96" s="855" t="str">
        <f t="shared" ca="1" si="45"/>
        <v/>
      </c>
      <c r="F96" s="899">
        <f t="shared" si="34"/>
        <v>0</v>
      </c>
      <c r="G96" s="897">
        <f t="shared" ca="1" si="35"/>
        <v>87</v>
      </c>
      <c r="H96" s="265" t="s">
        <v>788</v>
      </c>
      <c r="I96" s="38"/>
      <c r="J96" s="585"/>
      <c r="K96" s="586" t="s">
        <v>718</v>
      </c>
      <c r="L96" s="587"/>
      <c r="M96" s="857">
        <f ca="1">(IF(COUNT(V96,AA96,AD96,AI96,AJ96,AL96)&lt;5,SUM(V96,AA96,AD96,AI96,AJ96,AL96),SUM(LARGE((V96,AA96,AD96,AI96,AJ96,AL96),{1;2;3;4;5}))))+(IF(COUNT(U96,W96,AB96,AC96,AE96,AK96)&lt;5,SUM(U96,W96,AB96,AC96,AE96,AK96),SUM(LARGE((U96,W96,AB96,AC96,AE96,AK96),{1;2;3;4;5}))))+T96</f>
        <v>105</v>
      </c>
      <c r="N96" s="862">
        <f>IF(I96="n",((IF(COUNT(V96,AA96,AD96,AI96,AJ96,AL96)&lt;5,SUM(V96,AA96,AD96,AI96,AJ96,AL96),SUM(LARGE((V96,AA96,AD96,AI96,AJ96,AL96),{1;2;3;4;5}))))+(IF(COUNT(U96,Y96,AB96,AC96,AG96,AK96)&lt;5,SUM(U96,Y96,AB96,AC96,AG96,AK96),SUM(LARGE((U96,Y96,AB96,AC96,AG96,AK96),{1;2;3;4;5}))))+T96),0)</f>
        <v>0</v>
      </c>
      <c r="O96" s="863">
        <f>IF(J96="j",((IF(COUNT(V96,AA96,AD96,AI96,AJ96,AL96)&lt;5,SUM(V96,AA96,AD96,AI96,AJ96,AL96),SUM(LARGE((V96,AA96,AD96,AI96,AJ96,AL96),{1;2;3;4;5}))))+(IF(COUNT(U96,W96,AB96,AC96,AE96,AK96)&lt;5,SUM(U96,W96,AB96,AC96,AE96,AK96),SUM(LARGE((U96,W96,AB96,AC96,AE96,AK96),{1;2;3;4;5}))))+T96),0)</f>
        <v>0</v>
      </c>
      <c r="P96" s="886" t="str">
        <f t="shared" ca="1" si="36"/>
        <v>105,0</v>
      </c>
      <c r="Q96" s="890">
        <f t="shared" si="37"/>
        <v>101</v>
      </c>
      <c r="R96" s="886" t="str">
        <f t="shared" ca="1" si="38"/>
        <v>0105,0-101</v>
      </c>
      <c r="S96" s="889">
        <f t="shared" ca="1" si="39"/>
        <v>106</v>
      </c>
      <c r="T96" s="847"/>
      <c r="U96" s="75" t="str">
        <f>IFERROR(INDEX('1'!C$300:C$400,MATCH("*"&amp;H96&amp;"*",'1'!B$300:B$400,0)),"  ")</f>
        <v xml:space="preserve">  </v>
      </c>
      <c r="V96" s="199">
        <f>IFERROR(INDEX('2'!C$300:C$400,MATCH("*"&amp;H96&amp;"*",'2'!B$300:B$400,0)),"  ")</f>
        <v>56</v>
      </c>
      <c r="W96" s="199" t="str">
        <f ca="1">IF(I96="",IFERROR(INDEX('3M'!C$300:C$400,MATCH("*"&amp;H96&amp;"*",'3M'!B$300:B$400,0)),"  "),IFERROR(INDEX('3N'!D$300:D$400,MATCH("*"&amp;H96&amp;"*",'3N'!B$300:B$400,0)),"  "))</f>
        <v xml:space="preserve">  </v>
      </c>
      <c r="X96" s="908" t="str">
        <f ca="1">IFERROR(INDEX('3M'!C$300:C$400,MATCH("*"&amp;H96&amp;"*",'3M'!B$300:B$400,0)),"  ")</f>
        <v xml:space="preserve">  </v>
      </c>
      <c r="Y96" s="907" t="str">
        <f ca="1">IFERROR(INDEX('3N'!C$300:C$400,MATCH("*"&amp;H96&amp;"*",'3N'!B$300:B$400,0)),"  ")</f>
        <v xml:space="preserve">  </v>
      </c>
      <c r="Z96" s="440"/>
      <c r="AA96" s="75" t="str">
        <f>IFERROR(INDEX('4'!C$300:C$400,MATCH("*"&amp;H96&amp;"*",'4'!B$300:B$400,0)),"  ")</f>
        <v xml:space="preserve">  </v>
      </c>
      <c r="AB96" s="75" t="str">
        <f>IFERROR(INDEX('5'!C$300:C$400,MATCH("*"&amp;H96&amp;"*",'5'!B$300:B$400,0)),"  ")</f>
        <v xml:space="preserve">  </v>
      </c>
      <c r="AC96" s="75" t="str">
        <f>IFERROR(INDEX('6'!C$300:C$400,MATCH("*"&amp;H96&amp;"*",'6'!B$300:B$400,0)),"  ")</f>
        <v xml:space="preserve">  </v>
      </c>
      <c r="AD96" s="75">
        <f>IFERROR(INDEX('7'!C$300:C$400,MATCH("*"&amp;H96&amp;"*",'7'!B$300:B$400,0)),"  ")</f>
        <v>49</v>
      </c>
      <c r="AE96" s="75" t="str">
        <f>IF(I96="",IFERROR(INDEX('8M'!C$300:C$400,MATCH("*"&amp;H96&amp;"*",'8M'!B$300:B$400,0)),"  "),IFERROR(INDEX('8N'!D$300:D$400,MATCH("*"&amp;H96&amp;"*",'8N'!B$300:B$400,0)),"  "))</f>
        <v xml:space="preserve">  </v>
      </c>
      <c r="AF96" s="908" t="str">
        <f>IFERROR(INDEX('8M'!C$300:C$400,MATCH("*"&amp;H96&amp;"*",'8M'!B$300:B$400,0)),"  ")</f>
        <v xml:space="preserve">  </v>
      </c>
      <c r="AG96" s="907" t="str">
        <f>IFERROR(INDEX('8N'!C$300:C$400,MATCH("*"&amp;H96&amp;"*",'8N'!B$300:B$400,0)),"  ")</f>
        <v xml:space="preserve">  </v>
      </c>
      <c r="AH96" s="440"/>
      <c r="AI96" s="75" t="str">
        <f>IFERROR(INDEX('9'!C$300:C$400,MATCH("*"&amp;H96&amp;"*",'9'!B$300:B$400,0)),"  ")</f>
        <v xml:space="preserve">  </v>
      </c>
      <c r="AJ96" s="830" t="str">
        <f>IFERROR(INDEX('10'!C$300:C$400,MATCH("*"&amp;H96&amp;"*",'10'!B$300:B$400,0)),"  ")</f>
        <v xml:space="preserve">  </v>
      </c>
      <c r="AK96" s="75" t="str">
        <f>IFERROR(INDEX('11'!C$300:C$400,MATCH("*"&amp;H96&amp;"*",'11'!B$300:B$400,0)),"  ")</f>
        <v xml:space="preserve">  </v>
      </c>
      <c r="AL96" s="75" t="str">
        <f>IFERROR(INDEX('12'!C$300:C$400,MATCH("*"&amp;H96&amp;"*",'12'!B$300:B$400,0)),"  ")</f>
        <v xml:space="preserve">  </v>
      </c>
      <c r="AM96" s="26">
        <f t="shared" ca="1" si="40"/>
        <v>2</v>
      </c>
      <c r="AN96" s="579">
        <f t="shared" ca="1" si="48"/>
        <v>0</v>
      </c>
      <c r="AO96" s="580">
        <f t="shared" ca="1" si="42"/>
        <v>0</v>
      </c>
      <c r="AP96" s="27">
        <f t="shared" ca="1" si="43"/>
        <v>0</v>
      </c>
      <c r="AQ96" s="933">
        <f t="shared" si="46"/>
        <v>4.0000000000000002E-4</v>
      </c>
      <c r="AR96" s="933">
        <f t="shared" ca="1" si="47"/>
        <v>1E-4</v>
      </c>
    </row>
    <row r="97" spans="1:44" x14ac:dyDescent="0.2">
      <c r="A97" s="851">
        <f t="shared" ca="1" si="31"/>
        <v>64</v>
      </c>
      <c r="B97" s="77">
        <f t="shared" ca="1" si="32"/>
        <v>10104</v>
      </c>
      <c r="C97" s="853" t="str">
        <f t="shared" ca="1" si="44"/>
        <v/>
      </c>
      <c r="D97" s="76">
        <f t="shared" si="33"/>
        <v>0</v>
      </c>
      <c r="E97" s="855" t="str">
        <f t="shared" ca="1" si="45"/>
        <v/>
      </c>
      <c r="F97" s="899">
        <f t="shared" si="34"/>
        <v>0</v>
      </c>
      <c r="G97" s="897">
        <f t="shared" ca="1" si="35"/>
        <v>89</v>
      </c>
      <c r="H97" s="139" t="s">
        <v>164</v>
      </c>
      <c r="I97" s="38"/>
      <c r="J97" s="585"/>
      <c r="K97" s="586"/>
      <c r="L97" s="587"/>
      <c r="M97" s="857">
        <f ca="1">(IF(COUNT(V97,AA97,AD97,AI97,AJ97,AL97)&lt;5,SUM(V97,AA97,AD97,AI97,AJ97,AL97),SUM(LARGE((V97,AA97,AD97,AI97,AJ97,AL97),{1;2;3;4;5}))))+(IF(COUNT(U97,W97,AB97,AC97,AE97,AK97)&lt;5,SUM(U97,W97,AB97,AC97,AE97,AK97),SUM(LARGE((U97,W97,AB97,AC97,AE97,AK97),{1;2;3;4;5}))))+T97</f>
        <v>104</v>
      </c>
      <c r="N97" s="862">
        <f>IF(I97="n",((IF(COUNT(V97,AA97,AD97,AI97,AJ97,AL97)&lt;5,SUM(V97,AA97,AD97,AI97,AJ97,AL97),SUM(LARGE((V97,AA97,AD97,AI97,AJ97,AL97),{1;2;3;4;5}))))+(IF(COUNT(U97,Y97,AB97,AC97,AG97,AK97)&lt;5,SUM(U97,Y97,AB97,AC97,AG97,AK97),SUM(LARGE((U97,Y97,AB97,AC97,AG97,AK97),{1;2;3;4;5}))))+T97),0)</f>
        <v>0</v>
      </c>
      <c r="O97" s="863">
        <f>IF(J97="j",((IF(COUNT(V97,AA97,AD97,AI97,AJ97,AL97)&lt;5,SUM(V97,AA97,AD97,AI97,AJ97,AL97),SUM(LARGE((V97,AA97,AD97,AI97,AJ97,AL97),{1;2;3;4;5}))))+(IF(COUNT(U97,W97,AB97,AC97,AE97,AK97)&lt;5,SUM(U97,W97,AB97,AC97,AE97,AK97),SUM(LARGE((U97,W97,AB97,AC97,AE97,AK97),{1;2;3;4;5}))))+T97),0)</f>
        <v>0</v>
      </c>
      <c r="P97" s="886" t="str">
        <f t="shared" ca="1" si="36"/>
        <v>104,0</v>
      </c>
      <c r="Q97" s="890">
        <f t="shared" si="37"/>
        <v>104</v>
      </c>
      <c r="R97" s="886" t="str">
        <f t="shared" ca="1" si="38"/>
        <v>0104,0-104</v>
      </c>
      <c r="S97" s="889">
        <f t="shared" ca="1" si="39"/>
        <v>105</v>
      </c>
      <c r="T97" s="847"/>
      <c r="U97" s="75" t="str">
        <f>IFERROR(INDEX('1'!C$300:C$400,MATCH("*"&amp;H97&amp;"*",'1'!B$300:B$400,0)),"  ")</f>
        <v xml:space="preserve">  </v>
      </c>
      <c r="V97" s="199" t="str">
        <f>IFERROR(INDEX('2'!C$300:C$400,MATCH("*"&amp;H97&amp;"*",'2'!B$300:B$400,0)),"  ")</f>
        <v xml:space="preserve">  </v>
      </c>
      <c r="W97" s="199" t="str">
        <f ca="1">IF(I97="",IFERROR(INDEX('3M'!C$300:C$400,MATCH("*"&amp;H97&amp;"*",'3M'!B$300:B$400,0)),"  "),IFERROR(INDEX('3N'!D$300:D$400,MATCH("*"&amp;H97&amp;"*",'3N'!B$300:B$400,0)),"  "))</f>
        <v xml:space="preserve">  </v>
      </c>
      <c r="X97" s="908" t="str">
        <f ca="1">IFERROR(INDEX('3M'!C$300:C$400,MATCH("*"&amp;H97&amp;"*",'3M'!B$300:B$400,0)),"  ")</f>
        <v xml:space="preserve">  </v>
      </c>
      <c r="Y97" s="907" t="str">
        <f ca="1">IFERROR(INDEX('3N'!C$300:C$400,MATCH("*"&amp;H97&amp;"*",'3N'!B$300:B$400,0)),"  ")</f>
        <v xml:space="preserve">  </v>
      </c>
      <c r="Z97" s="440"/>
      <c r="AA97" s="75" t="str">
        <f>IFERROR(INDEX('4'!C$300:C$400,MATCH("*"&amp;H97&amp;"*",'4'!B$300:B$400,0)),"  ")</f>
        <v xml:space="preserve">  </v>
      </c>
      <c r="AB97" s="75" t="str">
        <f>IFERROR(INDEX('5'!C$300:C$400,MATCH("*"&amp;H97&amp;"*",'5'!B$300:B$400,0)),"  ")</f>
        <v xml:space="preserve">  </v>
      </c>
      <c r="AC97" s="75" t="str">
        <f>IFERROR(INDEX('6'!C$300:C$400,MATCH("*"&amp;H97&amp;"*",'6'!B$300:B$400,0)),"  ")</f>
        <v xml:space="preserve">  </v>
      </c>
      <c r="AD97" s="75" t="str">
        <f>IFERROR(INDEX('7'!C$300:C$400,MATCH("*"&amp;H97&amp;"*",'7'!B$300:B$400,0)),"  ")</f>
        <v xml:space="preserve">  </v>
      </c>
      <c r="AE97" s="75" t="str">
        <f>IF(I97="",IFERROR(INDEX('8M'!C$300:C$400,MATCH("*"&amp;H97&amp;"*",'8M'!B$300:B$400,0)),"  "),IFERROR(INDEX('8N'!D$300:D$400,MATCH("*"&amp;H97&amp;"*",'8N'!B$300:B$400,0)),"  "))</f>
        <v xml:space="preserve">  </v>
      </c>
      <c r="AF97" s="908" t="str">
        <f>IFERROR(INDEX('8M'!C$300:C$400,MATCH("*"&amp;H97&amp;"*",'8M'!B$300:B$400,0)),"  ")</f>
        <v xml:space="preserve">  </v>
      </c>
      <c r="AG97" s="907" t="str">
        <f>IFERROR(INDEX('8N'!C$300:C$400,MATCH("*"&amp;H97&amp;"*",'8N'!B$300:B$400,0)),"  ")</f>
        <v xml:space="preserve">  </v>
      </c>
      <c r="AH97" s="440"/>
      <c r="AI97" s="75" t="str">
        <f>IFERROR(INDEX('9'!C$300:C$400,MATCH("*"&amp;H97&amp;"*",'9'!B$300:B$400,0)),"  ")</f>
        <v xml:space="preserve">  </v>
      </c>
      <c r="AJ97" s="830" t="str">
        <f>IFERROR(INDEX('10'!C$300:C$400,MATCH("*"&amp;H97&amp;"*",'10'!B$300:B$400,0)),"  ")</f>
        <v xml:space="preserve">  </v>
      </c>
      <c r="AK97" s="75">
        <f>IFERROR(INDEX('11'!C$300:C$400,MATCH("*"&amp;H97&amp;"*",'11'!B$300:B$400,0)),"  ")</f>
        <v>104</v>
      </c>
      <c r="AL97" s="75" t="str">
        <f>IFERROR(INDEX('12'!C$300:C$400,MATCH("*"&amp;H97&amp;"*",'12'!B$300:B$400,0)),"  ")</f>
        <v xml:space="preserve">  </v>
      </c>
      <c r="AM97" s="26">
        <f t="shared" ca="1" si="40"/>
        <v>1</v>
      </c>
      <c r="AN97" s="579">
        <f t="shared" ca="1" si="48"/>
        <v>0</v>
      </c>
      <c r="AO97" s="580">
        <f t="shared" ca="1" si="42"/>
        <v>0</v>
      </c>
      <c r="AP97" s="27">
        <f t="shared" ca="1" si="43"/>
        <v>0</v>
      </c>
      <c r="AQ97" s="933">
        <f t="shared" si="46"/>
        <v>2.0000000000000001E-4</v>
      </c>
      <c r="AR97" s="933">
        <f t="shared" ca="1" si="47"/>
        <v>1E-4</v>
      </c>
    </row>
    <row r="98" spans="1:44" x14ac:dyDescent="0.2">
      <c r="A98" s="851">
        <f t="shared" ca="1" si="31"/>
        <v>65</v>
      </c>
      <c r="B98" s="77">
        <f t="shared" ca="1" si="32"/>
        <v>10100</v>
      </c>
      <c r="C98" s="853" t="str">
        <f t="shared" ca="1" si="44"/>
        <v/>
      </c>
      <c r="D98" s="76">
        <f t="shared" si="33"/>
        <v>0</v>
      </c>
      <c r="E98" s="855" t="str">
        <f t="shared" ca="1" si="45"/>
        <v/>
      </c>
      <c r="F98" s="899">
        <f t="shared" si="34"/>
        <v>0</v>
      </c>
      <c r="G98" s="897">
        <f t="shared" ca="1" si="35"/>
        <v>90</v>
      </c>
      <c r="H98" s="133" t="s">
        <v>170</v>
      </c>
      <c r="I98" s="38"/>
      <c r="J98" s="585"/>
      <c r="K98" s="586"/>
      <c r="L98" s="587"/>
      <c r="M98" s="857">
        <f ca="1">(IF(COUNT(V98,AA98,AD98,AI98,AJ98,AL98)&lt;5,SUM(V98,AA98,AD98,AI98,AJ98,AL98),SUM(LARGE((V98,AA98,AD98,AI98,AJ98,AL98),{1;2;3;4;5}))))+(IF(COUNT(U98,W98,AB98,AC98,AE98,AK98)&lt;5,SUM(U98,W98,AB98,AC98,AE98,AK98),SUM(LARGE((U98,W98,AB98,AC98,AE98,AK98),{1;2;3;4;5}))))+T98</f>
        <v>100</v>
      </c>
      <c r="N98" s="862">
        <f>IF(I98="n",((IF(COUNT(V98,AA98,AD98,AI98,AJ98,AL98)&lt;5,SUM(V98,AA98,AD98,AI98,AJ98,AL98),SUM(LARGE((V98,AA98,AD98,AI98,AJ98,AL98),{1;2;3;4;5}))))+(IF(COUNT(U98,Y98,AB98,AC98,AG98,AK98)&lt;5,SUM(U98,Y98,AB98,AC98,AG98,AK98),SUM(LARGE((U98,Y98,AB98,AC98,AG98,AK98),{1;2;3;4;5}))))+T98),0)</f>
        <v>0</v>
      </c>
      <c r="O98" s="863">
        <f>IF(J98="j",((IF(COUNT(V98,AA98,AD98,AI98,AJ98,AL98)&lt;5,SUM(V98,AA98,AD98,AI98,AJ98,AL98),SUM(LARGE((V98,AA98,AD98,AI98,AJ98,AL98),{1;2;3;4;5}))))+(IF(COUNT(U98,W98,AB98,AC98,AE98,AK98)&lt;5,SUM(U98,W98,AB98,AC98,AE98,AK98),SUM(LARGE((U98,W98,AB98,AC98,AE98,AK98),{1;2;3;4;5}))))+T98),0)</f>
        <v>0</v>
      </c>
      <c r="P98" s="886" t="str">
        <f t="shared" ca="1" si="36"/>
        <v>100,0</v>
      </c>
      <c r="Q98" s="890">
        <f t="shared" si="37"/>
        <v>139</v>
      </c>
      <c r="R98" s="886" t="str">
        <f t="shared" ca="1" si="38"/>
        <v>0100,0-139</v>
      </c>
      <c r="S98" s="889">
        <f t="shared" ca="1" si="39"/>
        <v>104</v>
      </c>
      <c r="T98" s="847">
        <v>1</v>
      </c>
      <c r="U98" s="75" t="str">
        <f>IFERROR(INDEX('1'!C$300:C$400,MATCH("*"&amp;H98&amp;"*",'1'!B$300:B$400,0)),"  ")</f>
        <v xml:space="preserve">  </v>
      </c>
      <c r="V98" s="199" t="str">
        <f>IFERROR(INDEX('2'!C$300:C$400,MATCH("*"&amp;H98&amp;"*",'2'!B$300:B$400,0)),"  ")</f>
        <v xml:space="preserve">  </v>
      </c>
      <c r="W98" s="199" t="str">
        <f ca="1">IF(I98="",IFERROR(INDEX('3M'!C$300:C$400,MATCH("*"&amp;H98&amp;"*",'3M'!B$300:B$400,0)),"  "),IFERROR(INDEX('3N'!D$300:D$400,MATCH("*"&amp;H98&amp;"*",'3N'!B$300:B$400,0)),"  "))</f>
        <v xml:space="preserve">  </v>
      </c>
      <c r="X98" s="908" t="str">
        <f ca="1">IFERROR(INDEX('3M'!C$300:C$400,MATCH("*"&amp;H98&amp;"*",'3M'!B$300:B$400,0)),"  ")</f>
        <v xml:space="preserve">  </v>
      </c>
      <c r="Y98" s="907" t="str">
        <f ca="1">IFERROR(INDEX('3N'!C$300:C$400,MATCH("*"&amp;H98&amp;"*",'3N'!B$300:B$400,0)),"  ")</f>
        <v xml:space="preserve">  </v>
      </c>
      <c r="Z98" s="440"/>
      <c r="AA98" s="75" t="str">
        <f>IFERROR(INDEX('4'!C$300:C$400,MATCH("*"&amp;H98&amp;"*",'4'!B$300:B$400,0)),"  ")</f>
        <v xml:space="preserve">  </v>
      </c>
      <c r="AB98" s="75" t="str">
        <f>IFERROR(INDEX('5'!C$300:C$400,MATCH("*"&amp;H98&amp;"*",'5'!B$300:B$400,0)),"  ")</f>
        <v xml:space="preserve">  </v>
      </c>
      <c r="AC98" s="75" t="str">
        <f>IFERROR(INDEX('6'!C$300:C$400,MATCH("*"&amp;H98&amp;"*",'6'!B$300:B$400,0)),"  ")</f>
        <v xml:space="preserve">  </v>
      </c>
      <c r="AD98" s="75">
        <f>IFERROR(INDEX('7'!C$300:C$400,MATCH("*"&amp;H98&amp;"*",'7'!B$300:B$400,0)),"  ")</f>
        <v>56</v>
      </c>
      <c r="AE98" s="75" t="str">
        <f>IF(I98="",IFERROR(INDEX('8M'!C$300:C$400,MATCH("*"&amp;H98&amp;"*",'8M'!B$300:B$400,0)),"  "),IFERROR(INDEX('8N'!D$300:D$400,MATCH("*"&amp;H98&amp;"*",'8N'!B$300:B$400,0)),"  "))</f>
        <v xml:space="preserve">  </v>
      </c>
      <c r="AF98" s="908" t="str">
        <f>IFERROR(INDEX('8M'!C$300:C$400,MATCH("*"&amp;H98&amp;"*",'8M'!B$300:B$400,0)),"  ")</f>
        <v xml:space="preserve">  </v>
      </c>
      <c r="AG98" s="907" t="str">
        <f>IFERROR(INDEX('8N'!C$300:C$400,MATCH("*"&amp;H98&amp;"*",'8N'!B$300:B$400,0)),"  ")</f>
        <v xml:space="preserve">  </v>
      </c>
      <c r="AH98" s="440"/>
      <c r="AI98" s="75" t="str">
        <f>IFERROR(INDEX('9'!C$300:C$400,MATCH("*"&amp;H98&amp;"*",'9'!B$300:B$400,0)),"  ")</f>
        <v xml:space="preserve">  </v>
      </c>
      <c r="AJ98" s="830" t="str">
        <f>IFERROR(INDEX('10'!C$300:C$400,MATCH("*"&amp;H98&amp;"*",'10'!B$300:B$400,0)),"  ")</f>
        <v xml:space="preserve">  </v>
      </c>
      <c r="AK98" s="75" t="str">
        <f>IFERROR(INDEX('11'!C$300:C$400,MATCH("*"&amp;H98&amp;"*",'11'!B$300:B$400,0)),"  ")</f>
        <v xml:space="preserve">  </v>
      </c>
      <c r="AL98" s="75">
        <f>IFERROR(INDEX('12'!C$300:C$400,MATCH("*"&amp;H98&amp;"*",'12'!B$300:B$400,0)),"  ")</f>
        <v>43</v>
      </c>
      <c r="AM98" s="26">
        <f t="shared" ca="1" si="40"/>
        <v>2</v>
      </c>
      <c r="AN98" s="579">
        <f t="shared" ca="1" si="48"/>
        <v>0</v>
      </c>
      <c r="AO98" s="580">
        <f t="shared" ca="1" si="42"/>
        <v>0</v>
      </c>
      <c r="AP98" s="27">
        <f t="shared" ca="1" si="43"/>
        <v>0</v>
      </c>
      <c r="AQ98" s="933">
        <f t="shared" si="46"/>
        <v>2.0000000000000001E-4</v>
      </c>
      <c r="AR98" s="933">
        <f t="shared" ca="1" si="47"/>
        <v>1E-4</v>
      </c>
    </row>
    <row r="99" spans="1:44" x14ac:dyDescent="0.2">
      <c r="A99" s="851">
        <f t="shared" ca="1" si="31"/>
        <v>66</v>
      </c>
      <c r="B99" s="77">
        <f t="shared" ca="1" si="32"/>
        <v>10097</v>
      </c>
      <c r="C99" s="853" t="str">
        <f t="shared" ca="1" si="44"/>
        <v/>
      </c>
      <c r="D99" s="76">
        <f t="shared" si="33"/>
        <v>0</v>
      </c>
      <c r="E99" s="855" t="str">
        <f t="shared" ca="1" si="45"/>
        <v/>
      </c>
      <c r="F99" s="899">
        <f t="shared" si="34"/>
        <v>0</v>
      </c>
      <c r="G99" s="897">
        <f t="shared" ca="1" si="35"/>
        <v>91</v>
      </c>
      <c r="H99" s="177" t="s">
        <v>850</v>
      </c>
      <c r="I99" s="38"/>
      <c r="J99" s="585"/>
      <c r="K99" s="586"/>
      <c r="L99" s="588" t="s">
        <v>720</v>
      </c>
      <c r="M99" s="857">
        <f ca="1">(IF(COUNT(V99,AA99,AD99,AI99,AJ99,AL99)&lt;5,SUM(V99,AA99,AD99,AI99,AJ99,AL99),SUM(LARGE((V99,AA99,AD99,AI99,AJ99,AL99),{1;2;3;4;5}))))+(IF(COUNT(U99,W99,AB99,AC99,AE99,AK99)&lt;5,SUM(U99,W99,AB99,AC99,AE99,AK99),SUM(LARGE((U99,W99,AB99,AC99,AE99,AK99),{1;2;3;4;5}))))+T99</f>
        <v>97</v>
      </c>
      <c r="N99" s="862">
        <f>IF(I99="n",((IF(COUNT(V99,AA99,AD99,AI99,AJ99,AL99)&lt;5,SUM(V99,AA99,AD99,AI99,AJ99,AL99),SUM(LARGE((V99,AA99,AD99,AI99,AJ99,AL99),{1;2;3;4;5}))))+(IF(COUNT(U99,Y99,AB99,AC99,AG99,AK99)&lt;5,SUM(U99,Y99,AB99,AC99,AG99,AK99),SUM(LARGE((U99,Y99,AB99,AC99,AG99,AK99),{1;2;3;4;5}))))+T99),0)</f>
        <v>0</v>
      </c>
      <c r="O99" s="863">
        <f>IF(J99="j",((IF(COUNT(V99,AA99,AD99,AI99,AJ99,AL99)&lt;5,SUM(V99,AA99,AD99,AI99,AJ99,AL99),SUM(LARGE((V99,AA99,AD99,AI99,AJ99,AL99),{1;2;3;4;5}))))+(IF(COUNT(U99,W99,AB99,AC99,AE99,AK99)&lt;5,SUM(U99,W99,AB99,AC99,AE99,AK99),SUM(LARGE((U99,W99,AB99,AC99,AE99,AK99),{1;2;3;4;5}))))+T99),0)</f>
        <v>0</v>
      </c>
      <c r="P99" s="886" t="str">
        <f t="shared" ca="1" si="36"/>
        <v>097,0</v>
      </c>
      <c r="Q99" s="890">
        <f t="shared" si="37"/>
        <v>43</v>
      </c>
      <c r="R99" s="886" t="str">
        <f t="shared" ca="1" si="38"/>
        <v>0097,0-043</v>
      </c>
      <c r="S99" s="889">
        <f t="shared" ca="1" si="39"/>
        <v>103</v>
      </c>
      <c r="T99" s="847"/>
      <c r="U99" s="75" t="str">
        <f>IFERROR(INDEX('1'!C$300:C$400,MATCH("*"&amp;H99&amp;"*",'1'!B$300:B$400,0)),"  ")</f>
        <v xml:space="preserve">  </v>
      </c>
      <c r="V99" s="199" t="str">
        <f>IFERROR(INDEX('2'!C$300:C$400,MATCH("*"&amp;H99&amp;"*",'2'!B$300:B$400,0)),"  ")</f>
        <v xml:space="preserve">  </v>
      </c>
      <c r="W99" s="199" t="str">
        <f ca="1">IF(I99="",IFERROR(INDEX('3M'!C$300:C$400,MATCH("*"&amp;H99&amp;"*",'3M'!B$300:B$400,0)),"  "),IFERROR(INDEX('3N'!D$300:D$400,MATCH("*"&amp;H99&amp;"*",'3N'!B$300:B$400,0)),"  "))</f>
        <v xml:space="preserve">  </v>
      </c>
      <c r="X99" s="908" t="str">
        <f ca="1">IFERROR(INDEX('3M'!C$300:C$400,MATCH("*"&amp;H99&amp;"*",'3M'!B$300:B$400,0)),"  ")</f>
        <v xml:space="preserve">  </v>
      </c>
      <c r="Y99" s="907" t="str">
        <f ca="1">IFERROR(INDEX('3N'!C$300:C$400,MATCH("*"&amp;H99&amp;"*",'3N'!B$300:B$400,0)),"  ")</f>
        <v xml:space="preserve">  </v>
      </c>
      <c r="Z99" s="440"/>
      <c r="AA99" s="75" t="str">
        <f>IFERROR(INDEX('4'!C$300:C$400,MATCH("*"&amp;H99&amp;"*",'4'!B$300:B$400,0)),"  ")</f>
        <v xml:space="preserve">  </v>
      </c>
      <c r="AB99" s="75" t="str">
        <f>IFERROR(INDEX('5'!C$300:C$400,MATCH("*"&amp;H99&amp;"*",'5'!B$300:B$400,0)),"  ")</f>
        <v xml:space="preserve">  </v>
      </c>
      <c r="AC99" s="75" t="str">
        <f>IFERROR(INDEX('6'!C$300:C$400,MATCH("*"&amp;H99&amp;"*",'6'!B$300:B$400,0)),"  ")</f>
        <v xml:space="preserve">  </v>
      </c>
      <c r="AD99" s="75">
        <f>IFERROR(INDEX('7'!C$300:C$400,MATCH("*"&amp;H99&amp;"*",'7'!B$300:B$400,0)),"  ")</f>
        <v>97</v>
      </c>
      <c r="AE99" s="75" t="str">
        <f>IF(I99="",IFERROR(INDEX('8M'!C$300:C$400,MATCH("*"&amp;H99&amp;"*",'8M'!B$300:B$400,0)),"  "),IFERROR(INDEX('8N'!D$300:D$400,MATCH("*"&amp;H99&amp;"*",'8N'!B$300:B$400,0)),"  "))</f>
        <v xml:space="preserve">  </v>
      </c>
      <c r="AF99" s="908" t="str">
        <f>IFERROR(INDEX('8M'!C$300:C$400,MATCH("*"&amp;H99&amp;"*",'8M'!B$300:B$400,0)),"  ")</f>
        <v xml:space="preserve">  </v>
      </c>
      <c r="AG99" s="907" t="str">
        <f>IFERROR(INDEX('8N'!C$300:C$400,MATCH("*"&amp;H99&amp;"*",'8N'!B$300:B$400,0)),"  ")</f>
        <v xml:space="preserve">  </v>
      </c>
      <c r="AH99" s="440"/>
      <c r="AI99" s="75" t="str">
        <f>IFERROR(INDEX('9'!C$300:C$400,MATCH("*"&amp;H99&amp;"*",'9'!B$300:B$400,0)),"  ")</f>
        <v xml:space="preserve">  </v>
      </c>
      <c r="AJ99" s="830" t="str">
        <f>IFERROR(INDEX('10'!C$300:C$400,MATCH("*"&amp;H99&amp;"*",'10'!B$300:B$400,0)),"  ")</f>
        <v xml:space="preserve">  </v>
      </c>
      <c r="AK99" s="75" t="str">
        <f>IFERROR(INDEX('11'!C$300:C$400,MATCH("*"&amp;H99&amp;"*",'11'!B$300:B$400,0)),"  ")</f>
        <v xml:space="preserve">  </v>
      </c>
      <c r="AL99" s="75" t="str">
        <f>IFERROR(INDEX('12'!C$300:C$400,MATCH("*"&amp;H99&amp;"*",'12'!B$300:B$400,0)),"  ")</f>
        <v xml:space="preserve">  </v>
      </c>
      <c r="AM99" s="26">
        <f t="shared" ca="1" si="40"/>
        <v>1</v>
      </c>
      <c r="AN99" s="579">
        <f t="shared" ca="1" si="48"/>
        <v>1</v>
      </c>
      <c r="AO99" s="580">
        <f t="shared" ca="1" si="42"/>
        <v>0</v>
      </c>
      <c r="AP99" s="27">
        <f t="shared" ca="1" si="43"/>
        <v>0</v>
      </c>
      <c r="AQ99" s="933">
        <f t="shared" si="46"/>
        <v>2.0000000000000001E-4</v>
      </c>
      <c r="AR99" s="933">
        <f t="shared" ca="1" si="47"/>
        <v>1E-4</v>
      </c>
    </row>
    <row r="100" spans="1:44" x14ac:dyDescent="0.2">
      <c r="A100" s="851">
        <f t="shared" ca="1" si="31"/>
        <v>67</v>
      </c>
      <c r="B100" s="77">
        <f t="shared" ca="1" si="32"/>
        <v>10096</v>
      </c>
      <c r="C100" s="853" t="str">
        <f t="shared" ca="1" si="44"/>
        <v/>
      </c>
      <c r="D100" s="76">
        <f t="shared" si="33"/>
        <v>0</v>
      </c>
      <c r="E100" s="855" t="str">
        <f t="shared" ca="1" si="45"/>
        <v/>
      </c>
      <c r="F100" s="899">
        <f t="shared" si="34"/>
        <v>0</v>
      </c>
      <c r="G100" s="897">
        <f t="shared" ca="1" si="35"/>
        <v>92</v>
      </c>
      <c r="H100" s="133" t="s">
        <v>312</v>
      </c>
      <c r="I100" s="38"/>
      <c r="J100" s="585"/>
      <c r="K100" s="586"/>
      <c r="L100" s="587"/>
      <c r="M100" s="857">
        <f ca="1">(IF(COUNT(V100,AA100,AD100,AI100,AJ100,AL100)&lt;5,SUM(V100,AA100,AD100,AI100,AJ100,AL100),SUM(LARGE((V100,AA100,AD100,AI100,AJ100,AL100),{1;2;3;4;5}))))+(IF(COUNT(U100,W100,AB100,AC100,AE100,AK100)&lt;5,SUM(U100,W100,AB100,AC100,AE100,AK100),SUM(LARGE((U100,W100,AB100,AC100,AE100,AK100),{1;2;3;4;5}))))+T100</f>
        <v>96</v>
      </c>
      <c r="N100" s="862">
        <f>IF(I100="n",((IF(COUNT(V100,AA100,AD100,AI100,AJ100,AL100)&lt;5,SUM(V100,AA100,AD100,AI100,AJ100,AL100),SUM(LARGE((V100,AA100,AD100,AI100,AJ100,AL100),{1;2;3;4;5}))))+(IF(COUNT(U100,Y100,AB100,AC100,AG100,AK100)&lt;5,SUM(U100,Y100,AB100,AC100,AG100,AK100),SUM(LARGE((U100,Y100,AB100,AC100,AG100,AK100),{1;2;3;4;5}))))+T100),0)</f>
        <v>0</v>
      </c>
      <c r="O100" s="863">
        <f>IF(J100="j",((IF(COUNT(V100,AA100,AD100,AI100,AJ100,AL100)&lt;5,SUM(V100,AA100,AD100,AI100,AJ100,AL100),SUM(LARGE((V100,AA100,AD100,AI100,AJ100,AL100),{1;2;3;4;5}))))+(IF(COUNT(U100,W100,AB100,AC100,AE100,AK100)&lt;5,SUM(U100,W100,AB100,AC100,AE100,AK100),SUM(LARGE((U100,W100,AB100,AC100,AE100,AK100),{1;2;3;4;5}))))+T100),0)</f>
        <v>0</v>
      </c>
      <c r="P100" s="886" t="str">
        <f t="shared" ca="1" si="36"/>
        <v>096,0</v>
      </c>
      <c r="Q100" s="890">
        <f t="shared" si="37"/>
        <v>179</v>
      </c>
      <c r="R100" s="886" t="str">
        <f t="shared" ca="1" si="38"/>
        <v>0096,0-179</v>
      </c>
      <c r="S100" s="889">
        <f t="shared" ca="1" si="39"/>
        <v>102</v>
      </c>
      <c r="T100" s="847"/>
      <c r="U100" s="75" t="str">
        <f>IFERROR(INDEX('1'!C$300:C$400,MATCH("*"&amp;H100&amp;"*",'1'!B$300:B$400,0)),"  ")</f>
        <v xml:space="preserve">  </v>
      </c>
      <c r="V100" s="199" t="str">
        <f>IFERROR(INDEX('2'!C$300:C$400,MATCH("*"&amp;H100&amp;"*",'2'!B$300:B$400,0)),"  ")</f>
        <v xml:space="preserve">  </v>
      </c>
      <c r="W100" s="199" t="str">
        <f ca="1">IF(I100="",IFERROR(INDEX('3M'!C$300:C$400,MATCH("*"&amp;H100&amp;"*",'3M'!B$300:B$400,0)),"  "),IFERROR(INDEX('3N'!D$300:D$400,MATCH("*"&amp;H100&amp;"*",'3N'!B$300:B$400,0)),"  "))</f>
        <v xml:space="preserve">  </v>
      </c>
      <c r="X100" s="908" t="str">
        <f ca="1">IFERROR(INDEX('3M'!C$300:C$400,MATCH("*"&amp;H100&amp;"*",'3M'!B$300:B$400,0)),"  ")</f>
        <v xml:space="preserve">  </v>
      </c>
      <c r="Y100" s="907" t="str">
        <f ca="1">IFERROR(INDEX('3N'!C$300:C$400,MATCH("*"&amp;H100&amp;"*",'3N'!B$300:B$400,0)),"  ")</f>
        <v xml:space="preserve">  </v>
      </c>
      <c r="Z100" s="440"/>
      <c r="AA100" s="75" t="str">
        <f>IFERROR(INDEX('4'!C$300:C$400,MATCH("*"&amp;H100&amp;"*",'4'!B$300:B$400,0)),"  ")</f>
        <v xml:space="preserve">  </v>
      </c>
      <c r="AB100" s="75" t="str">
        <f>IFERROR(INDEX('5'!C$300:C$400,MATCH("*"&amp;H100&amp;"*",'5'!B$300:B$400,0)),"  ")</f>
        <v xml:space="preserve">  </v>
      </c>
      <c r="AC100" s="75" t="str">
        <f>IFERROR(INDEX('6'!C$300:C$400,MATCH("*"&amp;H100&amp;"*",'6'!B$300:B$400,0)),"  ")</f>
        <v xml:space="preserve">  </v>
      </c>
      <c r="AD100" s="75" t="str">
        <f>IFERROR(INDEX('7'!C$300:C$400,MATCH("*"&amp;H100&amp;"*",'7'!B$300:B$400,0)),"  ")</f>
        <v xml:space="preserve">  </v>
      </c>
      <c r="AE100" s="75" t="str">
        <f>IF(I100="",IFERROR(INDEX('8M'!C$300:C$400,MATCH("*"&amp;H100&amp;"*",'8M'!B$300:B$400,0)),"  "),IFERROR(INDEX('8N'!D$300:D$400,MATCH("*"&amp;H100&amp;"*",'8N'!B$300:B$400,0)),"  "))</f>
        <v xml:space="preserve">  </v>
      </c>
      <c r="AF100" s="908" t="str">
        <f>IFERROR(INDEX('8M'!C$300:C$400,MATCH("*"&amp;H100&amp;"*",'8M'!B$300:B$400,0)),"  ")</f>
        <v xml:space="preserve">  </v>
      </c>
      <c r="AG100" s="907" t="str">
        <f>IFERROR(INDEX('8N'!C$300:C$400,MATCH("*"&amp;H100&amp;"*",'8N'!B$300:B$400,0)),"  ")</f>
        <v xml:space="preserve">  </v>
      </c>
      <c r="AH100" s="440"/>
      <c r="AI100" s="75" t="str">
        <f>IFERROR(INDEX('9'!C$300:C$400,MATCH("*"&amp;H100&amp;"*",'9'!B$300:B$400,0)),"  ")</f>
        <v xml:space="preserve">  </v>
      </c>
      <c r="AJ100" s="830" t="str">
        <f>IFERROR(INDEX('10'!C$300:C$400,MATCH("*"&amp;H100&amp;"*",'10'!B$300:B$400,0)),"  ")</f>
        <v xml:space="preserve">  </v>
      </c>
      <c r="AK100" s="75">
        <f>IFERROR(INDEX('11'!C$300:C$400,MATCH("*"&amp;H100&amp;"*",'11'!B$300:B$400,0)),"  ")</f>
        <v>96</v>
      </c>
      <c r="AL100" s="75" t="str">
        <f>IFERROR(INDEX('12'!C$300:C$400,MATCH("*"&amp;H100&amp;"*",'12'!B$300:B$400,0)),"  ")</f>
        <v xml:space="preserve">  </v>
      </c>
      <c r="AM100" s="26">
        <f t="shared" ca="1" si="40"/>
        <v>1</v>
      </c>
      <c r="AN100" s="579">
        <f t="shared" ca="1" si="48"/>
        <v>0</v>
      </c>
      <c r="AO100" s="580">
        <f t="shared" ca="1" si="42"/>
        <v>0</v>
      </c>
      <c r="AP100" s="27">
        <f t="shared" ca="1" si="43"/>
        <v>0</v>
      </c>
      <c r="AQ100" s="933">
        <f t="shared" si="46"/>
        <v>2.0000000000000001E-4</v>
      </c>
      <c r="AR100" s="933">
        <f t="shared" ca="1" si="47"/>
        <v>1E-4</v>
      </c>
    </row>
    <row r="101" spans="1:44" x14ac:dyDescent="0.2">
      <c r="A101" s="851">
        <f t="shared" ca="1" si="31"/>
        <v>68</v>
      </c>
      <c r="B101" s="77">
        <f t="shared" ca="1" si="32"/>
        <v>10090</v>
      </c>
      <c r="C101" s="853" t="str">
        <f t="shared" ca="1" si="44"/>
        <v/>
      </c>
      <c r="D101" s="76">
        <f t="shared" si="33"/>
        <v>0</v>
      </c>
      <c r="E101" s="855" t="str">
        <f t="shared" ca="1" si="45"/>
        <v/>
      </c>
      <c r="F101" s="899">
        <f t="shared" si="34"/>
        <v>0</v>
      </c>
      <c r="G101" s="897">
        <f t="shared" ca="1" si="35"/>
        <v>93</v>
      </c>
      <c r="H101" s="133" t="s">
        <v>160</v>
      </c>
      <c r="I101" s="38"/>
      <c r="J101" s="585"/>
      <c r="K101" s="586"/>
      <c r="L101" s="587"/>
      <c r="M101" s="857">
        <f ca="1">(IF(COUNT(V101,AA101,AD101,AI101,AJ101,AL101)&lt;5,SUM(V101,AA101,AD101,AI101,AJ101,AL101),SUM(LARGE((V101,AA101,AD101,AI101,AJ101,AL101),{1;2;3;4;5}))))+(IF(COUNT(U101,W101,AB101,AC101,AE101,AK101)&lt;5,SUM(U101,W101,AB101,AC101,AE101,AK101),SUM(LARGE((U101,W101,AB101,AC101,AE101,AK101),{1;2;3;4;5}))))+T101</f>
        <v>90</v>
      </c>
      <c r="N101" s="862">
        <f>IF(I101="n",((IF(COUNT(V101,AA101,AD101,AI101,AJ101,AL101)&lt;5,SUM(V101,AA101,AD101,AI101,AJ101,AL101),SUM(LARGE((V101,AA101,AD101,AI101,AJ101,AL101),{1;2;3;4;5}))))+(IF(COUNT(U101,Y101,AB101,AC101,AG101,AK101)&lt;5,SUM(U101,Y101,AB101,AC101,AG101,AK101),SUM(LARGE((U101,Y101,AB101,AC101,AG101,AK101),{1;2;3;4;5}))))+T101),0)</f>
        <v>0</v>
      </c>
      <c r="O101" s="863">
        <f>IF(J101="j",((IF(COUNT(V101,AA101,AD101,AI101,AJ101,AL101)&lt;5,SUM(V101,AA101,AD101,AI101,AJ101,AL101),SUM(LARGE((V101,AA101,AD101,AI101,AJ101,AL101),{1;2;3;4;5}))))+(IF(COUNT(U101,W101,AB101,AC101,AE101,AK101)&lt;5,SUM(U101,W101,AB101,AC101,AE101,AK101),SUM(LARGE((U101,W101,AB101,AC101,AE101,AK101),{1;2;3;4;5}))))+T101),0)</f>
        <v>0</v>
      </c>
      <c r="P101" s="886" t="str">
        <f t="shared" ca="1" si="36"/>
        <v>090,0</v>
      </c>
      <c r="Q101" s="890">
        <f t="shared" si="37"/>
        <v>33</v>
      </c>
      <c r="R101" s="886" t="str">
        <f t="shared" ca="1" si="38"/>
        <v>0090,0-033</v>
      </c>
      <c r="S101" s="889">
        <f t="shared" ca="1" si="39"/>
        <v>100</v>
      </c>
      <c r="T101" s="847"/>
      <c r="U101" s="75" t="str">
        <f>IFERROR(INDEX('1'!C$300:C$400,MATCH("*"&amp;H101&amp;"*",'1'!B$300:B$400,0)),"  ")</f>
        <v xml:space="preserve">  </v>
      </c>
      <c r="V101" s="199" t="str">
        <f>IFERROR(INDEX('2'!C$300:C$400,MATCH("*"&amp;H101&amp;"*",'2'!B$300:B$400,0)),"  ")</f>
        <v xml:space="preserve">  </v>
      </c>
      <c r="W101" s="199" t="str">
        <f ca="1">IF(I101="",IFERROR(INDEX('3M'!C$300:C$400,MATCH("*"&amp;H101&amp;"*",'3M'!B$300:B$400,0)),"  "),IFERROR(INDEX('3N'!D$300:D$400,MATCH("*"&amp;H101&amp;"*",'3N'!B$300:B$400,0)),"  "))</f>
        <v xml:space="preserve">  </v>
      </c>
      <c r="X101" s="908" t="str">
        <f ca="1">IFERROR(INDEX('3M'!C$300:C$400,MATCH("*"&amp;H101&amp;"*",'3M'!B$300:B$400,0)),"  ")</f>
        <v xml:space="preserve">  </v>
      </c>
      <c r="Y101" s="907" t="str">
        <f ca="1">IFERROR(INDEX('3N'!C$300:C$400,MATCH("*"&amp;H101&amp;"*",'3N'!B$300:B$400,0)),"  ")</f>
        <v xml:space="preserve">  </v>
      </c>
      <c r="Z101" s="440"/>
      <c r="AA101" s="75" t="str">
        <f>IFERROR(INDEX('4'!C$300:C$400,MATCH("*"&amp;H101&amp;"*",'4'!B$300:B$400,0)),"  ")</f>
        <v xml:space="preserve">  </v>
      </c>
      <c r="AB101" s="75">
        <f>IFERROR(INDEX('5'!C$300:C$400,MATCH("*"&amp;H101&amp;"*",'5'!B$300:B$400,0)),"  ")</f>
        <v>90</v>
      </c>
      <c r="AC101" s="75" t="str">
        <f>IFERROR(INDEX('6'!C$300:C$400,MATCH("*"&amp;H101&amp;"*",'6'!B$300:B$400,0)),"  ")</f>
        <v xml:space="preserve">  </v>
      </c>
      <c r="AD101" s="75" t="str">
        <f>IFERROR(INDEX('7'!C$300:C$400,MATCH("*"&amp;H101&amp;"*",'7'!B$300:B$400,0)),"  ")</f>
        <v xml:space="preserve">  </v>
      </c>
      <c r="AE101" s="75" t="str">
        <f>IF(I101="",IFERROR(INDEX('8M'!C$300:C$400,MATCH("*"&amp;H101&amp;"*",'8M'!B$300:B$400,0)),"  "),IFERROR(INDEX('8N'!D$300:D$400,MATCH("*"&amp;H101&amp;"*",'8N'!B$300:B$400,0)),"  "))</f>
        <v xml:space="preserve">  </v>
      </c>
      <c r="AF101" s="908" t="str">
        <f>IFERROR(INDEX('8M'!C$300:C$400,MATCH("*"&amp;H101&amp;"*",'8M'!B$300:B$400,0)),"  ")</f>
        <v xml:space="preserve">  </v>
      </c>
      <c r="AG101" s="907" t="str">
        <f>IFERROR(INDEX('8N'!C$300:C$400,MATCH("*"&amp;H101&amp;"*",'8N'!B$300:B$400,0)),"  ")</f>
        <v xml:space="preserve">  </v>
      </c>
      <c r="AH101" s="440"/>
      <c r="AI101" s="75" t="str">
        <f>IFERROR(INDEX('9'!C$300:C$400,MATCH("*"&amp;H101&amp;"*",'9'!B$300:B$400,0)),"  ")</f>
        <v xml:space="preserve">  </v>
      </c>
      <c r="AJ101" s="830" t="str">
        <f>IFERROR(INDEX('10'!C$300:C$400,MATCH("*"&amp;H101&amp;"*",'10'!B$300:B$400,0)),"  ")</f>
        <v xml:space="preserve">  </v>
      </c>
      <c r="AK101" s="75" t="str">
        <f>IFERROR(INDEX('11'!C$300:C$400,MATCH("*"&amp;H101&amp;"*",'11'!B$300:B$400,0)),"  ")</f>
        <v xml:space="preserve">  </v>
      </c>
      <c r="AL101" s="75" t="str">
        <f>IFERROR(INDEX('12'!C$300:C$400,MATCH("*"&amp;H101&amp;"*",'12'!B$300:B$400,0)),"  ")</f>
        <v xml:space="preserve">  </v>
      </c>
      <c r="AM101" s="26">
        <f t="shared" ca="1" si="40"/>
        <v>1</v>
      </c>
      <c r="AN101" s="579">
        <f t="shared" ca="1" si="48"/>
        <v>0</v>
      </c>
      <c r="AO101" s="580">
        <f t="shared" ca="1" si="42"/>
        <v>0</v>
      </c>
      <c r="AP101" s="27">
        <f t="shared" ca="1" si="43"/>
        <v>0</v>
      </c>
      <c r="AQ101" s="933">
        <f t="shared" si="46"/>
        <v>2.0000000000000001E-4</v>
      </c>
      <c r="AR101" s="933">
        <f t="shared" ca="1" si="47"/>
        <v>1E-4</v>
      </c>
    </row>
    <row r="102" spans="1:44" x14ac:dyDescent="0.2">
      <c r="A102" s="851" t="str">
        <f t="shared" ca="1" si="31"/>
        <v/>
      </c>
      <c r="B102" s="77">
        <f t="shared" si="32"/>
        <v>0</v>
      </c>
      <c r="C102" s="853">
        <f t="shared" ca="1" si="44"/>
        <v>26</v>
      </c>
      <c r="D102" s="76">
        <f t="shared" ca="1" si="33"/>
        <v>10090</v>
      </c>
      <c r="E102" s="855" t="str">
        <f t="shared" ca="1" si="45"/>
        <v/>
      </c>
      <c r="F102" s="899">
        <f t="shared" si="34"/>
        <v>0</v>
      </c>
      <c r="G102" s="897">
        <f t="shared" ca="1" si="35"/>
        <v>93</v>
      </c>
      <c r="H102" s="133" t="s">
        <v>588</v>
      </c>
      <c r="I102" s="38" t="s">
        <v>32</v>
      </c>
      <c r="J102" s="585"/>
      <c r="K102" s="586" t="s">
        <v>718</v>
      </c>
      <c r="L102" s="587"/>
      <c r="M102" s="857">
        <f ca="1">(IF(COUNT(V102,AA102,AD102,AI102,AJ102,AL102)&lt;5,SUM(V102,AA102,AD102,AI102,AJ102,AL102),SUM(LARGE((V102,AA102,AD102,AI102,AJ102,AL102),{1;2;3;4;5}))))+(IF(COUNT(U102,W102,AB102,AC102,AE102,AK102)&lt;5,SUM(U102,W102,AB102,AC102,AE102,AK102),SUM(LARGE((U102,W102,AB102,AC102,AE102,AK102),{1;2;3;4;5}))))+T102</f>
        <v>90</v>
      </c>
      <c r="N102" s="862">
        <f ca="1">IF(I102="n",((IF(COUNT(V102,AA102,AD102,AI102,AJ102,AL102)&lt;5,SUM(V102,AA102,AD102,AI102,AJ102,AL102),SUM(LARGE((V102,AA102,AD102,AI102,AJ102,AL102),{1;2;3;4;5}))))+(IF(COUNT(U102,Y102,AB102,AC102,AG102,AK102)&lt;5,SUM(U102,Y102,AB102,AC102,AG102,AK102),SUM(LARGE((U102,Y102,AB102,AC102,AG102,AK102),{1;2;3;4;5}))))+T102),0)</f>
        <v>90</v>
      </c>
      <c r="O102" s="863">
        <f>IF(J102="j",((IF(COUNT(V102,AA102,AD102,AI102,AJ102,AL102)&lt;5,SUM(V102,AA102,AD102,AI102,AJ102,AL102),SUM(LARGE((V102,AA102,AD102,AI102,AJ102,AL102),{1;2;3;4;5}))))+(IF(COUNT(U102,W102,AB102,AC102,AE102,AK102)&lt;5,SUM(U102,W102,AB102,AC102,AE102,AK102),SUM(LARGE((U102,W102,AB102,AC102,AE102,AK102),{1;2;3;4;5}))))+T102),0)</f>
        <v>0</v>
      </c>
      <c r="P102" s="886" t="str">
        <f t="shared" ca="1" si="36"/>
        <v>090,0</v>
      </c>
      <c r="Q102" s="890">
        <f t="shared" si="37"/>
        <v>100</v>
      </c>
      <c r="R102" s="886" t="str">
        <f t="shared" ca="1" si="38"/>
        <v>0090,0-100</v>
      </c>
      <c r="S102" s="889">
        <f t="shared" ca="1" si="39"/>
        <v>101</v>
      </c>
      <c r="T102" s="847">
        <v>1</v>
      </c>
      <c r="U102" s="75" t="str">
        <f>IFERROR(INDEX('1'!C$300:C$400,MATCH("*"&amp;H102&amp;"*",'1'!B$300:B$400,0)),"  ")</f>
        <v xml:space="preserve">  </v>
      </c>
      <c r="V102" s="199" t="str">
        <f>IFERROR(INDEX('2'!C$300:C$400,MATCH("*"&amp;H102&amp;"*",'2'!B$300:B$400,0)),"  ")</f>
        <v xml:space="preserve">  </v>
      </c>
      <c r="W102" s="199" t="str">
        <f ca="1">IF(I102="",IFERROR(INDEX('3M'!C$300:C$400,MATCH("*"&amp;H102&amp;"*",'3M'!B$300:B$400,0)),"  "),IFERROR(INDEX('3N'!D$300:D$400,MATCH("*"&amp;H102&amp;"*",'3N'!B$300:B$400,0)),"  "))</f>
        <v xml:space="preserve">  </v>
      </c>
      <c r="X102" s="908" t="str">
        <f ca="1">IFERROR(INDEX('3M'!C$300:C$400,MATCH("*"&amp;H102&amp;"*",'3M'!B$300:B$400,0)),"  ")</f>
        <v xml:space="preserve">  </v>
      </c>
      <c r="Y102" s="907" t="str">
        <f ca="1">IFERROR(INDEX('3N'!C$300:C$400,MATCH("*"&amp;H102&amp;"*",'3N'!B$300:B$400,0)),"  ")</f>
        <v xml:space="preserve">  </v>
      </c>
      <c r="Z102" s="440"/>
      <c r="AA102" s="75" t="str">
        <f>IFERROR(INDEX('4'!C$300:C$400,MATCH("*"&amp;H102&amp;"*",'4'!B$300:B$400,0)),"  ")</f>
        <v xml:space="preserve">  </v>
      </c>
      <c r="AB102" s="75" t="str">
        <f>IFERROR(INDEX('5'!C$300:C$400,MATCH("*"&amp;H102&amp;"*",'5'!B$300:B$400,0)),"  ")</f>
        <v xml:space="preserve">  </v>
      </c>
      <c r="AC102" s="75" t="str">
        <f>IFERROR(INDEX('6'!C$300:C$400,MATCH("*"&amp;H102&amp;"*",'6'!B$300:B$400,0)),"  ")</f>
        <v xml:space="preserve">  </v>
      </c>
      <c r="AD102" s="75" t="str">
        <f>IFERROR(INDEX('7'!C$300:C$400,MATCH("*"&amp;H102&amp;"*",'7'!B$300:B$400,0)),"  ")</f>
        <v xml:space="preserve">  </v>
      </c>
      <c r="AE102" s="75" t="str">
        <f>IF(I102="",IFERROR(INDEX('8M'!C$300:C$400,MATCH("*"&amp;H102&amp;"*",'8M'!B$300:B$400,0)),"  "),IFERROR(INDEX('8N'!D$300:D$400,MATCH("*"&amp;H102&amp;"*",'8N'!B$300:B$400,0)),"  "))</f>
        <v xml:space="preserve">  </v>
      </c>
      <c r="AF102" s="908" t="str">
        <f>IFERROR(INDEX('8M'!C$300:C$400,MATCH("*"&amp;H102&amp;"*",'8M'!B$300:B$400,0)),"  ")</f>
        <v xml:space="preserve">  </v>
      </c>
      <c r="AG102" s="907" t="str">
        <f>IFERROR(INDEX('8N'!C$300:C$400,MATCH("*"&amp;H102&amp;"*",'8N'!B$300:B$400,0)),"  ")</f>
        <v xml:space="preserve">  </v>
      </c>
      <c r="AH102" s="440"/>
      <c r="AI102" s="75">
        <f>IFERROR(INDEX('9'!C$300:C$400,MATCH("*"&amp;H102&amp;"*",'9'!B$300:B$400,0)),"  ")</f>
        <v>37</v>
      </c>
      <c r="AJ102" s="830">
        <f>IFERROR(INDEX('10'!C$300:C$400,MATCH("*"&amp;H102&amp;"*",'10'!B$300:B$400,0)),"  ")</f>
        <v>52</v>
      </c>
      <c r="AK102" s="75" t="str">
        <f>IFERROR(INDEX('11'!C$300:C$400,MATCH("*"&amp;H102&amp;"*",'11'!B$300:B$400,0)),"  ")</f>
        <v xml:space="preserve">  </v>
      </c>
      <c r="AL102" s="75" t="str">
        <f>IFERROR(INDEX('12'!C$300:C$400,MATCH("*"&amp;H102&amp;"*",'12'!B$300:B$400,0)),"  ")</f>
        <v xml:space="preserve">  </v>
      </c>
      <c r="AM102" s="26">
        <f t="shared" ca="1" si="40"/>
        <v>2</v>
      </c>
      <c r="AN102" s="579">
        <f t="shared" ca="1" si="48"/>
        <v>0</v>
      </c>
      <c r="AO102" s="580">
        <f t="shared" ca="1" si="42"/>
        <v>0</v>
      </c>
      <c r="AP102" s="27">
        <f t="shared" ca="1" si="43"/>
        <v>0</v>
      </c>
      <c r="AQ102" s="933">
        <f t="shared" si="46"/>
        <v>2.0000000000000001E-4</v>
      </c>
      <c r="AR102" s="933">
        <f t="shared" ca="1" si="47"/>
        <v>1E-4</v>
      </c>
    </row>
    <row r="103" spans="1:44" x14ac:dyDescent="0.2">
      <c r="A103" s="851">
        <f t="shared" ca="1" si="31"/>
        <v>68</v>
      </c>
      <c r="B103" s="77">
        <f t="shared" ca="1" si="32"/>
        <v>10090</v>
      </c>
      <c r="C103" s="853" t="str">
        <f t="shared" ca="1" si="44"/>
        <v/>
      </c>
      <c r="D103" s="76">
        <f t="shared" si="33"/>
        <v>0</v>
      </c>
      <c r="E103" s="855" t="str">
        <f t="shared" ca="1" si="45"/>
        <v/>
      </c>
      <c r="F103" s="899">
        <f t="shared" si="34"/>
        <v>0</v>
      </c>
      <c r="G103" s="897">
        <f t="shared" ca="1" si="35"/>
        <v>93</v>
      </c>
      <c r="H103" s="133" t="s">
        <v>145</v>
      </c>
      <c r="I103" s="38"/>
      <c r="J103" s="585"/>
      <c r="K103" s="586" t="s">
        <v>718</v>
      </c>
      <c r="L103" s="587"/>
      <c r="M103" s="857">
        <f ca="1">(IF(COUNT(V103,AA103,AD103,AI103,AJ103,AL103)&lt;5,SUM(V103,AA103,AD103,AI103,AJ103,AL103),SUM(LARGE((V103,AA103,AD103,AI103,AJ103,AL103),{1;2;3;4;5}))))+(IF(COUNT(U103,W103,AB103,AC103,AE103,AK103)&lt;5,SUM(U103,W103,AB103,AC103,AE103,AK103),SUM(LARGE((U103,W103,AB103,AC103,AE103,AK103),{1;2;3;4;5}))))+T103</f>
        <v>90</v>
      </c>
      <c r="N103" s="862">
        <f>IF(I103="n",((IF(COUNT(V103,AA103,AD103,AI103,AJ103,AL103)&lt;5,SUM(V103,AA103,AD103,AI103,AJ103,AL103),SUM(LARGE((V103,AA103,AD103,AI103,AJ103,AL103),{1;2;3;4;5}))))+(IF(COUNT(U103,Y103,AB103,AC103,AG103,AK103)&lt;5,SUM(U103,Y103,AB103,AC103,AG103,AK103),SUM(LARGE((U103,Y103,AB103,AC103,AG103,AK103),{1;2;3;4;5}))))+T103),0)</f>
        <v>0</v>
      </c>
      <c r="O103" s="863">
        <f>IF(J103="j",((IF(COUNT(V103,AA103,AD103,AI103,AJ103,AL103)&lt;5,SUM(V103,AA103,AD103,AI103,AJ103,AL103),SUM(LARGE((V103,AA103,AD103,AI103,AJ103,AL103),{1;2;3;4;5}))))+(IF(COUNT(U103,W103,AB103,AC103,AE103,AK103)&lt;5,SUM(U103,W103,AB103,AC103,AE103,AK103),SUM(LARGE((U103,W103,AB103,AC103,AE103,AK103),{1;2;3;4;5}))))+T103),0)</f>
        <v>0</v>
      </c>
      <c r="P103" s="886" t="str">
        <f t="shared" ca="1" si="36"/>
        <v>090,0</v>
      </c>
      <c r="Q103" s="890">
        <f t="shared" si="37"/>
        <v>6</v>
      </c>
      <c r="R103" s="886" t="str">
        <f t="shared" ca="1" si="38"/>
        <v>0090,0-006</v>
      </c>
      <c r="S103" s="889">
        <f t="shared" ca="1" si="39"/>
        <v>99</v>
      </c>
      <c r="T103" s="847">
        <v>1</v>
      </c>
      <c r="U103" s="75" t="str">
        <f>IFERROR(INDEX('1'!C$300:C$400,MATCH("*"&amp;H103&amp;"*",'1'!B$300:B$400,0)),"  ")</f>
        <v xml:space="preserve">  </v>
      </c>
      <c r="V103" s="199" t="str">
        <f>IFERROR(INDEX('2'!C$300:C$400,MATCH("*"&amp;H103&amp;"*",'2'!B$300:B$400,0)),"  ")</f>
        <v xml:space="preserve">  </v>
      </c>
      <c r="W103" s="199" t="str">
        <f ca="1">IF(I103="",IFERROR(INDEX('3M'!C$300:C$400,MATCH("*"&amp;H103&amp;"*",'3M'!B$300:B$400,0)),"  "),IFERROR(INDEX('3N'!D$300:D$400,MATCH("*"&amp;H103&amp;"*",'3N'!B$300:B$400,0)),"  "))</f>
        <v xml:space="preserve">  </v>
      </c>
      <c r="X103" s="908" t="str">
        <f ca="1">IFERROR(INDEX('3M'!C$300:C$400,MATCH("*"&amp;H103&amp;"*",'3M'!B$300:B$400,0)),"  ")</f>
        <v xml:space="preserve">  </v>
      </c>
      <c r="Y103" s="907" t="str">
        <f ca="1">IFERROR(INDEX('3N'!C$300:C$400,MATCH("*"&amp;H103&amp;"*",'3N'!B$300:B$400,0)),"  ")</f>
        <v xml:space="preserve">  </v>
      </c>
      <c r="Z103" s="440"/>
      <c r="AA103" s="75" t="str">
        <f>IFERROR(INDEX('4'!C$300:C$400,MATCH("*"&amp;H103&amp;"*",'4'!B$300:B$400,0)),"  ")</f>
        <v xml:space="preserve">  </v>
      </c>
      <c r="AB103" s="75" t="str">
        <f>IFERROR(INDEX('5'!C$300:C$400,MATCH("*"&amp;H103&amp;"*",'5'!B$300:B$400,0)),"  ")</f>
        <v xml:space="preserve">  </v>
      </c>
      <c r="AC103" s="75" t="str">
        <f>IFERROR(INDEX('6'!C$300:C$400,MATCH("*"&amp;H103&amp;"*",'6'!B$300:B$400,0)),"  ")</f>
        <v xml:space="preserve">  </v>
      </c>
      <c r="AD103" s="75" t="str">
        <f>IFERROR(INDEX('7'!C$300:C$400,MATCH("*"&amp;H103&amp;"*",'7'!B$300:B$400,0)),"  ")</f>
        <v xml:space="preserve">  </v>
      </c>
      <c r="AE103" s="75" t="str">
        <f>IF(I103="",IFERROR(INDEX('8M'!C$300:C$400,MATCH("*"&amp;H103&amp;"*",'8M'!B$300:B$400,0)),"  "),IFERROR(INDEX('8N'!D$300:D$400,MATCH("*"&amp;H103&amp;"*",'8N'!B$300:B$400,0)),"  "))</f>
        <v xml:space="preserve">  </v>
      </c>
      <c r="AF103" s="908" t="str">
        <f>IFERROR(INDEX('8M'!C$300:C$400,MATCH("*"&amp;H103&amp;"*",'8M'!B$300:B$400,0)),"  ")</f>
        <v xml:space="preserve">  </v>
      </c>
      <c r="AG103" s="907" t="str">
        <f>IFERROR(INDEX('8N'!C$300:C$400,MATCH("*"&amp;H103&amp;"*",'8N'!B$300:B$400,0)),"  ")</f>
        <v xml:space="preserve">  </v>
      </c>
      <c r="AH103" s="440"/>
      <c r="AI103" s="75">
        <f>IFERROR(INDEX('9'!C$300:C$400,MATCH("*"&amp;H103&amp;"*",'9'!B$300:B$400,0)),"  ")</f>
        <v>37</v>
      </c>
      <c r="AJ103" s="830">
        <f>IFERROR(INDEX('10'!C$300:C$400,MATCH("*"&amp;H103&amp;"*",'10'!B$300:B$400,0)),"  ")</f>
        <v>52</v>
      </c>
      <c r="AK103" s="75" t="str">
        <f>IFERROR(INDEX('11'!C$300:C$400,MATCH("*"&amp;H103&amp;"*",'11'!B$300:B$400,0)),"  ")</f>
        <v xml:space="preserve">  </v>
      </c>
      <c r="AL103" s="75" t="str">
        <f>IFERROR(INDEX('12'!C$300:C$400,MATCH("*"&amp;H103&amp;"*",'12'!B$300:B$400,0)),"  ")</f>
        <v xml:space="preserve">  </v>
      </c>
      <c r="AM103" s="26">
        <f t="shared" ca="1" si="40"/>
        <v>2</v>
      </c>
      <c r="AN103" s="579">
        <f t="shared" ca="1" si="48"/>
        <v>0</v>
      </c>
      <c r="AO103" s="580">
        <f t="shared" ca="1" si="42"/>
        <v>0</v>
      </c>
      <c r="AP103" s="27">
        <f t="shared" ca="1" si="43"/>
        <v>0</v>
      </c>
      <c r="AQ103" s="933">
        <f t="shared" si="46"/>
        <v>2.0000000000000001E-4</v>
      </c>
      <c r="AR103" s="933">
        <f t="shared" ca="1" si="47"/>
        <v>1E-4</v>
      </c>
    </row>
    <row r="104" spans="1:44" x14ac:dyDescent="0.2">
      <c r="A104" s="851">
        <f t="shared" ca="1" si="31"/>
        <v>70</v>
      </c>
      <c r="B104" s="77">
        <f t="shared" ca="1" si="32"/>
        <v>10084</v>
      </c>
      <c r="C104" s="853" t="str">
        <f t="shared" ca="1" si="44"/>
        <v/>
      </c>
      <c r="D104" s="76">
        <f t="shared" si="33"/>
        <v>0</v>
      </c>
      <c r="E104" s="855" t="str">
        <f t="shared" ca="1" si="45"/>
        <v/>
      </c>
      <c r="F104" s="899">
        <f t="shared" si="34"/>
        <v>0</v>
      </c>
      <c r="G104" s="897">
        <f t="shared" ca="1" si="35"/>
        <v>96</v>
      </c>
      <c r="H104" s="265" t="s">
        <v>892</v>
      </c>
      <c r="I104" s="38"/>
      <c r="J104" s="585"/>
      <c r="K104" s="586"/>
      <c r="L104" s="588" t="s">
        <v>720</v>
      </c>
      <c r="M104" s="857">
        <f ca="1">(IF(COUNT(V104,AA104,AD104,AI104,AJ104,AL104)&lt;5,SUM(V104,AA104,AD104,AI104,AJ104,AL104),SUM(LARGE((V104,AA104,AD104,AI104,AJ104,AL104),{1;2;3;4;5}))))+(IF(COUNT(U104,W104,AB104,AC104,AE104,AK104)&lt;5,SUM(U104,W104,AB104,AC104,AE104,AK104),SUM(LARGE((U104,W104,AB104,AC104,AE104,AK104),{1;2;3;4;5}))))+T104</f>
        <v>84</v>
      </c>
      <c r="N104" s="862">
        <f>IF(I104="n",((IF(COUNT(V104,AA104,AD104,AI104,AJ104,AL104)&lt;5,SUM(V104,AA104,AD104,AI104,AJ104,AL104),SUM(LARGE((V104,AA104,AD104,AI104,AJ104,AL104),{1;2;3;4;5}))))+(IF(COUNT(U104,Y104,AB104,AC104,AG104,AK104)&lt;5,SUM(U104,Y104,AB104,AC104,AG104,AK104),SUM(LARGE((U104,Y104,AB104,AC104,AG104,AK104),{1;2;3;4;5}))))+T104),0)</f>
        <v>0</v>
      </c>
      <c r="O104" s="863">
        <f>IF(J104="j",((IF(COUNT(V104,AA104,AD104,AI104,AJ104,AL104)&lt;5,SUM(V104,AA104,AD104,AI104,AJ104,AL104),SUM(LARGE((V104,AA104,AD104,AI104,AJ104,AL104),{1;2;3;4;5}))))+(IF(COUNT(U104,W104,AB104,AC104,AE104,AK104)&lt;5,SUM(U104,W104,AB104,AC104,AE104,AK104),SUM(LARGE((U104,W104,AB104,AC104,AE104,AK104),{1;2;3;4;5}))))+T104),0)</f>
        <v>0</v>
      </c>
      <c r="P104" s="886" t="str">
        <f t="shared" ca="1" si="36"/>
        <v>084,0</v>
      </c>
      <c r="Q104" s="890">
        <f t="shared" si="37"/>
        <v>141</v>
      </c>
      <c r="R104" s="886" t="str">
        <f t="shared" ca="1" si="38"/>
        <v>0084,0-141</v>
      </c>
      <c r="S104" s="889">
        <f t="shared" ca="1" si="39"/>
        <v>98</v>
      </c>
      <c r="T104" s="847"/>
      <c r="U104" s="75" t="str">
        <f>IFERROR(INDEX('1'!C$300:C$400,MATCH("*"&amp;H104&amp;"*",'1'!B$300:B$400,0)),"  ")</f>
        <v xml:space="preserve">  </v>
      </c>
      <c r="V104" s="199" t="str">
        <f>IFERROR(INDEX('2'!C$300:C$400,MATCH("*"&amp;H104&amp;"*",'2'!B$300:B$400,0)),"  ")</f>
        <v xml:space="preserve">  </v>
      </c>
      <c r="W104" s="199" t="str">
        <f ca="1">IF(I104="",IFERROR(INDEX('3M'!C$300:C$400,MATCH("*"&amp;H104&amp;"*",'3M'!B$300:B$400,0)),"  "),IFERROR(INDEX('3N'!D$300:D$400,MATCH("*"&amp;H104&amp;"*",'3N'!B$300:B$400,0)),"  "))</f>
        <v xml:space="preserve">  </v>
      </c>
      <c r="X104" s="908" t="str">
        <f ca="1">IFERROR(INDEX('3M'!C$300:C$400,MATCH("*"&amp;H104&amp;"*",'3M'!B$300:B$400,0)),"  ")</f>
        <v xml:space="preserve">  </v>
      </c>
      <c r="Y104" s="907" t="str">
        <f ca="1">IFERROR(INDEX('3N'!C$300:C$400,MATCH("*"&amp;H104&amp;"*",'3N'!B$300:B$400,0)),"  ")</f>
        <v xml:space="preserve">  </v>
      </c>
      <c r="Z104" s="440"/>
      <c r="AA104" s="75" t="str">
        <f>IFERROR(INDEX('4'!C$300:C$400,MATCH("*"&amp;H104&amp;"*",'4'!B$300:B$400,0)),"  ")</f>
        <v xml:space="preserve">  </v>
      </c>
      <c r="AB104" s="75" t="str">
        <f>IFERROR(INDEX('5'!C$300:C$400,MATCH("*"&amp;H104&amp;"*",'5'!B$300:B$400,0)),"  ")</f>
        <v xml:space="preserve">  </v>
      </c>
      <c r="AC104" s="75" t="str">
        <f>IFERROR(INDEX('6'!C$300:C$400,MATCH("*"&amp;H104&amp;"*",'6'!B$300:B$400,0)),"  ")</f>
        <v xml:space="preserve">  </v>
      </c>
      <c r="AD104" s="75" t="str">
        <f>IFERROR(INDEX('7'!C$300:C$400,MATCH("*"&amp;H104&amp;"*",'7'!B$300:B$400,0)),"  ")</f>
        <v xml:space="preserve">  </v>
      </c>
      <c r="AE104" s="75" t="str">
        <f>IF(I104="",IFERROR(INDEX('8M'!C$300:C$400,MATCH("*"&amp;H104&amp;"*",'8M'!B$300:B$400,0)),"  "),IFERROR(INDEX('8N'!D$300:D$400,MATCH("*"&amp;H104&amp;"*",'8N'!B$300:B$400,0)),"  "))</f>
        <v xml:space="preserve">  </v>
      </c>
      <c r="AF104" s="908" t="str">
        <f>IFERROR(INDEX('8M'!C$300:C$400,MATCH("*"&amp;H104&amp;"*",'8M'!B$300:B$400,0)),"  ")</f>
        <v xml:space="preserve">  </v>
      </c>
      <c r="AG104" s="907" t="str">
        <f>IFERROR(INDEX('8N'!C$300:C$400,MATCH("*"&amp;H104&amp;"*",'8N'!B$300:B$400,0)),"  ")</f>
        <v xml:space="preserve">  </v>
      </c>
      <c r="AH104" s="440"/>
      <c r="AI104" s="75" t="str">
        <f>IFERROR(INDEX('9'!C$300:C$400,MATCH("*"&amp;H104&amp;"*",'9'!B$300:B$400,0)),"  ")</f>
        <v xml:space="preserve">  </v>
      </c>
      <c r="AJ104" s="830">
        <f>IFERROR(INDEX('10'!C$300:C$400,MATCH("*"&amp;H104&amp;"*",'10'!B$300:B$400,0)),"  ")</f>
        <v>84</v>
      </c>
      <c r="AK104" s="75" t="str">
        <f>IFERROR(INDEX('11'!C$300:C$400,MATCH("*"&amp;H104&amp;"*",'11'!B$300:B$400,0)),"  ")</f>
        <v xml:space="preserve">  </v>
      </c>
      <c r="AL104" s="75" t="str">
        <f>IFERROR(INDEX('12'!C$300:C$400,MATCH("*"&amp;H104&amp;"*",'12'!B$300:B$400,0)),"  ")</f>
        <v xml:space="preserve">  </v>
      </c>
      <c r="AM104" s="26">
        <f t="shared" ca="1" si="40"/>
        <v>1</v>
      </c>
      <c r="AN104" s="579">
        <f t="shared" ca="1" si="48"/>
        <v>0</v>
      </c>
      <c r="AO104" s="580">
        <f t="shared" ca="1" si="42"/>
        <v>0</v>
      </c>
      <c r="AP104" s="27">
        <f t="shared" ca="1" si="43"/>
        <v>0</v>
      </c>
      <c r="AQ104" s="933">
        <f t="shared" si="46"/>
        <v>2.0000000000000001E-4</v>
      </c>
      <c r="AR104" s="933">
        <f t="shared" ca="1" si="47"/>
        <v>1E-4</v>
      </c>
    </row>
    <row r="105" spans="1:44" x14ac:dyDescent="0.2">
      <c r="A105" s="851" t="str">
        <f t="shared" ref="A105:A136" ca="1" si="49">IF(M105=0,"",IF(I105="n","",RANK(B105,B$9:B$201,0)))</f>
        <v/>
      </c>
      <c r="B105" s="77">
        <f t="shared" ref="B105:B136" si="50">IF(I105="n",0,M105+10000)</f>
        <v>0</v>
      </c>
      <c r="C105" s="853">
        <f t="shared" ca="1" si="44"/>
        <v>28</v>
      </c>
      <c r="D105" s="76">
        <f t="shared" ref="D105:D136" ca="1" si="51">IF(AND((J105="j"),(I105="n")),M105+10000,IF((I105="n"),N105+10000,0))</f>
        <v>10084</v>
      </c>
      <c r="E105" s="855" t="str">
        <f t="shared" ca="1" si="45"/>
        <v/>
      </c>
      <c r="F105" s="899">
        <f t="shared" ref="F105:F136" si="52">IF((J105="j"),O105+10000,0)</f>
        <v>0</v>
      </c>
      <c r="G105" s="897">
        <f t="shared" ca="1" si="35"/>
        <v>96</v>
      </c>
      <c r="H105" s="177" t="s">
        <v>893</v>
      </c>
      <c r="I105" s="38" t="s">
        <v>32</v>
      </c>
      <c r="J105" s="585"/>
      <c r="K105" s="586"/>
      <c r="L105" s="588" t="s">
        <v>720</v>
      </c>
      <c r="M105" s="857">
        <f ca="1">(IF(COUNT(V105,AA105,AD105,AI105,AJ105,AL105)&lt;5,SUM(V105,AA105,AD105,AI105,AJ105,AL105),SUM(LARGE((V105,AA105,AD105,AI105,AJ105,AL105),{1;2;3;4;5}))))+(IF(COUNT(U105,W105,AB105,AC105,AE105,AK105)&lt;5,SUM(U105,W105,AB105,AC105,AE105,AK105),SUM(LARGE((U105,W105,AB105,AC105,AE105,AK105),{1;2;3;4;5}))))+T105</f>
        <v>84</v>
      </c>
      <c r="N105" s="862">
        <f ca="1">IF(I105="n",((IF(COUNT(V105,AA105,AD105,AI105,AJ105,AL105)&lt;5,SUM(V105,AA105,AD105,AI105,AJ105,AL105),SUM(LARGE((V105,AA105,AD105,AI105,AJ105,AL105),{1;2;3;4;5}))))+(IF(COUNT(U105,Y105,AB105,AC105,AG105,AK105)&lt;5,SUM(U105,Y105,AB105,AC105,AG105,AK105),SUM(LARGE((U105,Y105,AB105,AC105,AG105,AK105),{1;2;3;4;5}))))+T105),0)</f>
        <v>84</v>
      </c>
      <c r="O105" s="863">
        <f>IF(J105="j",((IF(COUNT(V105,AA105,AD105,AI105,AJ105,AL105)&lt;5,SUM(V105,AA105,AD105,AI105,AJ105,AL105),SUM(LARGE((V105,AA105,AD105,AI105,AJ105,AL105),{1;2;3;4;5}))))+(IF(COUNT(U105,W105,AB105,AC105,AE105,AK105)&lt;5,SUM(U105,W105,AB105,AC105,AE105,AK105),SUM(LARGE((U105,W105,AB105,AC105,AE105,AK105),{1;2;3;4;5}))))+T105),0)</f>
        <v>0</v>
      </c>
      <c r="P105" s="886" t="str">
        <f t="shared" ref="P105:P136" ca="1" si="53">TEXT(M105,"000,0")</f>
        <v>084,0</v>
      </c>
      <c r="Q105" s="890">
        <f t="shared" ref="Q105:Q136" si="54">COUNTIF(H$9:H$201,"&gt;="&amp;H105)</f>
        <v>126</v>
      </c>
      <c r="R105" s="886" t="str">
        <f t="shared" ref="R105:R136" ca="1" si="55">TEXT(M105,"0000,0")&amp;"-"&amp;TEXT(Q105,"000")</f>
        <v>0084,0-126</v>
      </c>
      <c r="S105" s="889">
        <f t="shared" ref="S105:S136" ca="1" si="56">COUNTIF(R$9:R$201,"&lt;="&amp;R105)</f>
        <v>97</v>
      </c>
      <c r="T105" s="847"/>
      <c r="U105" s="75" t="str">
        <f>IFERROR(INDEX('1'!C$300:C$400,MATCH("*"&amp;H105&amp;"*",'1'!B$300:B$400,0)),"  ")</f>
        <v xml:space="preserve">  </v>
      </c>
      <c r="V105" s="199" t="str">
        <f>IFERROR(INDEX('2'!C$300:C$400,MATCH("*"&amp;H105&amp;"*",'2'!B$300:B$400,0)),"  ")</f>
        <v xml:space="preserve">  </v>
      </c>
      <c r="W105" s="199" t="str">
        <f ca="1">IF(I105="",IFERROR(INDEX('3M'!C$300:C$400,MATCH("*"&amp;H105&amp;"*",'3M'!B$300:B$400,0)),"  "),IFERROR(INDEX('3N'!D$300:D$400,MATCH("*"&amp;H105&amp;"*",'3N'!B$300:B$400,0)),"  "))</f>
        <v xml:space="preserve">  </v>
      </c>
      <c r="X105" s="908" t="str">
        <f ca="1">IFERROR(INDEX('3M'!C$300:C$400,MATCH("*"&amp;H105&amp;"*",'3M'!B$300:B$400,0)),"  ")</f>
        <v xml:space="preserve">  </v>
      </c>
      <c r="Y105" s="907" t="str">
        <f ca="1">IFERROR(INDEX('3N'!C$300:C$400,MATCH("*"&amp;H105&amp;"*",'3N'!B$300:B$400,0)),"  ")</f>
        <v xml:space="preserve">  </v>
      </c>
      <c r="Z105" s="440"/>
      <c r="AA105" s="75" t="str">
        <f>IFERROR(INDEX('4'!C$300:C$400,MATCH("*"&amp;H105&amp;"*",'4'!B$300:B$400,0)),"  ")</f>
        <v xml:space="preserve">  </v>
      </c>
      <c r="AB105" s="75" t="str">
        <f>IFERROR(INDEX('5'!C$300:C$400,MATCH("*"&amp;H105&amp;"*",'5'!B$300:B$400,0)),"  ")</f>
        <v xml:space="preserve">  </v>
      </c>
      <c r="AC105" s="75" t="str">
        <f>IFERROR(INDEX('6'!C$300:C$400,MATCH("*"&amp;H105&amp;"*",'6'!B$300:B$400,0)),"  ")</f>
        <v xml:space="preserve">  </v>
      </c>
      <c r="AD105" s="75" t="str">
        <f>IFERROR(INDEX('7'!C$300:C$400,MATCH("*"&amp;H105&amp;"*",'7'!B$300:B$400,0)),"  ")</f>
        <v xml:space="preserve">  </v>
      </c>
      <c r="AE105" s="75" t="str">
        <f>IF(I105="",IFERROR(INDEX('8M'!C$300:C$400,MATCH("*"&amp;H105&amp;"*",'8M'!B$300:B$400,0)),"  "),IFERROR(INDEX('8N'!D$300:D$400,MATCH("*"&amp;H105&amp;"*",'8N'!B$300:B$400,0)),"  "))</f>
        <v xml:space="preserve">  </v>
      </c>
      <c r="AF105" s="908" t="str">
        <f>IFERROR(INDEX('8M'!C$300:C$400,MATCH("*"&amp;H105&amp;"*",'8M'!B$300:B$400,0)),"  ")</f>
        <v xml:space="preserve">  </v>
      </c>
      <c r="AG105" s="907" t="str">
        <f>IFERROR(INDEX('8N'!C$300:C$400,MATCH("*"&amp;H105&amp;"*",'8N'!B$300:B$400,0)),"  ")</f>
        <v xml:space="preserve">  </v>
      </c>
      <c r="AH105" s="440"/>
      <c r="AI105" s="75" t="str">
        <f>IFERROR(INDEX('9'!C$300:C$400,MATCH("*"&amp;H105&amp;"*",'9'!B$300:B$400,0)),"  ")</f>
        <v xml:space="preserve">  </v>
      </c>
      <c r="AJ105" s="830">
        <f>IFERROR(INDEX('10'!C$300:C$400,MATCH("*"&amp;H105&amp;"*",'10'!B$300:B$400,0)),"  ")</f>
        <v>84</v>
      </c>
      <c r="AK105" s="75" t="str">
        <f>IFERROR(INDEX('11'!C$300:C$400,MATCH("*"&amp;H105&amp;"*",'11'!B$300:B$400,0)),"  ")</f>
        <v xml:space="preserve">  </v>
      </c>
      <c r="AL105" s="75" t="str">
        <f>IFERROR(INDEX('12'!C$300:C$400,MATCH("*"&amp;H105&amp;"*",'12'!B$300:B$400,0)),"  ")</f>
        <v xml:space="preserve">  </v>
      </c>
      <c r="AM105" s="26">
        <f t="shared" ref="AM105:AM136" ca="1" si="57">COUNTIF(U105:W105,"&gt;=0")+COUNTIF(AA105:AE105,"&gt;=0")+COUNTIF(AI105:AL105,"&gt;=0")</f>
        <v>1</v>
      </c>
      <c r="AN105" s="579">
        <f t="shared" ca="1" si="48"/>
        <v>0</v>
      </c>
      <c r="AO105" s="580">
        <f t="shared" ref="AO105:AO136" ca="1" si="58">COUNTIF(V105,"=115")+COUNTIF(AA105,"=115")+COUNTIF(AD105,"=115")+COUNTIF(AI105,"=115")+COUNTIF(AJ105,"=115")+COUNTIF(AL105,"=115")+COUNTIF(U105:AL105,"=173")</f>
        <v>0</v>
      </c>
      <c r="AP105" s="27">
        <f t="shared" ref="AP105:AP136" ca="1" si="59">COUNTIF(U105:V105,"=173")+COUNTIF(X105:AD105,"=173")+COUNTIF(AF105:AL105,"=173")</f>
        <v>0</v>
      </c>
      <c r="AQ105" s="933">
        <f t="shared" si="46"/>
        <v>2.0000000000000001E-4</v>
      </c>
      <c r="AR105" s="933">
        <f t="shared" ca="1" si="47"/>
        <v>1E-4</v>
      </c>
    </row>
    <row r="106" spans="1:44" x14ac:dyDescent="0.2">
      <c r="A106" s="851">
        <f t="shared" ca="1" si="49"/>
        <v>70</v>
      </c>
      <c r="B106" s="77">
        <f t="shared" ca="1" si="50"/>
        <v>10084</v>
      </c>
      <c r="C106" s="853" t="str">
        <f t="shared" ca="1" si="44"/>
        <v/>
      </c>
      <c r="D106" s="76">
        <f t="shared" si="51"/>
        <v>0</v>
      </c>
      <c r="E106" s="855" t="str">
        <f t="shared" ca="1" si="45"/>
        <v/>
      </c>
      <c r="F106" s="899">
        <f t="shared" si="52"/>
        <v>0</v>
      </c>
      <c r="G106" s="897">
        <f t="shared" ca="1" si="35"/>
        <v>96</v>
      </c>
      <c r="H106" s="177" t="s">
        <v>824</v>
      </c>
      <c r="I106" s="38"/>
      <c r="J106" s="585"/>
      <c r="K106" s="586"/>
      <c r="L106" s="587"/>
      <c r="M106" s="857">
        <f ca="1">(IF(COUNT(V106,AA106,AD106,AI106,AJ106,AL106)&lt;5,SUM(V106,AA106,AD106,AI106,AJ106,AL106),SUM(LARGE((V106,AA106,AD106,AI106,AJ106,AL106),{1;2;3;4;5}))))+(IF(COUNT(U106,W106,AB106,AC106,AE106,AK106)&lt;5,SUM(U106,W106,AB106,AC106,AE106,AK106),SUM(LARGE((U106,W106,AB106,AC106,AE106,AK106),{1;2;3;4;5}))))+T106</f>
        <v>84</v>
      </c>
      <c r="N106" s="862">
        <f>IF(I106="n",((IF(COUNT(V106,AA106,AD106,AI106,AJ106,AL106)&lt;5,SUM(V106,AA106,AD106,AI106,AJ106,AL106),SUM(LARGE((V106,AA106,AD106,AI106,AJ106,AL106),{1;2;3;4;5}))))+(IF(COUNT(U106,Y106,AB106,AC106,AG106,AK106)&lt;5,SUM(U106,Y106,AB106,AC106,AG106,AK106),SUM(LARGE((U106,Y106,AB106,AC106,AG106,AK106),{1;2;3;4;5}))))+T106),0)</f>
        <v>0</v>
      </c>
      <c r="O106" s="863">
        <f>IF(J106="j",((IF(COUNT(V106,AA106,AD106,AI106,AJ106,AL106)&lt;5,SUM(V106,AA106,AD106,AI106,AJ106,AL106),SUM(LARGE((V106,AA106,AD106,AI106,AJ106,AL106),{1;2;3;4;5}))))+(IF(COUNT(U106,W106,AB106,AC106,AE106,AK106)&lt;5,SUM(U106,W106,AB106,AC106,AE106,AK106),SUM(LARGE((U106,W106,AB106,AC106,AE106,AK106),{1;2;3;4;5}))))+T106),0)</f>
        <v>0</v>
      </c>
      <c r="P106" s="886" t="str">
        <f t="shared" ca="1" si="53"/>
        <v>084,0</v>
      </c>
      <c r="Q106" s="890">
        <f t="shared" si="54"/>
        <v>19</v>
      </c>
      <c r="R106" s="886" t="str">
        <f t="shared" ca="1" si="55"/>
        <v>0084,0-019</v>
      </c>
      <c r="S106" s="889">
        <f t="shared" ca="1" si="56"/>
        <v>96</v>
      </c>
      <c r="T106" s="847"/>
      <c r="U106" s="75" t="str">
        <f>IFERROR(INDEX('1'!C$300:C$400,MATCH("*"&amp;H106&amp;"*",'1'!B$300:B$400,0)),"  ")</f>
        <v xml:space="preserve">  </v>
      </c>
      <c r="V106" s="199" t="str">
        <f>IFERROR(INDEX('2'!C$300:C$400,MATCH("*"&amp;H106&amp;"*",'2'!B$300:B$400,0)),"  ")</f>
        <v xml:space="preserve">  </v>
      </c>
      <c r="W106" s="199" t="str">
        <f ca="1">IF(I106="",IFERROR(INDEX('3M'!C$300:C$400,MATCH("*"&amp;H106&amp;"*",'3M'!B$300:B$400,0)),"  "),IFERROR(INDEX('3N'!D$300:D$400,MATCH("*"&amp;H106&amp;"*",'3N'!B$300:B$400,0)),"  "))</f>
        <v xml:space="preserve">  </v>
      </c>
      <c r="X106" s="908" t="str">
        <f ca="1">IFERROR(INDEX('3M'!C$300:C$400,MATCH("*"&amp;H106&amp;"*",'3M'!B$300:B$400,0)),"  ")</f>
        <v xml:space="preserve">  </v>
      </c>
      <c r="Y106" s="907" t="str">
        <f ca="1">IFERROR(INDEX('3N'!C$300:C$400,MATCH("*"&amp;H106&amp;"*",'3N'!B$300:B$400,0)),"  ")</f>
        <v xml:space="preserve">  </v>
      </c>
      <c r="Z106" s="440"/>
      <c r="AA106" s="75" t="str">
        <f>IFERROR(INDEX('4'!C$300:C$400,MATCH("*"&amp;H106&amp;"*",'4'!B$300:B$400,0)),"  ")</f>
        <v xml:space="preserve">  </v>
      </c>
      <c r="AB106" s="75" t="str">
        <f>IFERROR(INDEX('5'!C$300:C$400,MATCH("*"&amp;H106&amp;"*",'5'!B$300:B$400,0)),"  ")</f>
        <v xml:space="preserve">  </v>
      </c>
      <c r="AC106" s="75">
        <f>IFERROR(INDEX('6'!C$300:C$400,MATCH("*"&amp;H106&amp;"*",'6'!B$300:B$400,0)),"  ")</f>
        <v>84</v>
      </c>
      <c r="AD106" s="75" t="str">
        <f>IFERROR(INDEX('7'!C$300:C$400,MATCH("*"&amp;H106&amp;"*",'7'!B$300:B$400,0)),"  ")</f>
        <v xml:space="preserve">  </v>
      </c>
      <c r="AE106" s="75" t="str">
        <f>IF(I106="",IFERROR(INDEX('8M'!C$300:C$400,MATCH("*"&amp;H106&amp;"*",'8M'!B$300:B$400,0)),"  "),IFERROR(INDEX('8N'!D$300:D$400,MATCH("*"&amp;H106&amp;"*",'8N'!B$300:B$400,0)),"  "))</f>
        <v xml:space="preserve">  </v>
      </c>
      <c r="AF106" s="908" t="str">
        <f>IFERROR(INDEX('8M'!C$300:C$400,MATCH("*"&amp;H106&amp;"*",'8M'!B$300:B$400,0)),"  ")</f>
        <v xml:space="preserve">  </v>
      </c>
      <c r="AG106" s="907" t="str">
        <f>IFERROR(INDEX('8N'!C$300:C$400,MATCH("*"&amp;H106&amp;"*",'8N'!B$300:B$400,0)),"  ")</f>
        <v xml:space="preserve">  </v>
      </c>
      <c r="AH106" s="440"/>
      <c r="AI106" s="75" t="str">
        <f>IFERROR(INDEX('9'!C$300:C$400,MATCH("*"&amp;H106&amp;"*",'9'!B$300:B$400,0)),"  ")</f>
        <v xml:space="preserve">  </v>
      </c>
      <c r="AJ106" s="830" t="str">
        <f>IFERROR(INDEX('10'!C$300:C$400,MATCH("*"&amp;H106&amp;"*",'10'!B$300:B$400,0)),"  ")</f>
        <v xml:space="preserve">  </v>
      </c>
      <c r="AK106" s="75" t="str">
        <f>IFERROR(INDEX('11'!C$300:C$400,MATCH("*"&amp;H106&amp;"*",'11'!B$300:B$400,0)),"  ")</f>
        <v xml:space="preserve">  </v>
      </c>
      <c r="AL106" s="75" t="str">
        <f>IFERROR(INDEX('12'!C$300:C$400,MATCH("*"&amp;H106&amp;"*",'12'!B$300:B$400,0)),"  ")</f>
        <v xml:space="preserve">  </v>
      </c>
      <c r="AM106" s="26">
        <f t="shared" ca="1" si="57"/>
        <v>1</v>
      </c>
      <c r="AN106" s="579">
        <f t="shared" ca="1" si="48"/>
        <v>0</v>
      </c>
      <c r="AO106" s="580">
        <f t="shared" ca="1" si="58"/>
        <v>0</v>
      </c>
      <c r="AP106" s="27">
        <f t="shared" ca="1" si="59"/>
        <v>0</v>
      </c>
      <c r="AQ106" s="933">
        <f t="shared" si="46"/>
        <v>2.0000000000000001E-4</v>
      </c>
      <c r="AR106" s="933">
        <f t="shared" ca="1" si="47"/>
        <v>1E-4</v>
      </c>
    </row>
    <row r="107" spans="1:44" x14ac:dyDescent="0.2">
      <c r="A107" s="851" t="str">
        <f t="shared" ca="1" si="49"/>
        <v/>
      </c>
      <c r="B107" s="77">
        <f t="shared" si="50"/>
        <v>0</v>
      </c>
      <c r="C107" s="853">
        <f t="shared" ca="1" si="44"/>
        <v>29</v>
      </c>
      <c r="D107" s="76">
        <f t="shared" ca="1" si="51"/>
        <v>10079</v>
      </c>
      <c r="E107" s="855" t="str">
        <f t="shared" ca="1" si="45"/>
        <v/>
      </c>
      <c r="F107" s="899">
        <f t="shared" si="52"/>
        <v>0</v>
      </c>
      <c r="G107" s="897">
        <f t="shared" ca="1" si="35"/>
        <v>99</v>
      </c>
      <c r="H107" s="265" t="s">
        <v>308</v>
      </c>
      <c r="I107" s="38" t="s">
        <v>32</v>
      </c>
      <c r="J107" s="585"/>
      <c r="K107" s="586"/>
      <c r="L107" s="587"/>
      <c r="M107" s="857">
        <f ca="1">(IF(COUNT(V107,AA107,AD107,AI107,AJ107,AL107)&lt;5,SUM(V107,AA107,AD107,AI107,AJ107,AL107),SUM(LARGE((V107,AA107,AD107,AI107,AJ107,AL107),{1;2;3;4;5}))))+(IF(COUNT(U107,W107,AB107,AC107,AE107,AK107)&lt;5,SUM(U107,W107,AB107,AC107,AE107,AK107),SUM(LARGE((U107,W107,AB107,AC107,AE107,AK107),{1;2;3;4;5}))))+T107</f>
        <v>79</v>
      </c>
      <c r="N107" s="862">
        <f ca="1">IF(I107="n",((IF(COUNT(V107,AA107,AD107,AI107,AJ107,AL107)&lt;5,SUM(V107,AA107,AD107,AI107,AJ107,AL107),SUM(LARGE((V107,AA107,AD107,AI107,AJ107,AL107),{1;2;3;4;5}))))+(IF(COUNT(U107,Y107,AB107,AC107,AG107,AK107)&lt;5,SUM(U107,Y107,AB107,AC107,AG107,AK107),SUM(LARGE((U107,Y107,AB107,AC107,AG107,AK107),{1;2;3;4;5}))))+T107),0)</f>
        <v>79</v>
      </c>
      <c r="O107" s="863">
        <f>IF(J107="j",((IF(COUNT(V107,AA107,AD107,AI107,AJ107,AL107)&lt;5,SUM(V107,AA107,AD107,AI107,AJ107,AL107),SUM(LARGE((V107,AA107,AD107,AI107,AJ107,AL107),{1;2;3;4;5}))))+(IF(COUNT(U107,W107,AB107,AC107,AE107,AK107)&lt;5,SUM(U107,W107,AB107,AC107,AE107,AK107),SUM(LARGE((U107,W107,AB107,AC107,AE107,AK107),{1;2;3;4;5}))))+T107),0)</f>
        <v>0</v>
      </c>
      <c r="P107" s="886" t="str">
        <f t="shared" ca="1" si="53"/>
        <v>079,0</v>
      </c>
      <c r="Q107" s="890">
        <f t="shared" si="54"/>
        <v>111</v>
      </c>
      <c r="R107" s="886" t="str">
        <f t="shared" ca="1" si="55"/>
        <v>0079,0-111</v>
      </c>
      <c r="S107" s="889">
        <f t="shared" ca="1" si="56"/>
        <v>95</v>
      </c>
      <c r="T107" s="847"/>
      <c r="U107" s="75" t="str">
        <f>IFERROR(INDEX('1'!C$300:C$400,MATCH("*"&amp;H107&amp;"*",'1'!B$300:B$400,0)),"  ")</f>
        <v xml:space="preserve">  </v>
      </c>
      <c r="V107" s="199">
        <f>IFERROR(INDEX('2'!C$300:C$400,MATCH("*"&amp;H107&amp;"*",'2'!B$300:B$400,0)),"  ")</f>
        <v>79</v>
      </c>
      <c r="W107" s="199" t="str">
        <f ca="1">IF(I107="",IFERROR(INDEX('3M'!C$300:C$400,MATCH("*"&amp;H107&amp;"*",'3M'!B$300:B$400,0)),"  "),IFERROR(INDEX('3N'!D$300:D$400,MATCH("*"&amp;H107&amp;"*",'3N'!B$300:B$400,0)),"  "))</f>
        <v xml:space="preserve">  </v>
      </c>
      <c r="X107" s="908" t="str">
        <f ca="1">IFERROR(INDEX('3M'!C$300:C$400,MATCH("*"&amp;H107&amp;"*",'3M'!B$300:B$400,0)),"  ")</f>
        <v xml:space="preserve">  </v>
      </c>
      <c r="Y107" s="907" t="str">
        <f ca="1">IFERROR(INDEX('3N'!C$300:C$400,MATCH("*"&amp;H107&amp;"*",'3N'!B$300:B$400,0)),"  ")</f>
        <v xml:space="preserve">  </v>
      </c>
      <c r="Z107" s="440"/>
      <c r="AA107" s="75" t="str">
        <f>IFERROR(INDEX('4'!C$300:C$400,MATCH("*"&amp;H107&amp;"*",'4'!B$300:B$400,0)),"  ")</f>
        <v xml:space="preserve">  </v>
      </c>
      <c r="AB107" s="75" t="str">
        <f>IFERROR(INDEX('5'!C$300:C$400,MATCH("*"&amp;H107&amp;"*",'5'!B$300:B$400,0)),"  ")</f>
        <v xml:space="preserve">  </v>
      </c>
      <c r="AC107" s="75" t="str">
        <f>IFERROR(INDEX('6'!C$300:C$400,MATCH("*"&amp;H107&amp;"*",'6'!B$300:B$400,0)),"  ")</f>
        <v xml:space="preserve">  </v>
      </c>
      <c r="AD107" s="75" t="str">
        <f>IFERROR(INDEX('7'!C$300:C$400,MATCH("*"&amp;H107&amp;"*",'7'!B$300:B$400,0)),"  ")</f>
        <v xml:space="preserve">  </v>
      </c>
      <c r="AE107" s="75" t="str">
        <f>IF(I107="",IFERROR(INDEX('8M'!C$300:C$400,MATCH("*"&amp;H107&amp;"*",'8M'!B$300:B$400,0)),"  "),IFERROR(INDEX('8N'!D$300:D$400,MATCH("*"&amp;H107&amp;"*",'8N'!B$300:B$400,0)),"  "))</f>
        <v xml:space="preserve">  </v>
      </c>
      <c r="AF107" s="908" t="str">
        <f>IFERROR(INDEX('8M'!C$300:C$400,MATCH("*"&amp;H107&amp;"*",'8M'!B$300:B$400,0)),"  ")</f>
        <v xml:space="preserve">  </v>
      </c>
      <c r="AG107" s="907" t="str">
        <f>IFERROR(INDEX('8N'!C$300:C$400,MATCH("*"&amp;H107&amp;"*",'8N'!B$300:B$400,0)),"  ")</f>
        <v xml:space="preserve">  </v>
      </c>
      <c r="AH107" s="440"/>
      <c r="AI107" s="75" t="str">
        <f>IFERROR(INDEX('9'!C$300:C$400,MATCH("*"&amp;H107&amp;"*",'9'!B$300:B$400,0)),"  ")</f>
        <v xml:space="preserve">  </v>
      </c>
      <c r="AJ107" s="830" t="str">
        <f>IFERROR(INDEX('10'!C$300:C$400,MATCH("*"&amp;H107&amp;"*",'10'!B$300:B$400,0)),"  ")</f>
        <v xml:space="preserve">  </v>
      </c>
      <c r="AK107" s="75" t="str">
        <f>IFERROR(INDEX('11'!C$300:C$400,MATCH("*"&amp;H107&amp;"*",'11'!B$300:B$400,0)),"  ")</f>
        <v xml:space="preserve">  </v>
      </c>
      <c r="AL107" s="75" t="str">
        <f>IFERROR(INDEX('12'!C$300:C$400,MATCH("*"&amp;H107&amp;"*",'12'!B$300:B$400,0)),"  ")</f>
        <v xml:space="preserve">  </v>
      </c>
      <c r="AM107" s="26">
        <f t="shared" ca="1" si="57"/>
        <v>1</v>
      </c>
      <c r="AN107" s="579">
        <f t="shared" ca="1" si="48"/>
        <v>0</v>
      </c>
      <c r="AO107" s="580">
        <f t="shared" ca="1" si="58"/>
        <v>0</v>
      </c>
      <c r="AP107" s="27">
        <f t="shared" ca="1" si="59"/>
        <v>0</v>
      </c>
      <c r="AQ107" s="933">
        <f t="shared" si="46"/>
        <v>4.0000000000000002E-4</v>
      </c>
      <c r="AR107" s="933">
        <f t="shared" ca="1" si="47"/>
        <v>1E-4</v>
      </c>
    </row>
    <row r="108" spans="1:44" x14ac:dyDescent="0.2">
      <c r="A108" s="851">
        <f t="shared" ca="1" si="49"/>
        <v>72</v>
      </c>
      <c r="B108" s="77">
        <f t="shared" ca="1" si="50"/>
        <v>10079</v>
      </c>
      <c r="C108" s="853" t="str">
        <f t="shared" ca="1" si="44"/>
        <v/>
      </c>
      <c r="D108" s="76">
        <f t="shared" si="51"/>
        <v>0</v>
      </c>
      <c r="E108" s="855" t="str">
        <f t="shared" ca="1" si="45"/>
        <v/>
      </c>
      <c r="F108" s="899">
        <f t="shared" si="52"/>
        <v>0</v>
      </c>
      <c r="G108" s="897">
        <f t="shared" ca="1" si="35"/>
        <v>99</v>
      </c>
      <c r="H108" s="177" t="s">
        <v>802</v>
      </c>
      <c r="I108" s="38"/>
      <c r="J108" s="585"/>
      <c r="K108" s="586"/>
      <c r="L108" s="587"/>
      <c r="M108" s="857">
        <f ca="1">(IF(COUNT(V108,AA108,AD108,AI108,AJ108,AL108)&lt;5,SUM(V108,AA108,AD108,AI108,AJ108,AL108),SUM(LARGE((V108,AA108,AD108,AI108,AJ108,AL108),{1;2;3;4;5}))))+(IF(COUNT(U108,W108,AB108,AC108,AE108,AK108)&lt;5,SUM(U108,W108,AB108,AC108,AE108,AK108),SUM(LARGE((U108,W108,AB108,AC108,AE108,AK108),{1;2;3;4;5}))))+T108</f>
        <v>79</v>
      </c>
      <c r="N108" s="862">
        <f>IF(I108="n",((IF(COUNT(V108,AA108,AD108,AI108,AJ108,AL108)&lt;5,SUM(V108,AA108,AD108,AI108,AJ108,AL108),SUM(LARGE((V108,AA108,AD108,AI108,AJ108,AL108),{1;2;3;4;5}))))+(IF(COUNT(U108,Y108,AB108,AC108,AG108,AK108)&lt;5,SUM(U108,Y108,AB108,AC108,AG108,AK108),SUM(LARGE((U108,Y108,AB108,AC108,AG108,AK108),{1;2;3;4;5}))))+T108),0)</f>
        <v>0</v>
      </c>
      <c r="O108" s="863">
        <f>IF(J108="j",((IF(COUNT(V108,AA108,AD108,AI108,AJ108,AL108)&lt;5,SUM(V108,AA108,AD108,AI108,AJ108,AL108),SUM(LARGE((V108,AA108,AD108,AI108,AJ108,AL108),{1;2;3;4;5}))))+(IF(COUNT(U108,W108,AB108,AC108,AE108,AK108)&lt;5,SUM(U108,W108,AB108,AC108,AE108,AK108),SUM(LARGE((U108,W108,AB108,AC108,AE108,AK108),{1;2;3;4;5}))))+T108),0)</f>
        <v>0</v>
      </c>
      <c r="P108" s="886" t="str">
        <f t="shared" ca="1" si="53"/>
        <v>079,0</v>
      </c>
      <c r="Q108" s="890">
        <f t="shared" si="54"/>
        <v>65</v>
      </c>
      <c r="R108" s="886" t="str">
        <f t="shared" ca="1" si="55"/>
        <v>0079,0-065</v>
      </c>
      <c r="S108" s="889">
        <f t="shared" ca="1" si="56"/>
        <v>94</v>
      </c>
      <c r="T108" s="847"/>
      <c r="U108" s="75" t="str">
        <f>IFERROR(INDEX('1'!C$300:C$400,MATCH("*"&amp;H108&amp;"*",'1'!B$300:B$400,0)),"  ")</f>
        <v xml:space="preserve">  </v>
      </c>
      <c r="V108" s="199" t="str">
        <f>IFERROR(INDEX('2'!C$300:C$400,MATCH("*"&amp;H108&amp;"*",'2'!B$300:B$400,0)),"  ")</f>
        <v xml:space="preserve">  </v>
      </c>
      <c r="W108" s="199" t="str">
        <f ca="1">IF(I108="",IFERROR(INDEX('3M'!C$300:C$400,MATCH("*"&amp;H108&amp;"*",'3M'!B$300:B$400,0)),"  "),IFERROR(INDEX('3N'!D$300:D$400,MATCH("*"&amp;H108&amp;"*",'3N'!B$300:B$400,0)),"  "))</f>
        <v xml:space="preserve">  </v>
      </c>
      <c r="X108" s="908" t="str">
        <f ca="1">IFERROR(INDEX('3M'!C$300:C$400,MATCH("*"&amp;H108&amp;"*",'3M'!B$300:B$400,0)),"  ")</f>
        <v xml:space="preserve">  </v>
      </c>
      <c r="Y108" s="907" t="str">
        <f ca="1">IFERROR(INDEX('3N'!C$300:C$400,MATCH("*"&amp;H108&amp;"*",'3N'!B$300:B$400,0)),"  ")</f>
        <v xml:space="preserve">  </v>
      </c>
      <c r="Z108" s="440"/>
      <c r="AA108" s="75">
        <f>IFERROR(INDEX('4'!C$300:C$400,MATCH("*"&amp;H108&amp;"*",'4'!B$300:B$400,0)),"  ")</f>
        <v>79</v>
      </c>
      <c r="AB108" s="75" t="str">
        <f>IFERROR(INDEX('5'!C$300:C$400,MATCH("*"&amp;H108&amp;"*",'5'!B$300:B$400,0)),"  ")</f>
        <v xml:space="preserve">  </v>
      </c>
      <c r="AC108" s="75" t="str">
        <f>IFERROR(INDEX('6'!C$300:C$400,MATCH("*"&amp;H108&amp;"*",'6'!B$300:B$400,0)),"  ")</f>
        <v xml:space="preserve">  </v>
      </c>
      <c r="AD108" s="75" t="str">
        <f>IFERROR(INDEX('7'!C$300:C$400,MATCH("*"&amp;H108&amp;"*",'7'!B$300:B$400,0)),"  ")</f>
        <v xml:space="preserve">  </v>
      </c>
      <c r="AE108" s="75" t="str">
        <f>IF(I108="",IFERROR(INDEX('8M'!C$300:C$400,MATCH("*"&amp;H108&amp;"*",'8M'!B$300:B$400,0)),"  "),IFERROR(INDEX('8N'!D$300:D$400,MATCH("*"&amp;H108&amp;"*",'8N'!B$300:B$400,0)),"  "))</f>
        <v xml:space="preserve">  </v>
      </c>
      <c r="AF108" s="908" t="str">
        <f>IFERROR(INDEX('8M'!C$300:C$400,MATCH("*"&amp;H108&amp;"*",'8M'!B$300:B$400,0)),"  ")</f>
        <v xml:space="preserve">  </v>
      </c>
      <c r="AG108" s="907" t="str">
        <f>IFERROR(INDEX('8N'!C$300:C$400,MATCH("*"&amp;H108&amp;"*",'8N'!B$300:B$400,0)),"  ")</f>
        <v xml:space="preserve">  </v>
      </c>
      <c r="AH108" s="440"/>
      <c r="AI108" s="75" t="str">
        <f>IFERROR(INDEX('9'!C$300:C$400,MATCH("*"&amp;H108&amp;"*",'9'!B$300:B$400,0)),"  ")</f>
        <v xml:space="preserve">  </v>
      </c>
      <c r="AJ108" s="830" t="str">
        <f>IFERROR(INDEX('10'!C$300:C$400,MATCH("*"&amp;H108&amp;"*",'10'!B$300:B$400,0)),"  ")</f>
        <v xml:space="preserve">  </v>
      </c>
      <c r="AK108" s="75" t="str">
        <f>IFERROR(INDEX('11'!C$300:C$400,MATCH("*"&amp;H108&amp;"*",'11'!B$300:B$400,0)),"  ")</f>
        <v xml:space="preserve">  </v>
      </c>
      <c r="AL108" s="75" t="str">
        <f>IFERROR(INDEX('12'!C$300:C$400,MATCH("*"&amp;H108&amp;"*",'12'!B$300:B$400,0)),"  ")</f>
        <v xml:space="preserve">  </v>
      </c>
      <c r="AM108" s="26">
        <f t="shared" ca="1" si="57"/>
        <v>1</v>
      </c>
      <c r="AN108" s="579">
        <f t="shared" ca="1" si="48"/>
        <v>0</v>
      </c>
      <c r="AO108" s="580">
        <f t="shared" ca="1" si="58"/>
        <v>0</v>
      </c>
      <c r="AP108" s="27">
        <f t="shared" ca="1" si="59"/>
        <v>0</v>
      </c>
      <c r="AQ108" s="933">
        <f t="shared" si="46"/>
        <v>2.0000000000000001E-4</v>
      </c>
      <c r="AR108" s="933">
        <f t="shared" ca="1" si="47"/>
        <v>1E-4</v>
      </c>
    </row>
    <row r="109" spans="1:44" x14ac:dyDescent="0.2">
      <c r="A109" s="851">
        <f t="shared" ca="1" si="49"/>
        <v>72</v>
      </c>
      <c r="B109" s="77">
        <f t="shared" ca="1" si="50"/>
        <v>10079</v>
      </c>
      <c r="C109" s="853" t="str">
        <f t="shared" ca="1" si="44"/>
        <v/>
      </c>
      <c r="D109" s="76">
        <f t="shared" si="51"/>
        <v>0</v>
      </c>
      <c r="E109" s="855" t="str">
        <f t="shared" ca="1" si="45"/>
        <v/>
      </c>
      <c r="F109" s="899">
        <f t="shared" si="52"/>
        <v>0</v>
      </c>
      <c r="G109" s="897">
        <f t="shared" ca="1" si="35"/>
        <v>99</v>
      </c>
      <c r="H109" s="177" t="s">
        <v>804</v>
      </c>
      <c r="I109" s="38"/>
      <c r="J109" s="585"/>
      <c r="K109" s="586"/>
      <c r="L109" s="587"/>
      <c r="M109" s="857">
        <f ca="1">(IF(COUNT(V109,AA109,AD109,AI109,AJ109,AL109)&lt;5,SUM(V109,AA109,AD109,AI109,AJ109,AL109),SUM(LARGE((V109,AA109,AD109,AI109,AJ109,AL109),{1;2;3;4;5}))))+(IF(COUNT(U109,W109,AB109,AC109,AE109,AK109)&lt;5,SUM(U109,W109,AB109,AC109,AE109,AK109),SUM(LARGE((U109,W109,AB109,AC109,AE109,AK109),{1;2;3;4;5}))))+T109</f>
        <v>79</v>
      </c>
      <c r="N109" s="862">
        <f>IF(I109="n",((IF(COUNT(V109,AA109,AD109,AI109,AJ109,AL109)&lt;5,SUM(V109,AA109,AD109,AI109,AJ109,AL109),SUM(LARGE((V109,AA109,AD109,AI109,AJ109,AL109),{1;2;3;4;5}))))+(IF(COUNT(U109,Y109,AB109,AC109,AG109,AK109)&lt;5,SUM(U109,Y109,AB109,AC109,AG109,AK109),SUM(LARGE((U109,Y109,AB109,AC109,AG109,AK109),{1;2;3;4;5}))))+T109),0)</f>
        <v>0</v>
      </c>
      <c r="O109" s="863">
        <f>IF(J109="j",((IF(COUNT(V109,AA109,AD109,AI109,AJ109,AL109)&lt;5,SUM(V109,AA109,AD109,AI109,AJ109,AL109),SUM(LARGE((V109,AA109,AD109,AI109,AJ109,AL109),{1;2;3;4;5}))))+(IF(COUNT(U109,W109,AB109,AC109,AE109,AK109)&lt;5,SUM(U109,W109,AB109,AC109,AE109,AK109),SUM(LARGE((U109,W109,AB109,AC109,AE109,AK109),{1;2;3;4;5}))))+T109),0)</f>
        <v>0</v>
      </c>
      <c r="P109" s="886" t="str">
        <f t="shared" ca="1" si="53"/>
        <v>079,0</v>
      </c>
      <c r="Q109" s="890">
        <f t="shared" si="54"/>
        <v>42</v>
      </c>
      <c r="R109" s="886" t="str">
        <f t="shared" ca="1" si="55"/>
        <v>0079,0-042</v>
      </c>
      <c r="S109" s="889">
        <f t="shared" ca="1" si="56"/>
        <v>93</v>
      </c>
      <c r="T109" s="847"/>
      <c r="U109" s="75" t="str">
        <f>IFERROR(INDEX('1'!C$300:C$400,MATCH("*"&amp;H109&amp;"*",'1'!B$300:B$400,0)),"  ")</f>
        <v xml:space="preserve">  </v>
      </c>
      <c r="V109" s="199" t="str">
        <f>IFERROR(INDEX('2'!C$300:C$400,MATCH("*"&amp;H109&amp;"*",'2'!B$300:B$400,0)),"  ")</f>
        <v xml:space="preserve">  </v>
      </c>
      <c r="W109" s="199" t="str">
        <f ca="1">IF(I109="",IFERROR(INDEX('3M'!C$300:C$400,MATCH("*"&amp;H109&amp;"*",'3M'!B$300:B$400,0)),"  "),IFERROR(INDEX('3N'!D$300:D$400,MATCH("*"&amp;H109&amp;"*",'3N'!B$300:B$400,0)),"  "))</f>
        <v xml:space="preserve">  </v>
      </c>
      <c r="X109" s="908" t="str">
        <f ca="1">IFERROR(INDEX('3M'!C$300:C$400,MATCH("*"&amp;H109&amp;"*",'3M'!B$300:B$400,0)),"  ")</f>
        <v xml:space="preserve">  </v>
      </c>
      <c r="Y109" s="907" t="str">
        <f ca="1">IFERROR(INDEX('3N'!C$300:C$400,MATCH("*"&amp;H109&amp;"*",'3N'!B$300:B$400,0)),"  ")</f>
        <v xml:space="preserve">  </v>
      </c>
      <c r="Z109" s="440"/>
      <c r="AA109" s="75">
        <f>IFERROR(INDEX('4'!C$300:C$400,MATCH("*"&amp;H109&amp;"*",'4'!B$300:B$400,0)),"  ")</f>
        <v>79</v>
      </c>
      <c r="AB109" s="75" t="str">
        <f>IFERROR(INDEX('5'!C$300:C$400,MATCH("*"&amp;H109&amp;"*",'5'!B$300:B$400,0)),"  ")</f>
        <v xml:space="preserve">  </v>
      </c>
      <c r="AC109" s="75" t="str">
        <f>IFERROR(INDEX('6'!C$300:C$400,MATCH("*"&amp;H109&amp;"*",'6'!B$300:B$400,0)),"  ")</f>
        <v xml:space="preserve">  </v>
      </c>
      <c r="AD109" s="75" t="str">
        <f>IFERROR(INDEX('7'!C$300:C$400,MATCH("*"&amp;H109&amp;"*",'7'!B$300:B$400,0)),"  ")</f>
        <v xml:space="preserve">  </v>
      </c>
      <c r="AE109" s="75" t="str">
        <f>IF(I109="",IFERROR(INDEX('8M'!C$300:C$400,MATCH("*"&amp;H109&amp;"*",'8M'!B$300:B$400,0)),"  "),IFERROR(INDEX('8N'!D$300:D$400,MATCH("*"&amp;H109&amp;"*",'8N'!B$300:B$400,0)),"  "))</f>
        <v xml:space="preserve">  </v>
      </c>
      <c r="AF109" s="908" t="str">
        <f>IFERROR(INDEX('8M'!C$300:C$400,MATCH("*"&amp;H109&amp;"*",'8M'!B$300:B$400,0)),"  ")</f>
        <v xml:space="preserve">  </v>
      </c>
      <c r="AG109" s="907" t="str">
        <f>IFERROR(INDEX('8N'!C$300:C$400,MATCH("*"&amp;H109&amp;"*",'8N'!B$300:B$400,0)),"  ")</f>
        <v xml:space="preserve">  </v>
      </c>
      <c r="AH109" s="440"/>
      <c r="AI109" s="75" t="str">
        <f>IFERROR(INDEX('9'!C$300:C$400,MATCH("*"&amp;H109&amp;"*",'9'!B$300:B$400,0)),"  ")</f>
        <v xml:space="preserve">  </v>
      </c>
      <c r="AJ109" s="830" t="str">
        <f>IFERROR(INDEX('10'!C$300:C$400,MATCH("*"&amp;H109&amp;"*",'10'!B$300:B$400,0)),"  ")</f>
        <v xml:space="preserve">  </v>
      </c>
      <c r="AK109" s="75" t="str">
        <f>IFERROR(INDEX('11'!C$300:C$400,MATCH("*"&amp;H109&amp;"*",'11'!B$300:B$400,0)),"  ")</f>
        <v xml:space="preserve">  </v>
      </c>
      <c r="AL109" s="75" t="str">
        <f>IFERROR(INDEX('12'!C$300:C$400,MATCH("*"&amp;H109&amp;"*",'12'!B$300:B$400,0)),"  ")</f>
        <v xml:space="preserve">  </v>
      </c>
      <c r="AM109" s="26">
        <f t="shared" ca="1" si="57"/>
        <v>1</v>
      </c>
      <c r="AN109" s="579">
        <f t="shared" ca="1" si="48"/>
        <v>0</v>
      </c>
      <c r="AO109" s="580">
        <f t="shared" ca="1" si="58"/>
        <v>0</v>
      </c>
      <c r="AP109" s="27">
        <f t="shared" ca="1" si="59"/>
        <v>0</v>
      </c>
      <c r="AQ109" s="933">
        <f t="shared" si="46"/>
        <v>2.0000000000000001E-4</v>
      </c>
      <c r="AR109" s="933">
        <f t="shared" ca="1" si="47"/>
        <v>1E-4</v>
      </c>
    </row>
    <row r="110" spans="1:44" x14ac:dyDescent="0.2">
      <c r="A110" s="851">
        <f t="shared" ca="1" si="49"/>
        <v>74</v>
      </c>
      <c r="B110" s="77">
        <f t="shared" ca="1" si="50"/>
        <v>10078</v>
      </c>
      <c r="C110" s="853" t="str">
        <f t="shared" ca="1" si="44"/>
        <v/>
      </c>
      <c r="D110" s="76">
        <f t="shared" si="51"/>
        <v>0</v>
      </c>
      <c r="E110" s="855" t="str">
        <f t="shared" ca="1" si="45"/>
        <v/>
      </c>
      <c r="F110" s="899">
        <f t="shared" si="52"/>
        <v>0</v>
      </c>
      <c r="G110" s="897">
        <f t="shared" ca="1" si="35"/>
        <v>102</v>
      </c>
      <c r="H110" s="133" t="s">
        <v>631</v>
      </c>
      <c r="I110" s="38"/>
      <c r="J110" s="585"/>
      <c r="K110" s="586"/>
      <c r="L110" s="587"/>
      <c r="M110" s="857">
        <f ca="1">(IF(COUNT(V110,AA110,AD110,AI110,AJ110,AL110)&lt;5,SUM(V110,AA110,AD110,AI110,AJ110,AL110),SUM(LARGE((V110,AA110,AD110,AI110,AJ110,AL110),{1;2;3;4;5}))))+(IF(COUNT(U110,W110,AB110,AC110,AE110,AK110)&lt;5,SUM(U110,W110,AB110,AC110,AE110,AK110),SUM(LARGE((U110,W110,AB110,AC110,AE110,AK110),{1;2;3;4;5}))))+T110</f>
        <v>78</v>
      </c>
      <c r="N110" s="862">
        <f>IF(I110="n",((IF(COUNT(V110,AA110,AD110,AI110,AJ110,AL110)&lt;5,SUM(V110,AA110,AD110,AI110,AJ110,AL110),SUM(LARGE((V110,AA110,AD110,AI110,AJ110,AL110),{1;2;3;4;5}))))+(IF(COUNT(U110,Y110,AB110,AC110,AG110,AK110)&lt;5,SUM(U110,Y110,AB110,AC110,AG110,AK110),SUM(LARGE((U110,Y110,AB110,AC110,AG110,AK110),{1;2;3;4;5}))))+T110),0)</f>
        <v>0</v>
      </c>
      <c r="O110" s="863">
        <f>IF(J110="j",((IF(COUNT(V110,AA110,AD110,AI110,AJ110,AL110)&lt;5,SUM(V110,AA110,AD110,AI110,AJ110,AL110),SUM(LARGE((V110,AA110,AD110,AI110,AJ110,AL110),{1;2;3;4;5}))))+(IF(COUNT(U110,W110,AB110,AC110,AE110,AK110)&lt;5,SUM(U110,W110,AB110,AC110,AE110,AK110),SUM(LARGE((U110,W110,AB110,AC110,AE110,AK110),{1;2;3;4;5}))))+T110),0)</f>
        <v>0</v>
      </c>
      <c r="P110" s="886" t="str">
        <f t="shared" ca="1" si="53"/>
        <v>078,0</v>
      </c>
      <c r="Q110" s="890">
        <f t="shared" si="54"/>
        <v>21</v>
      </c>
      <c r="R110" s="886" t="str">
        <f t="shared" ca="1" si="55"/>
        <v>0078,0-021</v>
      </c>
      <c r="S110" s="889">
        <f t="shared" ca="1" si="56"/>
        <v>92</v>
      </c>
      <c r="T110" s="847"/>
      <c r="U110" s="75" t="str">
        <f>IFERROR(INDEX('1'!C$300:C$400,MATCH("*"&amp;H110&amp;"*",'1'!B$300:B$400,0)),"  ")</f>
        <v xml:space="preserve">  </v>
      </c>
      <c r="V110" s="199" t="str">
        <f>IFERROR(INDEX('2'!C$300:C$400,MATCH("*"&amp;H110&amp;"*",'2'!B$300:B$400,0)),"  ")</f>
        <v xml:space="preserve">  </v>
      </c>
      <c r="W110" s="199" t="str">
        <f ca="1">IF(I110="",IFERROR(INDEX('3M'!C$300:C$400,MATCH("*"&amp;H110&amp;"*",'3M'!B$300:B$400,0)),"  "),IFERROR(INDEX('3N'!D$300:D$400,MATCH("*"&amp;H110&amp;"*",'3N'!B$300:B$400,0)),"  "))</f>
        <v xml:space="preserve">  </v>
      </c>
      <c r="X110" s="908" t="str">
        <f ca="1">IFERROR(INDEX('3M'!C$300:C$400,MATCH("*"&amp;H110&amp;"*",'3M'!B$300:B$400,0)),"  ")</f>
        <v xml:space="preserve">  </v>
      </c>
      <c r="Y110" s="907" t="str">
        <f ca="1">IFERROR(INDEX('3N'!C$300:C$400,MATCH("*"&amp;H110&amp;"*",'3N'!B$300:B$400,0)),"  ")</f>
        <v xml:space="preserve">  </v>
      </c>
      <c r="Z110" s="440"/>
      <c r="AA110" s="75" t="str">
        <f>IFERROR(INDEX('4'!C$300:C$400,MATCH("*"&amp;H110&amp;"*",'4'!B$300:B$400,0)),"  ")</f>
        <v xml:space="preserve">  </v>
      </c>
      <c r="AB110" s="75">
        <f>IFERROR(INDEX('5'!C$300:C$400,MATCH("*"&amp;H110&amp;"*",'5'!B$300:B$400,0)),"  ")</f>
        <v>78</v>
      </c>
      <c r="AC110" s="75" t="str">
        <f>IFERROR(INDEX('6'!C$300:C$400,MATCH("*"&amp;H110&amp;"*",'6'!B$300:B$400,0)),"  ")</f>
        <v xml:space="preserve">  </v>
      </c>
      <c r="AD110" s="75" t="str">
        <f>IFERROR(INDEX('7'!C$300:C$400,MATCH("*"&amp;H110&amp;"*",'7'!B$300:B$400,0)),"  ")</f>
        <v xml:space="preserve">  </v>
      </c>
      <c r="AE110" s="75" t="str">
        <f>IF(I110="",IFERROR(INDEX('8M'!C$300:C$400,MATCH("*"&amp;H110&amp;"*",'8M'!B$300:B$400,0)),"  "),IFERROR(INDEX('8N'!D$300:D$400,MATCH("*"&amp;H110&amp;"*",'8N'!B$300:B$400,0)),"  "))</f>
        <v xml:space="preserve">  </v>
      </c>
      <c r="AF110" s="908" t="str">
        <f>IFERROR(INDEX('8M'!C$300:C$400,MATCH("*"&amp;H110&amp;"*",'8M'!B$300:B$400,0)),"  ")</f>
        <v xml:space="preserve">  </v>
      </c>
      <c r="AG110" s="907" t="str">
        <f>IFERROR(INDEX('8N'!C$300:C$400,MATCH("*"&amp;H110&amp;"*",'8N'!B$300:B$400,0)),"  ")</f>
        <v xml:space="preserve">  </v>
      </c>
      <c r="AH110" s="440"/>
      <c r="AI110" s="75" t="str">
        <f>IFERROR(INDEX('9'!C$300:C$400,MATCH("*"&amp;H110&amp;"*",'9'!B$300:B$400,0)),"  ")</f>
        <v xml:space="preserve">  </v>
      </c>
      <c r="AJ110" s="830" t="str">
        <f>IFERROR(INDEX('10'!C$300:C$400,MATCH("*"&amp;H110&amp;"*",'10'!B$300:B$400,0)),"  ")</f>
        <v xml:space="preserve">  </v>
      </c>
      <c r="AK110" s="75" t="str">
        <f>IFERROR(INDEX('11'!C$300:C$400,MATCH("*"&amp;H110&amp;"*",'11'!B$300:B$400,0)),"  ")</f>
        <v xml:space="preserve">  </v>
      </c>
      <c r="AL110" s="75" t="str">
        <f>IFERROR(INDEX('12'!C$300:C$400,MATCH("*"&amp;H110&amp;"*",'12'!B$300:B$400,0)),"  ")</f>
        <v xml:space="preserve">  </v>
      </c>
      <c r="AM110" s="26">
        <f t="shared" ca="1" si="57"/>
        <v>1</v>
      </c>
      <c r="AN110" s="579">
        <f t="shared" ca="1" si="48"/>
        <v>0</v>
      </c>
      <c r="AO110" s="580">
        <f t="shared" ca="1" si="58"/>
        <v>0</v>
      </c>
      <c r="AP110" s="27">
        <f t="shared" ca="1" si="59"/>
        <v>0</v>
      </c>
      <c r="AQ110" s="933">
        <f t="shared" si="46"/>
        <v>2.0000000000000001E-4</v>
      </c>
      <c r="AR110" s="933">
        <f t="shared" ca="1" si="47"/>
        <v>1E-4</v>
      </c>
    </row>
    <row r="111" spans="1:44" x14ac:dyDescent="0.2">
      <c r="A111" s="851">
        <f t="shared" ca="1" si="49"/>
        <v>74</v>
      </c>
      <c r="B111" s="77">
        <f t="shared" ca="1" si="50"/>
        <v>10078</v>
      </c>
      <c r="C111" s="853" t="str">
        <f t="shared" ca="1" si="44"/>
        <v/>
      </c>
      <c r="D111" s="76">
        <f t="shared" si="51"/>
        <v>0</v>
      </c>
      <c r="E111" s="855" t="str">
        <f t="shared" ca="1" si="45"/>
        <v/>
      </c>
      <c r="F111" s="899">
        <f t="shared" si="52"/>
        <v>0</v>
      </c>
      <c r="G111" s="897">
        <f t="shared" ca="1" si="35"/>
        <v>102</v>
      </c>
      <c r="H111" s="133" t="s">
        <v>630</v>
      </c>
      <c r="I111" s="38"/>
      <c r="J111" s="585"/>
      <c r="K111" s="586"/>
      <c r="L111" s="587"/>
      <c r="M111" s="857">
        <f ca="1">(IF(COUNT(V111,AA111,AD111,AI111,AJ111,AL111)&lt;5,SUM(V111,AA111,AD111,AI111,AJ111,AL111),SUM(LARGE((V111,AA111,AD111,AI111,AJ111,AL111),{1;2;3;4;5}))))+(IF(COUNT(U111,W111,AB111,AC111,AE111,AK111)&lt;5,SUM(U111,W111,AB111,AC111,AE111,AK111),SUM(LARGE((U111,W111,AB111,AC111,AE111,AK111),{1;2;3;4;5}))))+T111</f>
        <v>78</v>
      </c>
      <c r="N111" s="862">
        <f>IF(I111="n",((IF(COUNT(V111,AA111,AD111,AI111,AJ111,AL111)&lt;5,SUM(V111,AA111,AD111,AI111,AJ111,AL111),SUM(LARGE((V111,AA111,AD111,AI111,AJ111,AL111),{1;2;3;4;5}))))+(IF(COUNT(U111,Y111,AB111,AC111,AG111,AK111)&lt;5,SUM(U111,Y111,AB111,AC111,AG111,AK111),SUM(LARGE((U111,Y111,AB111,AC111,AG111,AK111),{1;2;3;4;5}))))+T111),0)</f>
        <v>0</v>
      </c>
      <c r="O111" s="863">
        <f>IF(J111="j",((IF(COUNT(V111,AA111,AD111,AI111,AJ111,AL111)&lt;5,SUM(V111,AA111,AD111,AI111,AJ111,AL111),SUM(LARGE((V111,AA111,AD111,AI111,AJ111,AL111),{1;2;3;4;5}))))+(IF(COUNT(U111,W111,AB111,AC111,AE111,AK111)&lt;5,SUM(U111,W111,AB111,AC111,AE111,AK111),SUM(LARGE((U111,W111,AB111,AC111,AE111,AK111),{1;2;3;4;5}))))+T111),0)</f>
        <v>0</v>
      </c>
      <c r="P111" s="886" t="str">
        <f t="shared" ca="1" si="53"/>
        <v>078,0</v>
      </c>
      <c r="Q111" s="890">
        <f t="shared" si="54"/>
        <v>5</v>
      </c>
      <c r="R111" s="886" t="str">
        <f t="shared" ca="1" si="55"/>
        <v>0078,0-005</v>
      </c>
      <c r="S111" s="889">
        <f t="shared" ca="1" si="56"/>
        <v>91</v>
      </c>
      <c r="T111" s="847"/>
      <c r="U111" s="75" t="str">
        <f>IFERROR(INDEX('1'!C$300:C$400,MATCH("*"&amp;H111&amp;"*",'1'!B$300:B$400,0)),"  ")</f>
        <v xml:space="preserve">  </v>
      </c>
      <c r="V111" s="199" t="str">
        <f>IFERROR(INDEX('2'!C$300:C$400,MATCH("*"&amp;H111&amp;"*",'2'!B$300:B$400,0)),"  ")</f>
        <v xml:space="preserve">  </v>
      </c>
      <c r="W111" s="199" t="str">
        <f ca="1">IF(I111="",IFERROR(INDEX('3M'!C$300:C$400,MATCH("*"&amp;H111&amp;"*",'3M'!B$300:B$400,0)),"  "),IFERROR(INDEX('3N'!D$300:D$400,MATCH("*"&amp;H111&amp;"*",'3N'!B$300:B$400,0)),"  "))</f>
        <v xml:space="preserve">  </v>
      </c>
      <c r="X111" s="908" t="str">
        <f ca="1">IFERROR(INDEX('3M'!C$300:C$400,MATCH("*"&amp;H111&amp;"*",'3M'!B$300:B$400,0)),"  ")</f>
        <v xml:space="preserve">  </v>
      </c>
      <c r="Y111" s="907" t="str">
        <f ca="1">IFERROR(INDEX('3N'!C$300:C$400,MATCH("*"&amp;H111&amp;"*",'3N'!B$300:B$400,0)),"  ")</f>
        <v xml:space="preserve">  </v>
      </c>
      <c r="Z111" s="440"/>
      <c r="AA111" s="75" t="str">
        <f>IFERROR(INDEX('4'!C$300:C$400,MATCH("*"&amp;H111&amp;"*",'4'!B$300:B$400,0)),"  ")</f>
        <v xml:space="preserve">  </v>
      </c>
      <c r="AB111" s="75">
        <f>IFERROR(INDEX('5'!C$300:C$400,MATCH("*"&amp;H111&amp;"*",'5'!B$300:B$400,0)),"  ")</f>
        <v>78</v>
      </c>
      <c r="AC111" s="75" t="str">
        <f>IFERROR(INDEX('6'!C$300:C$400,MATCH("*"&amp;H111&amp;"*",'6'!B$300:B$400,0)),"  ")</f>
        <v xml:space="preserve">  </v>
      </c>
      <c r="AD111" s="75" t="str">
        <f>IFERROR(INDEX('7'!C$300:C$400,MATCH("*"&amp;H111&amp;"*",'7'!B$300:B$400,0)),"  ")</f>
        <v xml:space="preserve">  </v>
      </c>
      <c r="AE111" s="75" t="str">
        <f>IF(I111="",IFERROR(INDEX('8M'!C$300:C$400,MATCH("*"&amp;H111&amp;"*",'8M'!B$300:B$400,0)),"  "),IFERROR(INDEX('8N'!D$300:D$400,MATCH("*"&amp;H111&amp;"*",'8N'!B$300:B$400,0)),"  "))</f>
        <v xml:space="preserve">  </v>
      </c>
      <c r="AF111" s="908" t="str">
        <f>IFERROR(INDEX('8M'!C$300:C$400,MATCH("*"&amp;H111&amp;"*",'8M'!B$300:B$400,0)),"  ")</f>
        <v xml:space="preserve">  </v>
      </c>
      <c r="AG111" s="907" t="str">
        <f>IFERROR(INDEX('8N'!C$300:C$400,MATCH("*"&amp;H111&amp;"*",'8N'!B$300:B$400,0)),"  ")</f>
        <v xml:space="preserve">  </v>
      </c>
      <c r="AH111" s="440"/>
      <c r="AI111" s="75" t="str">
        <f>IFERROR(INDEX('9'!C$300:C$400,MATCH("*"&amp;H111&amp;"*",'9'!B$300:B$400,0)),"  ")</f>
        <v xml:space="preserve">  </v>
      </c>
      <c r="AJ111" s="830" t="str">
        <f>IFERROR(INDEX('10'!C$300:C$400,MATCH("*"&amp;H111&amp;"*",'10'!B$300:B$400,0)),"  ")</f>
        <v xml:space="preserve">  </v>
      </c>
      <c r="AK111" s="75" t="str">
        <f>IFERROR(INDEX('11'!C$300:C$400,MATCH("*"&amp;H111&amp;"*",'11'!B$300:B$400,0)),"  ")</f>
        <v xml:space="preserve">  </v>
      </c>
      <c r="AL111" s="75" t="str">
        <f>IFERROR(INDEX('12'!C$300:C$400,MATCH("*"&amp;H111&amp;"*",'12'!B$300:B$400,0)),"  ")</f>
        <v xml:space="preserve">  </v>
      </c>
      <c r="AM111" s="26">
        <f t="shared" ca="1" si="57"/>
        <v>1</v>
      </c>
      <c r="AN111" s="579">
        <f t="shared" ca="1" si="48"/>
        <v>0</v>
      </c>
      <c r="AO111" s="580">
        <f t="shared" ca="1" si="58"/>
        <v>0</v>
      </c>
      <c r="AP111" s="27">
        <f t="shared" ca="1" si="59"/>
        <v>0</v>
      </c>
      <c r="AQ111" s="933">
        <f t="shared" si="46"/>
        <v>2.0000000000000001E-4</v>
      </c>
      <c r="AR111" s="933">
        <f t="shared" ca="1" si="47"/>
        <v>1E-4</v>
      </c>
    </row>
    <row r="112" spans="1:44" x14ac:dyDescent="0.2">
      <c r="A112" s="851">
        <f t="shared" ca="1" si="49"/>
        <v>76</v>
      </c>
      <c r="B112" s="77">
        <f t="shared" ca="1" si="50"/>
        <v>10075</v>
      </c>
      <c r="C112" s="853" t="str">
        <f t="shared" ca="1" si="44"/>
        <v/>
      </c>
      <c r="D112" s="76">
        <f t="shared" si="51"/>
        <v>0</v>
      </c>
      <c r="E112" s="855" t="str">
        <f t="shared" ca="1" si="45"/>
        <v/>
      </c>
      <c r="F112" s="899">
        <f t="shared" si="52"/>
        <v>0</v>
      </c>
      <c r="G112" s="897">
        <f t="shared" ca="1" si="35"/>
        <v>104</v>
      </c>
      <c r="H112" s="133" t="s">
        <v>83</v>
      </c>
      <c r="I112" s="38"/>
      <c r="J112" s="585"/>
      <c r="K112" s="586"/>
      <c r="L112" s="587"/>
      <c r="M112" s="857">
        <f ca="1">(IF(COUNT(V112,AA112,AD112,AI112,AJ112,AL112)&lt;5,SUM(V112,AA112,AD112,AI112,AJ112,AL112),SUM(LARGE((V112,AA112,AD112,AI112,AJ112,AL112),{1;2;3;4;5}))))+(IF(COUNT(U112,W112,AB112,AC112,AE112,AK112)&lt;5,SUM(U112,W112,AB112,AC112,AE112,AK112),SUM(LARGE((U112,W112,AB112,AC112,AE112,AK112),{1;2;3;4;5}))))+T112</f>
        <v>75</v>
      </c>
      <c r="N112" s="862">
        <f>IF(I112="n",((IF(COUNT(V112,AA112,AD112,AI112,AJ112,AL112)&lt;5,SUM(V112,AA112,AD112,AI112,AJ112,AL112),SUM(LARGE((V112,AA112,AD112,AI112,AJ112,AL112),{1;2;3;4;5}))))+(IF(COUNT(U112,Y112,AB112,AC112,AG112,AK112)&lt;5,SUM(U112,Y112,AB112,AC112,AG112,AK112),SUM(LARGE((U112,Y112,AB112,AC112,AG112,AK112),{1;2;3;4;5}))))+T112),0)</f>
        <v>0</v>
      </c>
      <c r="O112" s="863">
        <f>IF(J112="j",((IF(COUNT(V112,AA112,AD112,AI112,AJ112,AL112)&lt;5,SUM(V112,AA112,AD112,AI112,AJ112,AL112),SUM(LARGE((V112,AA112,AD112,AI112,AJ112,AL112),{1;2;3;4;5}))))+(IF(COUNT(U112,W112,AB112,AC112,AE112,AK112)&lt;5,SUM(U112,W112,AB112,AC112,AE112,AK112),SUM(LARGE((U112,W112,AB112,AC112,AE112,AK112),{1;2;3;4;5}))))+T112),0)</f>
        <v>0</v>
      </c>
      <c r="P112" s="886" t="str">
        <f t="shared" ca="1" si="53"/>
        <v>075,0</v>
      </c>
      <c r="Q112" s="890">
        <f t="shared" si="54"/>
        <v>131</v>
      </c>
      <c r="R112" s="886" t="str">
        <f t="shared" ca="1" si="55"/>
        <v>0075,0-131</v>
      </c>
      <c r="S112" s="889">
        <f t="shared" ca="1" si="56"/>
        <v>90</v>
      </c>
      <c r="T112" s="847">
        <v>1</v>
      </c>
      <c r="U112" s="75" t="str">
        <f>IFERROR(INDEX('1'!C$300:C$400,MATCH("*"&amp;H112&amp;"*",'1'!B$300:B$400,0)),"  ")</f>
        <v xml:space="preserve">  </v>
      </c>
      <c r="V112" s="199" t="str">
        <f>IFERROR(INDEX('2'!C$300:C$400,MATCH("*"&amp;H112&amp;"*",'2'!B$300:B$400,0)),"  ")</f>
        <v xml:space="preserve">  </v>
      </c>
      <c r="W112" s="199" t="str">
        <f ca="1">IF(I112="",IFERROR(INDEX('3M'!C$300:C$400,MATCH("*"&amp;H112&amp;"*",'3M'!B$300:B$400,0)),"  "),IFERROR(INDEX('3N'!D$300:D$400,MATCH("*"&amp;H112&amp;"*",'3N'!B$300:B$400,0)),"  "))</f>
        <v xml:space="preserve">  </v>
      </c>
      <c r="X112" s="908" t="str">
        <f ca="1">IFERROR(INDEX('3M'!C$300:C$400,MATCH("*"&amp;H112&amp;"*",'3M'!B$300:B$400,0)),"  ")</f>
        <v xml:space="preserve">  </v>
      </c>
      <c r="Y112" s="907" t="str">
        <f ca="1">IFERROR(INDEX('3N'!C$300:C$400,MATCH("*"&amp;H112&amp;"*",'3N'!B$300:B$400,0)),"  ")</f>
        <v xml:space="preserve">  </v>
      </c>
      <c r="Z112" s="440"/>
      <c r="AA112" s="75" t="str">
        <f>IFERROR(INDEX('4'!C$300:C$400,MATCH("*"&amp;H112&amp;"*",'4'!B$300:B$400,0)),"  ")</f>
        <v xml:space="preserve">  </v>
      </c>
      <c r="AB112" s="75" t="str">
        <f>IFERROR(INDEX('5'!C$300:C$400,MATCH("*"&amp;H112&amp;"*",'5'!B$300:B$400,0)),"  ")</f>
        <v xml:space="preserve">  </v>
      </c>
      <c r="AC112" s="75" t="str">
        <f>IFERROR(INDEX('6'!C$300:C$400,MATCH("*"&amp;H112&amp;"*",'6'!B$300:B$400,0)),"  ")</f>
        <v xml:space="preserve">  </v>
      </c>
      <c r="AD112" s="75" t="str">
        <f>IFERROR(INDEX('7'!C$300:C$400,MATCH("*"&amp;H112&amp;"*",'7'!B$300:B$400,0)),"  ")</f>
        <v xml:space="preserve">  </v>
      </c>
      <c r="AE112" s="75" t="str">
        <f>IF(I112="",IFERROR(INDEX('8M'!C$300:C$400,MATCH("*"&amp;H112&amp;"*",'8M'!B$300:B$400,0)),"  "),IFERROR(INDEX('8N'!D$300:D$400,MATCH("*"&amp;H112&amp;"*",'8N'!B$300:B$400,0)),"  "))</f>
        <v xml:space="preserve">  </v>
      </c>
      <c r="AF112" s="908" t="str">
        <f>IFERROR(INDEX('8M'!C$300:C$400,MATCH("*"&amp;H112&amp;"*",'8M'!B$300:B$400,0)),"  ")</f>
        <v xml:space="preserve">  </v>
      </c>
      <c r="AG112" s="907" t="str">
        <f>IFERROR(INDEX('8N'!C$300:C$400,MATCH("*"&amp;H112&amp;"*",'8N'!B$300:B$400,0)),"  ")</f>
        <v xml:space="preserve">  </v>
      </c>
      <c r="AH112" s="440"/>
      <c r="AI112" s="75" t="str">
        <f>IFERROR(INDEX('9'!C$300:C$400,MATCH("*"&amp;H112&amp;"*",'9'!B$300:B$400,0)),"  ")</f>
        <v xml:space="preserve">  </v>
      </c>
      <c r="AJ112" s="830" t="str">
        <f>IFERROR(INDEX('10'!C$300:C$400,MATCH("*"&amp;H112&amp;"*",'10'!B$300:B$400,0)),"  ")</f>
        <v xml:space="preserve">  </v>
      </c>
      <c r="AK112" s="75" t="str">
        <f>IFERROR(INDEX('11'!C$300:C$400,MATCH("*"&amp;H112&amp;"*",'11'!B$300:B$400,0)),"  ")</f>
        <v xml:space="preserve">  </v>
      </c>
      <c r="AL112" s="75">
        <f>IFERROR(INDEX('12'!C$300:C$400,MATCH("*"&amp;H112&amp;"*",'12'!B$300:B$400,0)),"  ")</f>
        <v>74</v>
      </c>
      <c r="AM112" s="26">
        <f t="shared" ca="1" si="57"/>
        <v>1</v>
      </c>
      <c r="AN112" s="579">
        <f t="shared" ca="1" si="48"/>
        <v>0</v>
      </c>
      <c r="AO112" s="580">
        <f t="shared" ca="1" si="58"/>
        <v>0</v>
      </c>
      <c r="AP112" s="27">
        <f t="shared" ca="1" si="59"/>
        <v>0</v>
      </c>
      <c r="AQ112" s="933">
        <f t="shared" si="46"/>
        <v>2.0000000000000001E-4</v>
      </c>
      <c r="AR112" s="933">
        <f t="shared" ca="1" si="47"/>
        <v>1E-4</v>
      </c>
    </row>
    <row r="113" spans="1:44" x14ac:dyDescent="0.2">
      <c r="A113" s="851">
        <f t="shared" ca="1" si="49"/>
        <v>77</v>
      </c>
      <c r="B113" s="77">
        <f t="shared" ca="1" si="50"/>
        <v>10070</v>
      </c>
      <c r="C113" s="853" t="str">
        <f t="shared" ca="1" si="44"/>
        <v/>
      </c>
      <c r="D113" s="76">
        <f t="shared" si="51"/>
        <v>0</v>
      </c>
      <c r="E113" s="855" t="str">
        <f t="shared" ca="1" si="45"/>
        <v/>
      </c>
      <c r="F113" s="899">
        <f t="shared" si="52"/>
        <v>0</v>
      </c>
      <c r="G113" s="897">
        <f t="shared" ca="1" si="35"/>
        <v>105</v>
      </c>
      <c r="H113" s="133" t="s">
        <v>727</v>
      </c>
      <c r="I113" s="38"/>
      <c r="J113" s="585"/>
      <c r="K113" s="586"/>
      <c r="L113" s="587"/>
      <c r="M113" s="857">
        <f ca="1">(IF(COUNT(V113,AA113,AD113,AI113,AJ113,AL113)&lt;5,SUM(V113,AA113,AD113,AI113,AJ113,AL113),SUM(LARGE((V113,AA113,AD113,AI113,AJ113,AL113),{1;2;3;4;5}))))+(IF(COUNT(U113,W113,AB113,AC113,AE113,AK113)&lt;5,SUM(U113,W113,AB113,AC113,AE113,AK113),SUM(LARGE((U113,W113,AB113,AC113,AE113,AK113),{1;2;3;4;5}))))+T113</f>
        <v>70</v>
      </c>
      <c r="N113" s="862">
        <f>IF(I113="n",((IF(COUNT(V113,AA113,AD113,AI113,AJ113,AL113)&lt;5,SUM(V113,AA113,AD113,AI113,AJ113,AL113),SUM(LARGE((V113,AA113,AD113,AI113,AJ113,AL113),{1;2;3;4;5}))))+(IF(COUNT(U113,Y113,AB113,AC113,AG113,AK113)&lt;5,SUM(U113,Y113,AB113,AC113,AG113,AK113),SUM(LARGE((U113,Y113,AB113,AC113,AG113,AK113),{1;2;3;4;5}))))+T113),0)</f>
        <v>0</v>
      </c>
      <c r="O113" s="863">
        <f>IF(J113="j",((IF(COUNT(V113,AA113,AD113,AI113,AJ113,AL113)&lt;5,SUM(V113,AA113,AD113,AI113,AJ113,AL113),SUM(LARGE((V113,AA113,AD113,AI113,AJ113,AL113),{1;2;3;4;5}))))+(IF(COUNT(U113,W113,AB113,AC113,AE113,AK113)&lt;5,SUM(U113,W113,AB113,AC113,AE113,AK113),SUM(LARGE((U113,W113,AB113,AC113,AE113,AK113),{1;2;3;4;5}))))+T113),0)</f>
        <v>0</v>
      </c>
      <c r="P113" s="886" t="str">
        <f t="shared" ca="1" si="53"/>
        <v>070,0</v>
      </c>
      <c r="Q113" s="890">
        <f t="shared" si="54"/>
        <v>9</v>
      </c>
      <c r="R113" s="886" t="str">
        <f t="shared" ca="1" si="55"/>
        <v>0070,0-009</v>
      </c>
      <c r="S113" s="889">
        <f t="shared" ca="1" si="56"/>
        <v>89</v>
      </c>
      <c r="T113" s="847">
        <v>1</v>
      </c>
      <c r="U113" s="75" t="str">
        <f>IFERROR(INDEX('1'!C$300:C$400,MATCH("*"&amp;H113&amp;"*",'1'!B$300:B$400,0)),"  ")</f>
        <v xml:space="preserve">  </v>
      </c>
      <c r="V113" s="199" t="str">
        <f>IFERROR(INDEX('2'!C$300:C$400,MATCH("*"&amp;H113&amp;"*",'2'!B$300:B$400,0)),"  ")</f>
        <v xml:space="preserve">  </v>
      </c>
      <c r="W113" s="199" t="str">
        <f ca="1">IF(I113="",IFERROR(INDEX('3M'!C$300:C$400,MATCH("*"&amp;H113&amp;"*",'3M'!B$300:B$400,0)),"  "),IFERROR(INDEX('3N'!D$300:D$400,MATCH("*"&amp;H113&amp;"*",'3N'!B$300:B$400,0)),"  "))</f>
        <v xml:space="preserve">  </v>
      </c>
      <c r="X113" s="908" t="str">
        <f ca="1">IFERROR(INDEX('3M'!C$300:C$400,MATCH("*"&amp;H113&amp;"*",'3M'!B$300:B$400,0)),"  ")</f>
        <v xml:space="preserve">  </v>
      </c>
      <c r="Y113" s="907" t="str">
        <f ca="1">IFERROR(INDEX('3N'!C$300:C$400,MATCH("*"&amp;H113&amp;"*",'3N'!B$300:B$400,0)),"  ")</f>
        <v xml:space="preserve">  </v>
      </c>
      <c r="Z113" s="440"/>
      <c r="AA113" s="75">
        <f>IFERROR(INDEX('4'!C$300:C$400,MATCH("*"&amp;H113&amp;"*",'4'!B$300:B$400,0)),"  ")</f>
        <v>69</v>
      </c>
      <c r="AB113" s="75" t="str">
        <f>IFERROR(INDEX('5'!C$300:C$400,MATCH("*"&amp;H113&amp;"*",'5'!B$300:B$400,0)),"  ")</f>
        <v xml:space="preserve">  </v>
      </c>
      <c r="AC113" s="75" t="str">
        <f>IFERROR(INDEX('6'!C$300:C$400,MATCH("*"&amp;H113&amp;"*",'6'!B$300:B$400,0)),"  ")</f>
        <v xml:space="preserve">  </v>
      </c>
      <c r="AD113" s="75" t="str">
        <f>IFERROR(INDEX('7'!C$300:C$400,MATCH("*"&amp;H113&amp;"*",'7'!B$300:B$400,0)),"  ")</f>
        <v xml:space="preserve">  </v>
      </c>
      <c r="AE113" s="75" t="str">
        <f>IF(I113="",IFERROR(INDEX('8M'!C$300:C$400,MATCH("*"&amp;H113&amp;"*",'8M'!B$300:B$400,0)),"  "),IFERROR(INDEX('8N'!D$300:D$400,MATCH("*"&amp;H113&amp;"*",'8N'!B$300:B$400,0)),"  "))</f>
        <v xml:space="preserve">  </v>
      </c>
      <c r="AF113" s="908" t="str">
        <f>IFERROR(INDEX('8M'!C$300:C$400,MATCH("*"&amp;H113&amp;"*",'8M'!B$300:B$400,0)),"  ")</f>
        <v xml:space="preserve">  </v>
      </c>
      <c r="AG113" s="907" t="str">
        <f>IFERROR(INDEX('8N'!C$300:C$400,MATCH("*"&amp;H113&amp;"*",'8N'!B$300:B$400,0)),"  ")</f>
        <v xml:space="preserve">  </v>
      </c>
      <c r="AH113" s="440"/>
      <c r="AI113" s="75" t="str">
        <f>IFERROR(INDEX('9'!C$300:C$400,MATCH("*"&amp;H113&amp;"*",'9'!B$300:B$400,0)),"  ")</f>
        <v xml:space="preserve">  </v>
      </c>
      <c r="AJ113" s="830" t="str">
        <f>IFERROR(INDEX('10'!C$300:C$400,MATCH("*"&amp;H113&amp;"*",'10'!B$300:B$400,0)),"  ")</f>
        <v xml:space="preserve">  </v>
      </c>
      <c r="AK113" s="75" t="str">
        <f>IFERROR(INDEX('11'!C$300:C$400,MATCH("*"&amp;H113&amp;"*",'11'!B$300:B$400,0)),"  ")</f>
        <v xml:space="preserve">  </v>
      </c>
      <c r="AL113" s="75" t="str">
        <f>IFERROR(INDEX('12'!C$300:C$400,MATCH("*"&amp;H113&amp;"*",'12'!B$300:B$400,0)),"  ")</f>
        <v xml:space="preserve">  </v>
      </c>
      <c r="AM113" s="26">
        <f t="shared" ca="1" si="57"/>
        <v>1</v>
      </c>
      <c r="AN113" s="579">
        <f t="shared" ca="1" si="48"/>
        <v>0</v>
      </c>
      <c r="AO113" s="580">
        <f t="shared" ca="1" si="58"/>
        <v>0</v>
      </c>
      <c r="AP113" s="27">
        <f t="shared" ca="1" si="59"/>
        <v>0</v>
      </c>
      <c r="AQ113" s="933">
        <f t="shared" si="46"/>
        <v>2.0000000000000001E-4</v>
      </c>
      <c r="AR113" s="933">
        <f t="shared" ca="1" si="47"/>
        <v>1E-4</v>
      </c>
    </row>
    <row r="114" spans="1:44" x14ac:dyDescent="0.2">
      <c r="A114" s="851">
        <f t="shared" ca="1" si="49"/>
        <v>78</v>
      </c>
      <c r="B114" s="77">
        <f t="shared" ca="1" si="50"/>
        <v>10069</v>
      </c>
      <c r="C114" s="853" t="str">
        <f t="shared" ca="1" si="44"/>
        <v/>
      </c>
      <c r="D114" s="76">
        <f t="shared" si="51"/>
        <v>0</v>
      </c>
      <c r="E114" s="855" t="str">
        <f t="shared" ca="1" si="45"/>
        <v/>
      </c>
      <c r="F114" s="899">
        <f t="shared" si="52"/>
        <v>0</v>
      </c>
      <c r="G114" s="897">
        <f t="shared" ca="1" si="35"/>
        <v>106</v>
      </c>
      <c r="H114" s="177" t="s">
        <v>719</v>
      </c>
      <c r="I114" s="38"/>
      <c r="J114" s="585"/>
      <c r="K114" s="586"/>
      <c r="L114" s="588" t="s">
        <v>720</v>
      </c>
      <c r="M114" s="857">
        <f ca="1">(IF(COUNT(V114,AA114,AD114,AI114,AJ114,AL114)&lt;5,SUM(V114,AA114,AD114,AI114,AJ114,AL114),SUM(LARGE((V114,AA114,AD114,AI114,AJ114,AL114),{1;2;3;4;5}))))+(IF(COUNT(U114,W114,AB114,AC114,AE114,AK114)&lt;5,SUM(U114,W114,AB114,AC114,AE114,AK114),SUM(LARGE((U114,W114,AB114,AC114,AE114,AK114),{1;2;3;4;5}))))+T114</f>
        <v>69</v>
      </c>
      <c r="N114" s="862">
        <f>IF(I114="n",((IF(COUNT(V114,AA114,AD114,AI114,AJ114,AL114)&lt;5,SUM(V114,AA114,AD114,AI114,AJ114,AL114),SUM(LARGE((V114,AA114,AD114,AI114,AJ114,AL114),{1;2;3;4;5}))))+(IF(COUNT(U114,Y114,AB114,AC114,AG114,AK114)&lt;5,SUM(U114,Y114,AB114,AC114,AG114,AK114),SUM(LARGE((U114,Y114,AB114,AC114,AG114,AK114),{1;2;3;4;5}))))+T114),0)</f>
        <v>0</v>
      </c>
      <c r="O114" s="863">
        <f>IF(J114="j",((IF(COUNT(V114,AA114,AD114,AI114,AJ114,AL114)&lt;5,SUM(V114,AA114,AD114,AI114,AJ114,AL114),SUM(LARGE((V114,AA114,AD114,AI114,AJ114,AL114),{1;2;3;4;5}))))+(IF(COUNT(U114,W114,AB114,AC114,AE114,AK114)&lt;5,SUM(U114,W114,AB114,AC114,AE114,AK114),SUM(LARGE((U114,W114,AB114,AC114,AE114,AK114),{1;2;3;4;5}))))+T114),0)</f>
        <v>0</v>
      </c>
      <c r="P114" s="886" t="str">
        <f t="shared" ca="1" si="53"/>
        <v>069,0</v>
      </c>
      <c r="Q114" s="890">
        <f t="shared" si="54"/>
        <v>34</v>
      </c>
      <c r="R114" s="886" t="str">
        <f t="shared" ca="1" si="55"/>
        <v>0069,0-034</v>
      </c>
      <c r="S114" s="889">
        <f t="shared" ca="1" si="56"/>
        <v>88</v>
      </c>
      <c r="T114" s="848">
        <v>69</v>
      </c>
      <c r="U114" s="75" t="str">
        <f>IFERROR(INDEX('1'!C$300:C$400,MATCH("*"&amp;H114&amp;"*",'1'!B$300:B$400,0)),"  ")</f>
        <v xml:space="preserve">  </v>
      </c>
      <c r="V114" s="199" t="str">
        <f>IFERROR(INDEX('2'!C$300:C$400,MATCH("*"&amp;H114&amp;"*",'2'!B$300:B$400,0)),"  ")</f>
        <v xml:space="preserve">  </v>
      </c>
      <c r="W114" s="199" t="str">
        <f ca="1">IF(I114="",IFERROR(INDEX('3M'!C$300:C$400,MATCH("*"&amp;H114&amp;"*",'3M'!B$300:B$400,0)),"  "),IFERROR(INDEX('3N'!D$300:D$400,MATCH("*"&amp;H114&amp;"*",'3N'!B$300:B$400,0)),"  "))</f>
        <v xml:space="preserve">  </v>
      </c>
      <c r="X114" s="908" t="str">
        <f ca="1">IFERROR(INDEX('3M'!C$300:C$400,MATCH("*"&amp;H114&amp;"*",'3M'!B$300:B$400,0)),"  ")</f>
        <v xml:space="preserve">  </v>
      </c>
      <c r="Y114" s="907" t="str">
        <f ca="1">IFERROR(INDEX('3N'!C$300:C$400,MATCH("*"&amp;H114&amp;"*",'3N'!B$300:B$400,0)),"  ")</f>
        <v xml:space="preserve">  </v>
      </c>
      <c r="Z114" s="440"/>
      <c r="AA114" s="75" t="str">
        <f>IFERROR(INDEX('4'!C$300:C$400,MATCH("*"&amp;H114&amp;"*",'4'!B$300:B$400,0)),"  ")</f>
        <v xml:space="preserve">  </v>
      </c>
      <c r="AB114" s="75" t="str">
        <f>IFERROR(INDEX('5'!C$300:C$400,MATCH("*"&amp;H114&amp;"*",'5'!B$300:B$400,0)),"  ")</f>
        <v xml:space="preserve">  </v>
      </c>
      <c r="AC114" s="75" t="str">
        <f>IFERROR(INDEX('6'!C$300:C$400,MATCH("*"&amp;H114&amp;"*",'6'!B$300:B$400,0)),"  ")</f>
        <v xml:space="preserve">  </v>
      </c>
      <c r="AD114" s="75" t="str">
        <f>IFERROR(INDEX('7'!C$300:C$400,MATCH("*"&amp;H114&amp;"*",'7'!B$300:B$400,0)),"  ")</f>
        <v xml:space="preserve">  </v>
      </c>
      <c r="AE114" s="75" t="str">
        <f>IF(I114="",IFERROR(INDEX('8M'!C$300:C$400,MATCH("*"&amp;H114&amp;"*",'8M'!B$300:B$400,0)),"  "),IFERROR(INDEX('8N'!D$300:D$400,MATCH("*"&amp;H114&amp;"*",'8N'!B$300:B$400,0)),"  "))</f>
        <v xml:space="preserve">  </v>
      </c>
      <c r="AF114" s="908" t="str">
        <f>IFERROR(INDEX('8M'!C$300:C$400,MATCH("*"&amp;H114&amp;"*",'8M'!B$300:B$400,0)),"  ")</f>
        <v xml:space="preserve">  </v>
      </c>
      <c r="AG114" s="907" t="str">
        <f>IFERROR(INDEX('8N'!C$300:C$400,MATCH("*"&amp;H114&amp;"*",'8N'!B$300:B$400,0)),"  ")</f>
        <v xml:space="preserve">  </v>
      </c>
      <c r="AH114" s="440"/>
      <c r="AI114" s="75" t="str">
        <f>IFERROR(INDEX('9'!C$300:C$400,MATCH("*"&amp;H114&amp;"*",'9'!B$300:B$400,0)),"  ")</f>
        <v xml:space="preserve">  </v>
      </c>
      <c r="AJ114" s="830" t="str">
        <f>IFERROR(INDEX('10'!C$300:C$400,MATCH("*"&amp;H114&amp;"*",'10'!B$300:B$400,0)),"  ")</f>
        <v xml:space="preserve">  </v>
      </c>
      <c r="AK114" s="75" t="str">
        <f>IFERROR(INDEX('11'!C$300:C$400,MATCH("*"&amp;H114&amp;"*",'11'!B$300:B$400,0)),"  ")</f>
        <v xml:space="preserve">  </v>
      </c>
      <c r="AL114" s="75" t="str">
        <f>IFERROR(INDEX('12'!C$300:C$400,MATCH("*"&amp;H114&amp;"*",'12'!B$300:B$400,0)),"  ")</f>
        <v xml:space="preserve">  </v>
      </c>
      <c r="AM114" s="26">
        <f t="shared" ca="1" si="57"/>
        <v>0</v>
      </c>
      <c r="AN114" s="579">
        <f t="shared" ca="1" si="48"/>
        <v>0</v>
      </c>
      <c r="AO114" s="580">
        <f t="shared" ca="1" si="58"/>
        <v>0</v>
      </c>
      <c r="AP114" s="27">
        <f t="shared" ca="1" si="59"/>
        <v>0</v>
      </c>
      <c r="AQ114" s="933">
        <f t="shared" si="46"/>
        <v>2.0000000000000001E-4</v>
      </c>
      <c r="AR114" s="933">
        <f t="shared" ca="1" si="47"/>
        <v>1E-4</v>
      </c>
    </row>
    <row r="115" spans="1:44" x14ac:dyDescent="0.2">
      <c r="A115" s="851">
        <f t="shared" ca="1" si="49"/>
        <v>78</v>
      </c>
      <c r="B115" s="77">
        <f t="shared" ca="1" si="50"/>
        <v>10069</v>
      </c>
      <c r="C115" s="853" t="str">
        <f t="shared" ca="1" si="44"/>
        <v/>
      </c>
      <c r="D115" s="76">
        <f t="shared" si="51"/>
        <v>0</v>
      </c>
      <c r="E115" s="855" t="str">
        <f t="shared" ca="1" si="45"/>
        <v/>
      </c>
      <c r="F115" s="899">
        <f t="shared" si="52"/>
        <v>0</v>
      </c>
      <c r="G115" s="897">
        <f t="shared" ca="1" si="35"/>
        <v>106</v>
      </c>
      <c r="H115" s="177" t="s">
        <v>805</v>
      </c>
      <c r="I115" s="38"/>
      <c r="J115" s="585"/>
      <c r="K115" s="586"/>
      <c r="L115" s="588"/>
      <c r="M115" s="857">
        <f ca="1">(IF(COUNT(V115,AA115,AD115,AI115,AJ115,AL115)&lt;5,SUM(V115,AA115,AD115,AI115,AJ115,AL115),SUM(LARGE((V115,AA115,AD115,AI115,AJ115,AL115),{1;2;3;4;5}))))+(IF(COUNT(U115,W115,AB115,AC115,AE115,AK115)&lt;5,SUM(U115,W115,AB115,AC115,AE115,AK115),SUM(LARGE((U115,W115,AB115,AC115,AE115,AK115),{1;2;3;4;5}))))+T115</f>
        <v>69</v>
      </c>
      <c r="N115" s="862">
        <f>IF(I115="n",((IF(COUNT(V115,AA115,AD115,AI115,AJ115,AL115)&lt;5,SUM(V115,AA115,AD115,AI115,AJ115,AL115),SUM(LARGE((V115,AA115,AD115,AI115,AJ115,AL115),{1;2;3;4;5}))))+(IF(COUNT(U115,Y115,AB115,AC115,AG115,AK115)&lt;5,SUM(U115,Y115,AB115,AC115,AG115,AK115),SUM(LARGE((U115,Y115,AB115,AC115,AG115,AK115),{1;2;3;4;5}))))+T115),0)</f>
        <v>0</v>
      </c>
      <c r="O115" s="863">
        <f>IF(J115="j",((IF(COUNT(V115,AA115,AD115,AI115,AJ115,AL115)&lt;5,SUM(V115,AA115,AD115,AI115,AJ115,AL115),SUM(LARGE((V115,AA115,AD115,AI115,AJ115,AL115),{1;2;3;4;5}))))+(IF(COUNT(U115,W115,AB115,AC115,AE115,AK115)&lt;5,SUM(U115,W115,AB115,AC115,AE115,AK115),SUM(LARGE((U115,W115,AB115,AC115,AE115,AK115),{1;2;3;4;5}))))+T115),0)</f>
        <v>0</v>
      </c>
      <c r="P115" s="886" t="str">
        <f t="shared" ca="1" si="53"/>
        <v>069,0</v>
      </c>
      <c r="Q115" s="890">
        <f t="shared" si="54"/>
        <v>2</v>
      </c>
      <c r="R115" s="886" t="str">
        <f t="shared" ca="1" si="55"/>
        <v>0069,0-002</v>
      </c>
      <c r="S115" s="889">
        <f t="shared" ca="1" si="56"/>
        <v>87</v>
      </c>
      <c r="T115" s="847"/>
      <c r="U115" s="75" t="str">
        <f>IFERROR(INDEX('1'!C$300:C$400,MATCH("*"&amp;H115&amp;"*",'1'!B$300:B$400,0)),"  ")</f>
        <v xml:space="preserve">  </v>
      </c>
      <c r="V115" s="199" t="str">
        <f>IFERROR(INDEX('2'!C$300:C$400,MATCH("*"&amp;H115&amp;"*",'2'!B$300:B$400,0)),"  ")</f>
        <v xml:space="preserve">  </v>
      </c>
      <c r="W115" s="199" t="str">
        <f ca="1">IF(I115="",IFERROR(INDEX('3M'!C$300:C$400,MATCH("*"&amp;H115&amp;"*",'3M'!B$300:B$400,0)),"  "),IFERROR(INDEX('3N'!D$300:D$400,MATCH("*"&amp;H115&amp;"*",'3N'!B$300:B$400,0)),"  "))</f>
        <v xml:space="preserve">  </v>
      </c>
      <c r="X115" s="908" t="str">
        <f ca="1">IFERROR(INDEX('3M'!C$300:C$400,MATCH("*"&amp;H115&amp;"*",'3M'!B$300:B$400,0)),"  ")</f>
        <v xml:space="preserve">  </v>
      </c>
      <c r="Y115" s="907" t="str">
        <f ca="1">IFERROR(INDEX('3N'!C$300:C$400,MATCH("*"&amp;H115&amp;"*",'3N'!B$300:B$400,0)),"  ")</f>
        <v xml:space="preserve">  </v>
      </c>
      <c r="Z115" s="440"/>
      <c r="AA115" s="75">
        <f>IFERROR(INDEX('4'!C$300:C$400,MATCH("*"&amp;H115&amp;"*",'4'!B$300:B$400,0)),"  ")</f>
        <v>69</v>
      </c>
      <c r="AB115" s="75" t="str">
        <f>IFERROR(INDEX('5'!C$300:C$400,MATCH("*"&amp;H115&amp;"*",'5'!B$300:B$400,0)),"  ")</f>
        <v xml:space="preserve">  </v>
      </c>
      <c r="AC115" s="75" t="str">
        <f>IFERROR(INDEX('6'!C$300:C$400,MATCH("*"&amp;H115&amp;"*",'6'!B$300:B$400,0)),"  ")</f>
        <v xml:space="preserve">  </v>
      </c>
      <c r="AD115" s="75" t="str">
        <f>IFERROR(INDEX('7'!C$300:C$400,MATCH("*"&amp;H115&amp;"*",'7'!B$300:B$400,0)),"  ")</f>
        <v xml:space="preserve">  </v>
      </c>
      <c r="AE115" s="75" t="str">
        <f>IF(I115="",IFERROR(INDEX('8M'!C$300:C$400,MATCH("*"&amp;H115&amp;"*",'8M'!B$300:B$400,0)),"  "),IFERROR(INDEX('8N'!D$300:D$400,MATCH("*"&amp;H115&amp;"*",'8N'!B$300:B$400,0)),"  "))</f>
        <v xml:space="preserve">  </v>
      </c>
      <c r="AF115" s="908" t="str">
        <f>IFERROR(INDEX('8M'!C$300:C$400,MATCH("*"&amp;H115&amp;"*",'8M'!B$300:B$400,0)),"  ")</f>
        <v xml:space="preserve">  </v>
      </c>
      <c r="AG115" s="907" t="str">
        <f>IFERROR(INDEX('8N'!C$300:C$400,MATCH("*"&amp;H115&amp;"*",'8N'!B$300:B$400,0)),"  ")</f>
        <v xml:space="preserve">  </v>
      </c>
      <c r="AH115" s="440"/>
      <c r="AI115" s="75" t="str">
        <f>IFERROR(INDEX('9'!C$300:C$400,MATCH("*"&amp;H115&amp;"*",'9'!B$300:B$400,0)),"  ")</f>
        <v xml:space="preserve">  </v>
      </c>
      <c r="AJ115" s="830" t="str">
        <f>IFERROR(INDEX('10'!C$300:C$400,MATCH("*"&amp;H115&amp;"*",'10'!B$300:B$400,0)),"  ")</f>
        <v xml:space="preserve">  </v>
      </c>
      <c r="AK115" s="75" t="str">
        <f>IFERROR(INDEX('11'!C$300:C$400,MATCH("*"&amp;H115&amp;"*",'11'!B$300:B$400,0)),"  ")</f>
        <v xml:space="preserve">  </v>
      </c>
      <c r="AL115" s="75" t="str">
        <f>IFERROR(INDEX('12'!C$300:C$400,MATCH("*"&amp;H115&amp;"*",'12'!B$300:B$400,0)),"  ")</f>
        <v xml:space="preserve">  </v>
      </c>
      <c r="AM115" s="26">
        <f t="shared" ca="1" si="57"/>
        <v>1</v>
      </c>
      <c r="AN115" s="579">
        <f t="shared" ca="1" si="48"/>
        <v>0</v>
      </c>
      <c r="AO115" s="580">
        <f t="shared" ca="1" si="58"/>
        <v>0</v>
      </c>
      <c r="AP115" s="27">
        <f t="shared" ca="1" si="59"/>
        <v>0</v>
      </c>
      <c r="AQ115" s="933">
        <f t="shared" si="46"/>
        <v>2.0000000000000001E-4</v>
      </c>
      <c r="AR115" s="933">
        <f t="shared" ca="1" si="47"/>
        <v>1E-4</v>
      </c>
    </row>
    <row r="116" spans="1:44" x14ac:dyDescent="0.2">
      <c r="A116" s="851">
        <f t="shared" ca="1" si="49"/>
        <v>80</v>
      </c>
      <c r="B116" s="77">
        <f t="shared" ca="1" si="50"/>
        <v>10065</v>
      </c>
      <c r="C116" s="853" t="str">
        <f t="shared" ca="1" si="44"/>
        <v/>
      </c>
      <c r="D116" s="76">
        <f t="shared" si="51"/>
        <v>0</v>
      </c>
      <c r="E116" s="855" t="str">
        <f t="shared" ca="1" si="45"/>
        <v/>
      </c>
      <c r="F116" s="899">
        <f t="shared" si="52"/>
        <v>0</v>
      </c>
      <c r="G116" s="897">
        <f t="shared" ca="1" si="35"/>
        <v>108</v>
      </c>
      <c r="H116" s="177" t="s">
        <v>822</v>
      </c>
      <c r="I116" s="38"/>
      <c r="J116" s="589"/>
      <c r="K116" s="586" t="s">
        <v>718</v>
      </c>
      <c r="L116" s="587"/>
      <c r="M116" s="857">
        <f ca="1">(IF(COUNT(V116,AA116,AD116,AI116,AJ116,AL116)&lt;5,SUM(V116,AA116,AD116,AI116,AJ116,AL116),SUM(LARGE((V116,AA116,AD116,AI116,AJ116,AL116),{1;2;3;4;5}))))+(IF(COUNT(U116,W116,AB116,AC116,AE116,AK116)&lt;5,SUM(U116,W116,AB116,AC116,AE116,AK116),SUM(LARGE((U116,W116,AB116,AC116,AE116,AK116),{1;2;3;4;5}))))+T116</f>
        <v>65</v>
      </c>
      <c r="N116" s="862">
        <f>IF(I116="n",((IF(COUNT(V116,AA116,AD116,AI116,AJ116,AL116)&lt;5,SUM(V116,AA116,AD116,AI116,AJ116,AL116),SUM(LARGE((V116,AA116,AD116,AI116,AJ116,AL116),{1;2;3;4;5}))))+(IF(COUNT(U116,Y116,AB116,AC116,AG116,AK116)&lt;5,SUM(U116,Y116,AB116,AC116,AG116,AK116),SUM(LARGE((U116,Y116,AB116,AC116,AG116,AK116),{1;2;3;4;5}))))+T116),0)</f>
        <v>0</v>
      </c>
      <c r="O116" s="863">
        <f>IF(J116="j",((IF(COUNT(V116,AA116,AD116,AI116,AJ116,AL116)&lt;5,SUM(V116,AA116,AD116,AI116,AJ116,AL116),SUM(LARGE((V116,AA116,AD116,AI116,AJ116,AL116),{1;2;3;4;5}))))+(IF(COUNT(U116,W116,AB116,AC116,AE116,AK116)&lt;5,SUM(U116,W116,AB116,AC116,AE116,AK116),SUM(LARGE((U116,W116,AB116,AC116,AE116,AK116),{1;2;3;4;5}))))+T116),0)</f>
        <v>0</v>
      </c>
      <c r="P116" s="886" t="str">
        <f t="shared" ca="1" si="53"/>
        <v>065,0</v>
      </c>
      <c r="Q116" s="890">
        <f t="shared" si="54"/>
        <v>116</v>
      </c>
      <c r="R116" s="886" t="str">
        <f t="shared" ca="1" si="55"/>
        <v>0065,0-116</v>
      </c>
      <c r="S116" s="889">
        <f t="shared" ca="1" si="56"/>
        <v>86</v>
      </c>
      <c r="T116" s="847"/>
      <c r="U116" s="75" t="str">
        <f>IFERROR(INDEX('1'!C$300:C$400,MATCH("*"&amp;H116&amp;"*",'1'!B$300:B$400,0)),"  ")</f>
        <v xml:space="preserve">  </v>
      </c>
      <c r="V116" s="199" t="str">
        <f>IFERROR(INDEX('2'!C$300:C$400,MATCH("*"&amp;H116&amp;"*",'2'!B$300:B$400,0)),"  ")</f>
        <v xml:space="preserve">  </v>
      </c>
      <c r="W116" s="199" t="str">
        <f ca="1">IF(I116="",IFERROR(INDEX('3M'!C$300:C$400,MATCH("*"&amp;H116&amp;"*",'3M'!B$300:B$400,0)),"  "),IFERROR(INDEX('3N'!D$300:D$400,MATCH("*"&amp;H116&amp;"*",'3N'!B$300:B$400,0)),"  "))</f>
        <v xml:space="preserve">  </v>
      </c>
      <c r="X116" s="908" t="str">
        <f ca="1">IFERROR(INDEX('3M'!C$300:C$400,MATCH("*"&amp;H116&amp;"*",'3M'!B$300:B$400,0)),"  ")</f>
        <v xml:space="preserve">  </v>
      </c>
      <c r="Y116" s="907" t="str">
        <f ca="1">IFERROR(INDEX('3N'!C$300:C$400,MATCH("*"&amp;H116&amp;"*",'3N'!B$300:B$400,0)),"  ")</f>
        <v xml:space="preserve">  </v>
      </c>
      <c r="Z116" s="440"/>
      <c r="AA116" s="75" t="str">
        <f>IFERROR(INDEX('4'!C$300:C$400,MATCH("*"&amp;H116&amp;"*",'4'!B$300:B$400,0)),"  ")</f>
        <v xml:space="preserve">  </v>
      </c>
      <c r="AB116" s="75">
        <f>IFERROR(INDEX('5'!C$300:C$400,MATCH("*"&amp;H116&amp;"*",'5'!B$300:B$400,0)),"  ")</f>
        <v>65</v>
      </c>
      <c r="AC116" s="75" t="str">
        <f>IFERROR(INDEX('6'!C$300:C$400,MATCH("*"&amp;H116&amp;"*",'6'!B$300:B$400,0)),"  ")</f>
        <v xml:space="preserve">  </v>
      </c>
      <c r="AD116" s="75" t="str">
        <f>IFERROR(INDEX('7'!C$300:C$400,MATCH("*"&amp;H116&amp;"*",'7'!B$300:B$400,0)),"  ")</f>
        <v xml:space="preserve">  </v>
      </c>
      <c r="AE116" s="75" t="str">
        <f>IF(I116="",IFERROR(INDEX('8M'!C$300:C$400,MATCH("*"&amp;H116&amp;"*",'8M'!B$300:B$400,0)),"  "),IFERROR(INDEX('8N'!D$300:D$400,MATCH("*"&amp;H116&amp;"*",'8N'!B$300:B$400,0)),"  "))</f>
        <v xml:space="preserve">  </v>
      </c>
      <c r="AF116" s="908" t="str">
        <f>IFERROR(INDEX('8M'!C$300:C$400,MATCH("*"&amp;H116&amp;"*",'8M'!B$300:B$400,0)),"  ")</f>
        <v xml:space="preserve">  </v>
      </c>
      <c r="AG116" s="907" t="str">
        <f>IFERROR(INDEX('8N'!C$300:C$400,MATCH("*"&amp;H116&amp;"*",'8N'!B$300:B$400,0)),"  ")</f>
        <v xml:space="preserve">  </v>
      </c>
      <c r="AH116" s="440"/>
      <c r="AI116" s="75" t="str">
        <f>IFERROR(INDEX('9'!C$300:C$400,MATCH("*"&amp;H116&amp;"*",'9'!B$300:B$400,0)),"  ")</f>
        <v xml:space="preserve">  </v>
      </c>
      <c r="AJ116" s="830" t="str">
        <f>IFERROR(INDEX('10'!C$300:C$400,MATCH("*"&amp;H116&amp;"*",'10'!B$300:B$400,0)),"  ")</f>
        <v xml:space="preserve">  </v>
      </c>
      <c r="AK116" s="75" t="str">
        <f>IFERROR(INDEX('11'!C$300:C$400,MATCH("*"&amp;H116&amp;"*",'11'!B$300:B$400,0)),"  ")</f>
        <v xml:space="preserve">  </v>
      </c>
      <c r="AL116" s="75" t="str">
        <f>IFERROR(INDEX('12'!C$300:C$400,MATCH("*"&amp;H116&amp;"*",'12'!B$300:B$400,0)),"  ")</f>
        <v xml:space="preserve">  </v>
      </c>
      <c r="AM116" s="26">
        <f t="shared" ca="1" si="57"/>
        <v>1</v>
      </c>
      <c r="AN116" s="579">
        <f t="shared" ca="1" si="48"/>
        <v>0</v>
      </c>
      <c r="AO116" s="580">
        <f t="shared" ca="1" si="58"/>
        <v>0</v>
      </c>
      <c r="AP116" s="27">
        <f t="shared" ca="1" si="59"/>
        <v>0</v>
      </c>
      <c r="AQ116" s="933">
        <f t="shared" si="46"/>
        <v>2.0000000000000001E-4</v>
      </c>
      <c r="AR116" s="933">
        <f t="shared" ca="1" si="47"/>
        <v>1E-4</v>
      </c>
    </row>
    <row r="117" spans="1:44" x14ac:dyDescent="0.2">
      <c r="A117" s="851">
        <f t="shared" ca="1" si="49"/>
        <v>81</v>
      </c>
      <c r="B117" s="77">
        <f t="shared" ca="1" si="50"/>
        <v>10064</v>
      </c>
      <c r="C117" s="853" t="str">
        <f t="shared" ca="1" si="44"/>
        <v/>
      </c>
      <c r="D117" s="76">
        <f t="shared" si="51"/>
        <v>0</v>
      </c>
      <c r="E117" s="855" t="str">
        <f t="shared" ca="1" si="45"/>
        <v/>
      </c>
      <c r="F117" s="899">
        <f t="shared" si="52"/>
        <v>0</v>
      </c>
      <c r="G117" s="897">
        <f t="shared" ca="1" si="35"/>
        <v>109</v>
      </c>
      <c r="H117" s="133" t="s">
        <v>639</v>
      </c>
      <c r="I117" s="38"/>
      <c r="J117" s="585"/>
      <c r="K117" s="586" t="s">
        <v>718</v>
      </c>
      <c r="L117" s="587"/>
      <c r="M117" s="857">
        <f ca="1">(IF(COUNT(V117,AA117,AD117,AI117,AJ117,AL117)&lt;5,SUM(V117,AA117,AD117,AI117,AJ117,AL117),SUM(LARGE((V117,AA117,AD117,AI117,AJ117,AL117),{1;2;3;4;5}))))+(IF(COUNT(U117,W117,AB117,AC117,AE117,AK117)&lt;5,SUM(U117,W117,AB117,AC117,AE117,AK117),SUM(LARGE((U117,W117,AB117,AC117,AE117,AK117),{1;2;3;4;5}))))+T117</f>
        <v>64</v>
      </c>
      <c r="N117" s="862">
        <f>IF(I117="n",((IF(COUNT(V117,AA117,AD117,AI117,AJ117,AL117)&lt;5,SUM(V117,AA117,AD117,AI117,AJ117,AL117),SUM(LARGE((V117,AA117,AD117,AI117,AJ117,AL117),{1;2;3;4;5}))))+(IF(COUNT(U117,Y117,AB117,AC117,AG117,AK117)&lt;5,SUM(U117,Y117,AB117,AC117,AG117,AK117),SUM(LARGE((U117,Y117,AB117,AC117,AG117,AK117),{1;2;3;4;5}))))+T117),0)</f>
        <v>0</v>
      </c>
      <c r="O117" s="863">
        <f>IF(J117="j",((IF(COUNT(V117,AA117,AD117,AI117,AJ117,AL117)&lt;5,SUM(V117,AA117,AD117,AI117,AJ117,AL117),SUM(LARGE((V117,AA117,AD117,AI117,AJ117,AL117),{1;2;3;4;5}))))+(IF(COUNT(U117,W117,AB117,AC117,AE117,AK117)&lt;5,SUM(U117,W117,AB117,AC117,AE117,AK117),SUM(LARGE((U117,W117,AB117,AC117,AE117,AK117),{1;2;3;4;5}))))+T117),0)</f>
        <v>0</v>
      </c>
      <c r="P117" s="886" t="str">
        <f t="shared" ca="1" si="53"/>
        <v>064,0</v>
      </c>
      <c r="Q117" s="890">
        <f t="shared" si="54"/>
        <v>167</v>
      </c>
      <c r="R117" s="886" t="str">
        <f t="shared" ca="1" si="55"/>
        <v>0064,0-167</v>
      </c>
      <c r="S117" s="889">
        <f t="shared" ca="1" si="56"/>
        <v>85</v>
      </c>
      <c r="T117" s="847"/>
      <c r="U117" s="75" t="str">
        <f>IFERROR(INDEX('1'!C$300:C$400,MATCH("*"&amp;H117&amp;"*",'1'!B$300:B$400,0)),"  ")</f>
        <v xml:space="preserve">  </v>
      </c>
      <c r="V117" s="199" t="str">
        <f>IFERROR(INDEX('2'!C$300:C$400,MATCH("*"&amp;H117&amp;"*",'2'!B$300:B$400,0)),"  ")</f>
        <v xml:space="preserve">  </v>
      </c>
      <c r="W117" s="199" t="str">
        <f ca="1">IF(I117="",IFERROR(INDEX('3M'!C$300:C$400,MATCH("*"&amp;H117&amp;"*",'3M'!B$300:B$400,0)),"  "),IFERROR(INDEX('3N'!D$300:D$400,MATCH("*"&amp;H117&amp;"*",'3N'!B$300:B$400,0)),"  "))</f>
        <v xml:space="preserve">  </v>
      </c>
      <c r="X117" s="908" t="str">
        <f ca="1">IFERROR(INDEX('3M'!C$300:C$400,MATCH("*"&amp;H117&amp;"*",'3M'!B$300:B$400,0)),"  ")</f>
        <v xml:space="preserve">  </v>
      </c>
      <c r="Y117" s="907" t="str">
        <f ca="1">IFERROR(INDEX('3N'!C$300:C$400,MATCH("*"&amp;H117&amp;"*",'3N'!B$300:B$400,0)),"  ")</f>
        <v xml:space="preserve">  </v>
      </c>
      <c r="Z117" s="440"/>
      <c r="AA117" s="75" t="str">
        <f>IFERROR(INDEX('4'!C$300:C$400,MATCH("*"&amp;H117&amp;"*",'4'!B$300:B$400,0)),"  ")</f>
        <v xml:space="preserve">  </v>
      </c>
      <c r="AB117" s="75" t="str">
        <f>IFERROR(INDEX('5'!C$300:C$400,MATCH("*"&amp;H117&amp;"*",'5'!B$300:B$400,0)),"  ")</f>
        <v xml:space="preserve">  </v>
      </c>
      <c r="AC117" s="75" t="str">
        <f>IFERROR(INDEX('6'!C$300:C$400,MATCH("*"&amp;H117&amp;"*",'6'!B$300:B$400,0)),"  ")</f>
        <v xml:space="preserve">  </v>
      </c>
      <c r="AD117" s="75" t="str">
        <f>IFERROR(INDEX('7'!C$300:C$400,MATCH("*"&amp;H117&amp;"*",'7'!B$300:B$400,0)),"  ")</f>
        <v xml:space="preserve">  </v>
      </c>
      <c r="AE117" s="75" t="str">
        <f>IF(I117="",IFERROR(INDEX('8M'!C$300:C$400,MATCH("*"&amp;H117&amp;"*",'8M'!B$300:B$400,0)),"  "),IFERROR(INDEX('8N'!D$300:D$400,MATCH("*"&amp;H117&amp;"*",'8N'!B$300:B$400,0)),"  "))</f>
        <v xml:space="preserve">  </v>
      </c>
      <c r="AF117" s="908" t="str">
        <f>IFERROR(INDEX('8M'!C$300:C$400,MATCH("*"&amp;H117&amp;"*",'8M'!B$300:B$400,0)),"  ")</f>
        <v xml:space="preserve">  </v>
      </c>
      <c r="AG117" s="907" t="str">
        <f>IFERROR(INDEX('8N'!C$300:C$400,MATCH("*"&amp;H117&amp;"*",'8N'!B$300:B$400,0)),"  ")</f>
        <v xml:space="preserve">  </v>
      </c>
      <c r="AH117" s="440"/>
      <c r="AI117" s="75">
        <f>IFERROR(INDEX('9'!C$300:C$400,MATCH("*"&amp;H117&amp;"*",'9'!B$300:B$400,0)),"  ")</f>
        <v>64</v>
      </c>
      <c r="AJ117" s="830" t="str">
        <f>IFERROR(INDEX('10'!C$300:C$400,MATCH("*"&amp;H117&amp;"*",'10'!B$300:B$400,0)),"  ")</f>
        <v xml:space="preserve">  </v>
      </c>
      <c r="AK117" s="75" t="str">
        <f>IFERROR(INDEX('11'!C$300:C$400,MATCH("*"&amp;H117&amp;"*",'11'!B$300:B$400,0)),"  ")</f>
        <v xml:space="preserve">  </v>
      </c>
      <c r="AL117" s="75" t="str">
        <f>IFERROR(INDEX('12'!C$300:C$400,MATCH("*"&amp;H117&amp;"*",'12'!B$300:B$400,0)),"  ")</f>
        <v xml:space="preserve">  </v>
      </c>
      <c r="AM117" s="26">
        <f t="shared" ca="1" si="57"/>
        <v>1</v>
      </c>
      <c r="AN117" s="579">
        <f t="shared" ca="1" si="48"/>
        <v>0</v>
      </c>
      <c r="AO117" s="580">
        <f t="shared" ca="1" si="58"/>
        <v>0</v>
      </c>
      <c r="AP117" s="27">
        <f t="shared" ca="1" si="59"/>
        <v>0</v>
      </c>
      <c r="AQ117" s="933">
        <f t="shared" si="46"/>
        <v>2.0000000000000001E-4</v>
      </c>
      <c r="AR117" s="933">
        <f t="shared" ca="1" si="47"/>
        <v>1E-4</v>
      </c>
    </row>
    <row r="118" spans="1:44" x14ac:dyDescent="0.2">
      <c r="A118" s="851">
        <f t="shared" ca="1" si="49"/>
        <v>81</v>
      </c>
      <c r="B118" s="77">
        <f t="shared" ca="1" si="50"/>
        <v>10064</v>
      </c>
      <c r="C118" s="853" t="str">
        <f t="shared" ca="1" si="44"/>
        <v/>
      </c>
      <c r="D118" s="76">
        <f t="shared" si="51"/>
        <v>0</v>
      </c>
      <c r="E118" s="855" t="str">
        <f t="shared" ca="1" si="45"/>
        <v/>
      </c>
      <c r="F118" s="899">
        <f t="shared" si="52"/>
        <v>0</v>
      </c>
      <c r="G118" s="897">
        <f t="shared" ca="1" si="35"/>
        <v>109</v>
      </c>
      <c r="H118" s="177" t="s">
        <v>896</v>
      </c>
      <c r="I118" s="38"/>
      <c r="J118" s="585"/>
      <c r="K118" s="586"/>
      <c r="L118" s="588"/>
      <c r="M118" s="857">
        <f ca="1">(IF(COUNT(V118,AA118,AD118,AI118,AJ118,AL118)&lt;5,SUM(V118,AA118,AD118,AI118,AJ118,AL118),SUM(LARGE((V118,AA118,AD118,AI118,AJ118,AL118),{1;2;3;4;5}))))+(IF(COUNT(U118,W118,AB118,AC118,AE118,AK118)&lt;5,SUM(U118,W118,AB118,AC118,AE118,AK118),SUM(LARGE((U118,W118,AB118,AC118,AE118,AK118),{1;2;3;4;5}))))+T118</f>
        <v>64</v>
      </c>
      <c r="N118" s="862">
        <f>IF(I118="n",((IF(COUNT(V118,AA118,AD118,AI118,AJ118,AL118)&lt;5,SUM(V118,AA118,AD118,AI118,AJ118,AL118),SUM(LARGE((V118,AA118,AD118,AI118,AJ118,AL118),{1;2;3;4;5}))))+(IF(COUNT(U118,Y118,AB118,AC118,AG118,AK118)&lt;5,SUM(U118,Y118,AB118,AC118,AG118,AK118),SUM(LARGE((U118,Y118,AB118,AC118,AG118,AK118),{1;2;3;4;5}))))+T118),0)</f>
        <v>0</v>
      </c>
      <c r="O118" s="863">
        <f>IF(J118="j",((IF(COUNT(V118,AA118,AD118,AI118,AJ118,AL118)&lt;5,SUM(V118,AA118,AD118,AI118,AJ118,AL118),SUM(LARGE((V118,AA118,AD118,AI118,AJ118,AL118),{1;2;3;4;5}))))+(IF(COUNT(U118,W118,AB118,AC118,AE118,AK118)&lt;5,SUM(U118,W118,AB118,AC118,AE118,AK118),SUM(LARGE((U118,W118,AB118,AC118,AE118,AK118),{1;2;3;4;5}))))+T118),0)</f>
        <v>0</v>
      </c>
      <c r="P118" s="886" t="str">
        <f t="shared" ca="1" si="53"/>
        <v>064,0</v>
      </c>
      <c r="Q118" s="890">
        <f t="shared" si="54"/>
        <v>24</v>
      </c>
      <c r="R118" s="886" t="str">
        <f t="shared" ca="1" si="55"/>
        <v>0064,0-024</v>
      </c>
      <c r="S118" s="889">
        <f t="shared" ca="1" si="56"/>
        <v>84</v>
      </c>
      <c r="T118" s="847"/>
      <c r="U118" s="75" t="str">
        <f>IFERROR(INDEX('1'!C$300:C$400,MATCH("*"&amp;H118&amp;"*",'1'!B$300:B$400,0)),"  ")</f>
        <v xml:space="preserve">  </v>
      </c>
      <c r="V118" s="199" t="str">
        <f>IFERROR(INDEX('2'!C$300:C$400,MATCH("*"&amp;H118&amp;"*",'2'!B$300:B$400,0)),"  ")</f>
        <v xml:space="preserve">  </v>
      </c>
      <c r="W118" s="199" t="str">
        <f ca="1">IF(I118="",IFERROR(INDEX('3M'!C$300:C$400,MATCH("*"&amp;H118&amp;"*",'3M'!B$300:B$400,0)),"  "),IFERROR(INDEX('3N'!D$300:D$400,MATCH("*"&amp;H118&amp;"*",'3N'!B$300:B$400,0)),"  "))</f>
        <v xml:space="preserve">  </v>
      </c>
      <c r="X118" s="908" t="str">
        <f ca="1">IFERROR(INDEX('3M'!C$300:C$400,MATCH("*"&amp;H118&amp;"*",'3M'!B$300:B$400,0)),"  ")</f>
        <v xml:space="preserve">  </v>
      </c>
      <c r="Y118" s="907" t="str">
        <f ca="1">IFERROR(INDEX('3N'!C$300:C$400,MATCH("*"&amp;H118&amp;"*",'3N'!B$300:B$400,0)),"  ")</f>
        <v xml:space="preserve">  </v>
      </c>
      <c r="Z118" s="440"/>
      <c r="AA118" s="75" t="str">
        <f>IFERROR(INDEX('4'!C$300:C$400,MATCH("*"&amp;H118&amp;"*",'4'!B$300:B$400,0)),"  ")</f>
        <v xml:space="preserve">  </v>
      </c>
      <c r="AB118" s="75" t="str">
        <f>IFERROR(INDEX('5'!C$300:C$400,MATCH("*"&amp;H118&amp;"*",'5'!B$300:B$400,0)),"  ")</f>
        <v xml:space="preserve">  </v>
      </c>
      <c r="AC118" s="75" t="str">
        <f>IFERROR(INDEX('6'!C$300:C$400,MATCH("*"&amp;H118&amp;"*",'6'!B$300:B$400,0)),"  ")</f>
        <v xml:space="preserve">  </v>
      </c>
      <c r="AD118" s="75" t="str">
        <f>IFERROR(INDEX('7'!C$300:C$400,MATCH("*"&amp;H118&amp;"*",'7'!B$300:B$400,0)),"  ")</f>
        <v xml:space="preserve">  </v>
      </c>
      <c r="AE118" s="75" t="str">
        <f>IF(I118="",IFERROR(INDEX('8M'!C$300:C$400,MATCH("*"&amp;H118&amp;"*",'8M'!B$300:B$400,0)),"  "),IFERROR(INDEX('8N'!D$300:D$400,MATCH("*"&amp;H118&amp;"*",'8N'!B$300:B$400,0)),"  "))</f>
        <v xml:space="preserve">  </v>
      </c>
      <c r="AF118" s="908" t="str">
        <f>IFERROR(INDEX('8M'!C$300:C$400,MATCH("*"&amp;H118&amp;"*",'8M'!B$300:B$400,0)),"  ")</f>
        <v xml:space="preserve">  </v>
      </c>
      <c r="AG118" s="907" t="str">
        <f>IFERROR(INDEX('8N'!C$300:C$400,MATCH("*"&amp;H118&amp;"*",'8N'!B$300:B$400,0)),"  ")</f>
        <v xml:space="preserve">  </v>
      </c>
      <c r="AH118" s="440"/>
      <c r="AI118" s="75" t="str">
        <f>IFERROR(INDEX('9'!C$300:C$400,MATCH("*"&amp;H118&amp;"*",'9'!B$300:B$400,0)),"  ")</f>
        <v xml:space="preserve">  </v>
      </c>
      <c r="AJ118" s="830">
        <f>IFERROR(INDEX('10'!C$300:C$400,MATCH("*"&amp;H118&amp;"*",'10'!B$300:B$400,0)),"  ")</f>
        <v>64</v>
      </c>
      <c r="AK118" s="75" t="str">
        <f>IFERROR(INDEX('11'!C$300:C$400,MATCH("*"&amp;H118&amp;"*",'11'!B$300:B$400,0)),"  ")</f>
        <v xml:space="preserve">  </v>
      </c>
      <c r="AL118" s="75" t="str">
        <f>IFERROR(INDEX('12'!C$300:C$400,MATCH("*"&amp;H118&amp;"*",'12'!B$300:B$400,0)),"  ")</f>
        <v xml:space="preserve">  </v>
      </c>
      <c r="AM118" s="26">
        <f t="shared" ca="1" si="57"/>
        <v>1</v>
      </c>
      <c r="AN118" s="579">
        <f t="shared" ca="1" si="48"/>
        <v>0</v>
      </c>
      <c r="AO118" s="580">
        <f t="shared" ca="1" si="58"/>
        <v>0</v>
      </c>
      <c r="AP118" s="27">
        <f t="shared" ca="1" si="59"/>
        <v>0</v>
      </c>
      <c r="AQ118" s="933">
        <f t="shared" si="46"/>
        <v>2.0000000000000001E-4</v>
      </c>
      <c r="AR118" s="933">
        <f t="shared" ca="1" si="47"/>
        <v>1E-4</v>
      </c>
    </row>
    <row r="119" spans="1:44" x14ac:dyDescent="0.2">
      <c r="A119" s="851">
        <f t="shared" ca="1" si="49"/>
        <v>81</v>
      </c>
      <c r="B119" s="77">
        <f t="shared" ca="1" si="50"/>
        <v>10064</v>
      </c>
      <c r="C119" s="853" t="str">
        <f t="shared" ca="1" si="44"/>
        <v/>
      </c>
      <c r="D119" s="76">
        <f t="shared" si="51"/>
        <v>0</v>
      </c>
      <c r="E119" s="855" t="str">
        <f t="shared" ca="1" si="45"/>
        <v/>
      </c>
      <c r="F119" s="899">
        <f t="shared" si="52"/>
        <v>0</v>
      </c>
      <c r="G119" s="897">
        <f t="shared" ca="1" si="35"/>
        <v>109</v>
      </c>
      <c r="H119" s="133" t="s">
        <v>84</v>
      </c>
      <c r="I119" s="38"/>
      <c r="J119" s="585"/>
      <c r="K119" s="586"/>
      <c r="L119" s="587"/>
      <c r="M119" s="857">
        <f ca="1">(IF(COUNT(V119,AA119,AD119,AI119,AJ119,AL119)&lt;5,SUM(V119,AA119,AD119,AI119,AJ119,AL119),SUM(LARGE((V119,AA119,AD119,AI119,AJ119,AL119),{1;2;3;4;5}))))+(IF(COUNT(U119,W119,AB119,AC119,AE119,AK119)&lt;5,SUM(U119,W119,AB119,AC119,AE119,AK119),SUM(LARGE((U119,W119,AB119,AC119,AE119,AK119),{1;2;3;4;5}))))+T119</f>
        <v>64</v>
      </c>
      <c r="N119" s="862">
        <f>IF(I119="n",((IF(COUNT(V119,AA119,AD119,AI119,AJ119,AL119)&lt;5,SUM(V119,AA119,AD119,AI119,AJ119,AL119),SUM(LARGE((V119,AA119,AD119,AI119,AJ119,AL119),{1;2;3;4;5}))))+(IF(COUNT(U119,Y119,AB119,AC119,AG119,AK119)&lt;5,SUM(U119,Y119,AB119,AC119,AG119,AK119),SUM(LARGE((U119,Y119,AB119,AC119,AG119,AK119),{1;2;3;4;5}))))+T119),0)</f>
        <v>0</v>
      </c>
      <c r="O119" s="863">
        <f>IF(J119="j",((IF(COUNT(V119,AA119,AD119,AI119,AJ119,AL119)&lt;5,SUM(V119,AA119,AD119,AI119,AJ119,AL119),SUM(LARGE((V119,AA119,AD119,AI119,AJ119,AL119),{1;2;3;4;5}))))+(IF(COUNT(U119,W119,AB119,AC119,AE119,AK119)&lt;5,SUM(U119,W119,AB119,AC119,AE119,AK119),SUM(LARGE((U119,W119,AB119,AC119,AE119,AK119),{1;2;3;4;5}))))+T119),0)</f>
        <v>0</v>
      </c>
      <c r="P119" s="886" t="str">
        <f t="shared" ca="1" si="53"/>
        <v>064,0</v>
      </c>
      <c r="Q119" s="890">
        <f t="shared" si="54"/>
        <v>7</v>
      </c>
      <c r="R119" s="886" t="str">
        <f t="shared" ca="1" si="55"/>
        <v>0064,0-007</v>
      </c>
      <c r="S119" s="889">
        <f t="shared" ca="1" si="56"/>
        <v>83</v>
      </c>
      <c r="T119" s="847"/>
      <c r="U119" s="75" t="str">
        <f>IFERROR(INDEX('1'!C$300:C$400,MATCH("*"&amp;H119&amp;"*",'1'!B$300:B$400,0)),"  ")</f>
        <v xml:space="preserve">  </v>
      </c>
      <c r="V119" s="199" t="str">
        <f>IFERROR(INDEX('2'!C$300:C$400,MATCH("*"&amp;H119&amp;"*",'2'!B$300:B$400,0)),"  ")</f>
        <v xml:space="preserve">  </v>
      </c>
      <c r="W119" s="199" t="str">
        <f ca="1">IF(I119="",IFERROR(INDEX('3M'!C$300:C$400,MATCH("*"&amp;H119&amp;"*",'3M'!B$300:B$400,0)),"  "),IFERROR(INDEX('3N'!D$300:D$400,MATCH("*"&amp;H119&amp;"*",'3N'!B$300:B$400,0)),"  "))</f>
        <v xml:space="preserve">  </v>
      </c>
      <c r="X119" s="908" t="str">
        <f ca="1">IFERROR(INDEX('3M'!C$300:C$400,MATCH("*"&amp;H119&amp;"*",'3M'!B$300:B$400,0)),"  ")</f>
        <v xml:space="preserve">  </v>
      </c>
      <c r="Y119" s="907" t="str">
        <f ca="1">IFERROR(INDEX('3N'!C$300:C$400,MATCH("*"&amp;H119&amp;"*",'3N'!B$300:B$400,0)),"  ")</f>
        <v xml:space="preserve">  </v>
      </c>
      <c r="Z119" s="440"/>
      <c r="AA119" s="75" t="str">
        <f>IFERROR(INDEX('4'!C$300:C$400,MATCH("*"&amp;H119&amp;"*",'4'!B$300:B$400,0)),"  ")</f>
        <v xml:space="preserve">  </v>
      </c>
      <c r="AB119" s="75" t="str">
        <f>IFERROR(INDEX('5'!C$300:C$400,MATCH("*"&amp;H119&amp;"*",'5'!B$300:B$400,0)),"  ")</f>
        <v xml:space="preserve">  </v>
      </c>
      <c r="AC119" s="75" t="str">
        <f>IFERROR(INDEX('6'!C$300:C$400,MATCH("*"&amp;H119&amp;"*",'6'!B$300:B$400,0)),"  ")</f>
        <v xml:space="preserve">  </v>
      </c>
      <c r="AD119" s="75" t="str">
        <f>IFERROR(INDEX('7'!C$300:C$400,MATCH("*"&amp;H119&amp;"*",'7'!B$300:B$400,0)),"  ")</f>
        <v xml:space="preserve">  </v>
      </c>
      <c r="AE119" s="75" t="str">
        <f>IF(I119="",IFERROR(INDEX('8M'!C$300:C$400,MATCH("*"&amp;H119&amp;"*",'8M'!B$300:B$400,0)),"  "),IFERROR(INDEX('8N'!D$300:D$400,MATCH("*"&amp;H119&amp;"*",'8N'!B$300:B$400,0)),"  "))</f>
        <v xml:space="preserve">  </v>
      </c>
      <c r="AF119" s="908" t="str">
        <f>IFERROR(INDEX('8M'!C$300:C$400,MATCH("*"&amp;H119&amp;"*",'8M'!B$300:B$400,0)),"  ")</f>
        <v xml:space="preserve">  </v>
      </c>
      <c r="AG119" s="907" t="str">
        <f>IFERROR(INDEX('8N'!C$300:C$400,MATCH("*"&amp;H119&amp;"*",'8N'!B$300:B$400,0)),"  ")</f>
        <v xml:space="preserve">  </v>
      </c>
      <c r="AH119" s="440"/>
      <c r="AI119" s="75" t="str">
        <f>IFERROR(INDEX('9'!C$300:C$400,MATCH("*"&amp;H119&amp;"*",'9'!B$300:B$400,0)),"  ")</f>
        <v xml:space="preserve">  </v>
      </c>
      <c r="AJ119" s="830">
        <f>IFERROR(INDEX('10'!C$300:C$400,MATCH("*"&amp;H119&amp;"*",'10'!B$300:B$400,0)),"  ")</f>
        <v>64</v>
      </c>
      <c r="AK119" s="75" t="str">
        <f>IFERROR(INDEX('11'!C$300:C$400,MATCH("*"&amp;H119&amp;"*",'11'!B$300:B$400,0)),"  ")</f>
        <v xml:space="preserve">  </v>
      </c>
      <c r="AL119" s="75" t="str">
        <f>IFERROR(INDEX('12'!C$300:C$400,MATCH("*"&amp;H119&amp;"*",'12'!B$300:B$400,0)),"  ")</f>
        <v xml:space="preserve">  </v>
      </c>
      <c r="AM119" s="26">
        <f t="shared" ca="1" si="57"/>
        <v>1</v>
      </c>
      <c r="AN119" s="579">
        <f t="shared" ca="1" si="48"/>
        <v>0</v>
      </c>
      <c r="AO119" s="580">
        <f t="shared" ca="1" si="58"/>
        <v>0</v>
      </c>
      <c r="AP119" s="27">
        <f t="shared" ca="1" si="59"/>
        <v>0</v>
      </c>
      <c r="AQ119" s="933">
        <f t="shared" si="46"/>
        <v>2.0000000000000001E-4</v>
      </c>
      <c r="AR119" s="933">
        <f t="shared" ca="1" si="47"/>
        <v>1E-4</v>
      </c>
    </row>
    <row r="120" spans="1:44" x14ac:dyDescent="0.2">
      <c r="A120" s="851">
        <f t="shared" ca="1" si="49"/>
        <v>84</v>
      </c>
      <c r="B120" s="77">
        <f t="shared" ca="1" si="50"/>
        <v>10061</v>
      </c>
      <c r="C120" s="853" t="str">
        <f t="shared" ca="1" si="44"/>
        <v/>
      </c>
      <c r="D120" s="76">
        <f t="shared" si="51"/>
        <v>0</v>
      </c>
      <c r="E120" s="855" t="str">
        <f t="shared" ca="1" si="45"/>
        <v/>
      </c>
      <c r="F120" s="899">
        <f t="shared" si="52"/>
        <v>0</v>
      </c>
      <c r="G120" s="897">
        <f t="shared" ca="1" si="35"/>
        <v>112</v>
      </c>
      <c r="H120" s="133" t="s">
        <v>52</v>
      </c>
      <c r="I120" s="38"/>
      <c r="J120" s="585"/>
      <c r="K120" s="586"/>
      <c r="L120" s="587"/>
      <c r="M120" s="857">
        <f ca="1">(IF(COUNT(V120,AA120,AD120,AI120,AJ120,AL120)&lt;5,SUM(V120,AA120,AD120,AI120,AJ120,AL120),SUM(LARGE((V120,AA120,AD120,AI120,AJ120,AL120),{1;2;3;4;5}))))+(IF(COUNT(U120,W120,AB120,AC120,AE120,AK120)&lt;5,SUM(U120,W120,AB120,AC120,AE120,AK120),SUM(LARGE((U120,W120,AB120,AC120,AE120,AK120),{1;2;3;4;5}))))+T120</f>
        <v>61</v>
      </c>
      <c r="N120" s="862">
        <f>IF(I120="n",((IF(COUNT(V120,AA120,AD120,AI120,AJ120,AL120)&lt;5,SUM(V120,AA120,AD120,AI120,AJ120,AL120),SUM(LARGE((V120,AA120,AD120,AI120,AJ120,AL120),{1;2;3;4;5}))))+(IF(COUNT(U120,Y120,AB120,AC120,AG120,AK120)&lt;5,SUM(U120,Y120,AB120,AC120,AG120,AK120),SUM(LARGE((U120,Y120,AB120,AC120,AG120,AK120),{1;2;3;4;5}))))+T120),0)</f>
        <v>0</v>
      </c>
      <c r="O120" s="863">
        <f>IF(J120="j",((IF(COUNT(V120,AA120,AD120,AI120,AJ120,AL120)&lt;5,SUM(V120,AA120,AD120,AI120,AJ120,AL120),SUM(LARGE((V120,AA120,AD120,AI120,AJ120,AL120),{1;2;3;4;5}))))+(IF(COUNT(U120,W120,AB120,AC120,AE120,AK120)&lt;5,SUM(U120,W120,AB120,AC120,AE120,AK120),SUM(LARGE((U120,W120,AB120,AC120,AE120,AK120),{1;2;3;4;5}))))+T120),0)</f>
        <v>0</v>
      </c>
      <c r="P120" s="886" t="str">
        <f t="shared" ca="1" si="53"/>
        <v>061,0</v>
      </c>
      <c r="Q120" s="890">
        <f t="shared" si="54"/>
        <v>87</v>
      </c>
      <c r="R120" s="886" t="str">
        <f t="shared" ca="1" si="55"/>
        <v>0061,0-087</v>
      </c>
      <c r="S120" s="889">
        <f t="shared" ca="1" si="56"/>
        <v>82</v>
      </c>
      <c r="T120" s="847">
        <v>1</v>
      </c>
      <c r="U120" s="75" t="str">
        <f>IFERROR(INDEX('1'!C$300:C$400,MATCH("*"&amp;H120&amp;"*",'1'!B$300:B$400,0)),"  ")</f>
        <v xml:space="preserve">  </v>
      </c>
      <c r="V120" s="199">
        <f>IFERROR(INDEX('2'!C$300:C$400,MATCH("*"&amp;H120&amp;"*",'2'!B$300:B$400,0)),"  ")</f>
        <v>60</v>
      </c>
      <c r="W120" s="199" t="str">
        <f ca="1">IF(I120="",IFERROR(INDEX('3M'!C$300:C$400,MATCH("*"&amp;H120&amp;"*",'3M'!B$300:B$400,0)),"  "),IFERROR(INDEX('3N'!D$300:D$400,MATCH("*"&amp;H120&amp;"*",'3N'!B$300:B$400,0)),"  "))</f>
        <v xml:space="preserve">  </v>
      </c>
      <c r="X120" s="908" t="str">
        <f ca="1">IFERROR(INDEX('3M'!C$300:C$400,MATCH("*"&amp;H120&amp;"*",'3M'!B$300:B$400,0)),"  ")</f>
        <v xml:space="preserve">  </v>
      </c>
      <c r="Y120" s="907" t="str">
        <f ca="1">IFERROR(INDEX('3N'!C$300:C$400,MATCH("*"&amp;H120&amp;"*",'3N'!B$300:B$400,0)),"  ")</f>
        <v xml:space="preserve">  </v>
      </c>
      <c r="Z120" s="440"/>
      <c r="AA120" s="75" t="str">
        <f>IFERROR(INDEX('4'!C$300:C$400,MATCH("*"&amp;H120&amp;"*",'4'!B$300:B$400,0)),"  ")</f>
        <v xml:space="preserve">  </v>
      </c>
      <c r="AB120" s="75" t="str">
        <f>IFERROR(INDEX('5'!C$300:C$400,MATCH("*"&amp;H120&amp;"*",'5'!B$300:B$400,0)),"  ")</f>
        <v xml:space="preserve">  </v>
      </c>
      <c r="AC120" s="75" t="str">
        <f>IFERROR(INDEX('6'!C$300:C$400,MATCH("*"&amp;H120&amp;"*",'6'!B$300:B$400,0)),"  ")</f>
        <v xml:space="preserve">  </v>
      </c>
      <c r="AD120" s="75" t="str">
        <f>IFERROR(INDEX('7'!C$300:C$400,MATCH("*"&amp;H120&amp;"*",'7'!B$300:B$400,0)),"  ")</f>
        <v xml:space="preserve">  </v>
      </c>
      <c r="AE120" s="75" t="str">
        <f>IF(I120="",IFERROR(INDEX('8M'!C$300:C$400,MATCH("*"&amp;H120&amp;"*",'8M'!B$300:B$400,0)),"  "),IFERROR(INDEX('8N'!D$300:D$400,MATCH("*"&amp;H120&amp;"*",'8N'!B$300:B$400,0)),"  "))</f>
        <v xml:space="preserve">  </v>
      </c>
      <c r="AF120" s="908" t="str">
        <f>IFERROR(INDEX('8M'!C$300:C$400,MATCH("*"&amp;H120&amp;"*",'8M'!B$300:B$400,0)),"  ")</f>
        <v xml:space="preserve">  </v>
      </c>
      <c r="AG120" s="907" t="str">
        <f>IFERROR(INDEX('8N'!C$300:C$400,MATCH("*"&amp;H120&amp;"*",'8N'!B$300:B$400,0)),"  ")</f>
        <v xml:space="preserve">  </v>
      </c>
      <c r="AH120" s="440"/>
      <c r="AI120" s="75" t="str">
        <f>IFERROR(INDEX('9'!C$300:C$400,MATCH("*"&amp;H120&amp;"*",'9'!B$300:B$400,0)),"  ")</f>
        <v xml:space="preserve">  </v>
      </c>
      <c r="AJ120" s="830" t="str">
        <f>IFERROR(INDEX('10'!C$300:C$400,MATCH("*"&amp;H120&amp;"*",'10'!B$300:B$400,0)),"  ")</f>
        <v xml:space="preserve">  </v>
      </c>
      <c r="AK120" s="75" t="str">
        <f>IFERROR(INDEX('11'!C$300:C$400,MATCH("*"&amp;H120&amp;"*",'11'!B$300:B$400,0)),"  ")</f>
        <v xml:space="preserve">  </v>
      </c>
      <c r="AL120" s="75" t="str">
        <f>IFERROR(INDEX('12'!C$300:C$400,MATCH("*"&amp;H120&amp;"*",'12'!B$300:B$400,0)),"  ")</f>
        <v xml:space="preserve">  </v>
      </c>
      <c r="AM120" s="26">
        <f t="shared" ca="1" si="57"/>
        <v>1</v>
      </c>
      <c r="AN120" s="579">
        <f t="shared" ca="1" si="48"/>
        <v>0</v>
      </c>
      <c r="AO120" s="580">
        <f t="shared" ca="1" si="58"/>
        <v>0</v>
      </c>
      <c r="AP120" s="27">
        <f t="shared" ca="1" si="59"/>
        <v>0</v>
      </c>
      <c r="AQ120" s="933">
        <f t="shared" si="46"/>
        <v>4.0000000000000002E-4</v>
      </c>
      <c r="AR120" s="933">
        <f t="shared" ca="1" si="47"/>
        <v>1E-4</v>
      </c>
    </row>
    <row r="121" spans="1:44" x14ac:dyDescent="0.2">
      <c r="A121" s="851" t="str">
        <f t="shared" ca="1" si="49"/>
        <v/>
      </c>
      <c r="B121" s="77">
        <f t="shared" si="50"/>
        <v>0</v>
      </c>
      <c r="C121" s="853">
        <f t="shared" ca="1" si="44"/>
        <v>30</v>
      </c>
      <c r="D121" s="76">
        <f t="shared" ca="1" si="51"/>
        <v>10060</v>
      </c>
      <c r="E121" s="855">
        <f t="shared" ca="1" si="45"/>
        <v>7</v>
      </c>
      <c r="F121" s="899">
        <f t="shared" ca="1" si="52"/>
        <v>10060</v>
      </c>
      <c r="G121" s="897">
        <f t="shared" ca="1" si="35"/>
        <v>113</v>
      </c>
      <c r="H121" s="139" t="s">
        <v>770</v>
      </c>
      <c r="I121" s="38" t="s">
        <v>32</v>
      </c>
      <c r="J121" s="589" t="s">
        <v>45</v>
      </c>
      <c r="K121" s="586"/>
      <c r="L121" s="587"/>
      <c r="M121" s="857">
        <f ca="1">(IF(COUNT(V121,AA121,AD121,AI121,AJ121,AL121)&lt;5,SUM(V121,AA121,AD121,AI121,AJ121,AL121),SUM(LARGE((V121,AA121,AD121,AI121,AJ121,AL121),{1;2;3;4;5}))))+(IF(COUNT(U121,W121,AB121,AC121,AE121,AK121)&lt;5,SUM(U121,W121,AB121,AC121,AE121,AK121),SUM(LARGE((U121,W121,AB121,AC121,AE121,AK121),{1;2;3;4;5}))))+T121</f>
        <v>60</v>
      </c>
      <c r="N121" s="862">
        <f ca="1">IF(I121="n",((IF(COUNT(V121,AA121,AD121,AI121,AJ121,AL121)&lt;5,SUM(V121,AA121,AD121,AI121,AJ121,AL121),SUM(LARGE((V121,AA121,AD121,AI121,AJ121,AL121),{1;2;3;4;5}))))+(IF(COUNT(U121,Y121,AB121,AC121,AG121,AK121)&lt;5,SUM(U121,Y121,AB121,AC121,AG121,AK121),SUM(LARGE((U121,Y121,AB121,AC121,AG121,AK121),{1;2;3;4;5}))))+T121),0)</f>
        <v>60</v>
      </c>
      <c r="O121" s="863">
        <f ca="1">IF(J121="j",((IF(COUNT(V121,AA121,AD121,AI121,AJ121,AL121)&lt;5,SUM(V121,AA121,AD121,AI121,AJ121,AL121),SUM(LARGE((V121,AA121,AD121,AI121,AJ121,AL121),{1;2;3;4;5}))))+(IF(COUNT(U121,W121,AB121,AC121,AE121,AK121)&lt;5,SUM(U121,W121,AB121,AC121,AE121,AK121),SUM(LARGE((U121,W121,AB121,AC121,AE121,AK121),{1;2;3;4;5}))))+T121),0)</f>
        <v>60</v>
      </c>
      <c r="P121" s="886" t="str">
        <f t="shared" ca="1" si="53"/>
        <v>060,0</v>
      </c>
      <c r="Q121" s="890">
        <f t="shared" si="54"/>
        <v>76</v>
      </c>
      <c r="R121" s="886" t="str">
        <f t="shared" ca="1" si="55"/>
        <v>0060,0-076</v>
      </c>
      <c r="S121" s="889">
        <f t="shared" ca="1" si="56"/>
        <v>81</v>
      </c>
      <c r="T121" s="847"/>
      <c r="U121" s="75">
        <f>IFERROR(INDEX('1'!C$300:C$400,MATCH("*"&amp;H121&amp;"*",'1'!B$300:B$400,0)),"  ")</f>
        <v>60</v>
      </c>
      <c r="V121" s="199" t="str">
        <f>IFERROR(INDEX('2'!C$300:C$400,MATCH("*"&amp;H121&amp;"*",'2'!B$300:B$400,0)),"  ")</f>
        <v xml:space="preserve">  </v>
      </c>
      <c r="W121" s="199" t="str">
        <f ca="1">IF(I121="",IFERROR(INDEX('3M'!C$300:C$400,MATCH("*"&amp;H121&amp;"*",'3M'!B$300:B$400,0)),"  "),IFERROR(INDEX('3N'!D$300:D$400,MATCH("*"&amp;H121&amp;"*",'3N'!B$300:B$400,0)),"  "))</f>
        <v xml:space="preserve">  </v>
      </c>
      <c r="X121" s="908" t="str">
        <f ca="1">IFERROR(INDEX('3M'!C$300:C$400,MATCH("*"&amp;H121&amp;"*",'3M'!B$300:B$400,0)),"  ")</f>
        <v xml:space="preserve">  </v>
      </c>
      <c r="Y121" s="907" t="str">
        <f ca="1">IFERROR(INDEX('3N'!C$300:C$400,MATCH("*"&amp;H121&amp;"*",'3N'!B$300:B$400,0)),"  ")</f>
        <v xml:space="preserve">  </v>
      </c>
      <c r="Z121" s="440"/>
      <c r="AA121" s="75" t="str">
        <f>IFERROR(INDEX('4'!C$300:C$400,MATCH("*"&amp;H121&amp;"*",'4'!B$300:B$400,0)),"  ")</f>
        <v xml:space="preserve">  </v>
      </c>
      <c r="AB121" s="75" t="str">
        <f>IFERROR(INDEX('5'!C$300:C$400,MATCH("*"&amp;H121&amp;"*",'5'!B$300:B$400,0)),"  ")</f>
        <v xml:space="preserve">  </v>
      </c>
      <c r="AC121" s="75" t="str">
        <f>IFERROR(INDEX('6'!C$300:C$400,MATCH("*"&amp;H121&amp;"*",'6'!B$300:B$400,0)),"  ")</f>
        <v xml:space="preserve">  </v>
      </c>
      <c r="AD121" s="75" t="str">
        <f>IFERROR(INDEX('7'!C$300:C$400,MATCH("*"&amp;H121&amp;"*",'7'!B$300:B$400,0)),"  ")</f>
        <v xml:space="preserve">  </v>
      </c>
      <c r="AE121" s="75" t="str">
        <f>IF(I121="",IFERROR(INDEX('8M'!C$300:C$400,MATCH("*"&amp;H121&amp;"*",'8M'!B$300:B$400,0)),"  "),IFERROR(INDEX('8N'!D$300:D$400,MATCH("*"&amp;H121&amp;"*",'8N'!B$300:B$400,0)),"  "))</f>
        <v xml:space="preserve">  </v>
      </c>
      <c r="AF121" s="908" t="str">
        <f>IFERROR(INDEX('8M'!C$300:C$400,MATCH("*"&amp;H121&amp;"*",'8M'!B$300:B$400,0)),"  ")</f>
        <v xml:space="preserve">  </v>
      </c>
      <c r="AG121" s="907" t="str">
        <f>IFERROR(INDEX('8N'!C$300:C$400,MATCH("*"&amp;H121&amp;"*",'8N'!B$300:B$400,0)),"  ")</f>
        <v xml:space="preserve">  </v>
      </c>
      <c r="AH121" s="440"/>
      <c r="AI121" s="75" t="str">
        <f>IFERROR(INDEX('9'!C$300:C$400,MATCH("*"&amp;H121&amp;"*",'9'!B$300:B$400,0)),"  ")</f>
        <v xml:space="preserve">  </v>
      </c>
      <c r="AJ121" s="830" t="str">
        <f>IFERROR(INDEX('10'!C$300:C$400,MATCH("*"&amp;H121&amp;"*",'10'!B$300:B$400,0)),"  ")</f>
        <v xml:space="preserve">  </v>
      </c>
      <c r="AK121" s="75" t="str">
        <f>IFERROR(INDEX('11'!C$300:C$400,MATCH("*"&amp;H121&amp;"*",'11'!B$300:B$400,0)),"  ")</f>
        <v xml:space="preserve">  </v>
      </c>
      <c r="AL121" s="75" t="str">
        <f>IFERROR(INDEX('12'!C$300:C$400,MATCH("*"&amp;H121&amp;"*",'12'!B$300:B$400,0)),"  ")</f>
        <v xml:space="preserve">  </v>
      </c>
      <c r="AM121" s="26">
        <f t="shared" ca="1" si="57"/>
        <v>1</v>
      </c>
      <c r="AN121" s="579">
        <f t="shared" ca="1" si="48"/>
        <v>0</v>
      </c>
      <c r="AO121" s="580">
        <f t="shared" ca="1" si="58"/>
        <v>0</v>
      </c>
      <c r="AP121" s="27">
        <f t="shared" ca="1" si="59"/>
        <v>0</v>
      </c>
      <c r="AQ121" s="933">
        <f t="shared" si="46"/>
        <v>2.0000000000000001E-4</v>
      </c>
      <c r="AR121" s="933">
        <f t="shared" ca="1" si="47"/>
        <v>2.9999999999999997E-4</v>
      </c>
    </row>
    <row r="122" spans="1:44" x14ac:dyDescent="0.2">
      <c r="A122" s="851">
        <f t="shared" ca="1" si="49"/>
        <v>85</v>
      </c>
      <c r="B122" s="77">
        <f t="shared" ca="1" si="50"/>
        <v>10056</v>
      </c>
      <c r="C122" s="853" t="str">
        <f t="shared" ca="1" si="44"/>
        <v/>
      </c>
      <c r="D122" s="76">
        <f t="shared" si="51"/>
        <v>0</v>
      </c>
      <c r="E122" s="855" t="str">
        <f t="shared" ca="1" si="45"/>
        <v/>
      </c>
      <c r="F122" s="899">
        <f t="shared" si="52"/>
        <v>0</v>
      </c>
      <c r="G122" s="897">
        <f t="shared" ca="1" si="35"/>
        <v>114</v>
      </c>
      <c r="H122" s="177" t="s">
        <v>891</v>
      </c>
      <c r="I122" s="38"/>
      <c r="J122" s="585"/>
      <c r="K122" s="586"/>
      <c r="L122" s="588"/>
      <c r="M122" s="857">
        <f ca="1">(IF(COUNT(V122,AA122,AD122,AI122,AJ122,AL122)&lt;5,SUM(V122,AA122,AD122,AI122,AJ122,AL122),SUM(LARGE((V122,AA122,AD122,AI122,AJ122,AL122),{1;2;3;4;5}))))+(IF(COUNT(U122,W122,AB122,AC122,AE122,AK122)&lt;5,SUM(U122,W122,AB122,AC122,AE122,AK122),SUM(LARGE((U122,W122,AB122,AC122,AE122,AK122),{1;2;3;4;5}))))+T122</f>
        <v>56</v>
      </c>
      <c r="N122" s="862">
        <f>IF(I122="n",((IF(COUNT(V122,AA122,AD122,AI122,AJ122,AL122)&lt;5,SUM(V122,AA122,AD122,AI122,AJ122,AL122),SUM(LARGE((V122,AA122,AD122,AI122,AJ122,AL122),{1;2;3;4;5}))))+(IF(COUNT(U122,Y122,AB122,AC122,AG122,AK122)&lt;5,SUM(U122,Y122,AB122,AC122,AG122,AK122),SUM(LARGE((U122,Y122,AB122,AC122,AG122,AK122),{1;2;3;4;5}))))+T122),0)</f>
        <v>0</v>
      </c>
      <c r="O122" s="863">
        <f>IF(J122="j",((IF(COUNT(V122,AA122,AD122,AI122,AJ122,AL122)&lt;5,SUM(V122,AA122,AD122,AI122,AJ122,AL122),SUM(LARGE((V122,AA122,AD122,AI122,AJ122,AL122),{1;2;3;4;5}))))+(IF(COUNT(U122,W122,AB122,AC122,AE122,AK122)&lt;5,SUM(U122,W122,AB122,AC122,AE122,AK122),SUM(LARGE((U122,W122,AB122,AC122,AE122,AK122),{1;2;3;4;5}))))+T122),0)</f>
        <v>0</v>
      </c>
      <c r="P122" s="886" t="str">
        <f t="shared" ca="1" si="53"/>
        <v>056,0</v>
      </c>
      <c r="Q122" s="890">
        <f t="shared" si="54"/>
        <v>157</v>
      </c>
      <c r="R122" s="886" t="str">
        <f t="shared" ca="1" si="55"/>
        <v>0056,0-157</v>
      </c>
      <c r="S122" s="889">
        <f t="shared" ca="1" si="56"/>
        <v>80</v>
      </c>
      <c r="T122" s="847"/>
      <c r="U122" s="75" t="str">
        <f>IFERROR(INDEX('1'!C$300:C$400,MATCH("*"&amp;H122&amp;"*",'1'!B$300:B$400,0)),"  ")</f>
        <v xml:space="preserve">  </v>
      </c>
      <c r="V122" s="199" t="str">
        <f>IFERROR(INDEX('2'!C$300:C$400,MATCH("*"&amp;H122&amp;"*",'2'!B$300:B$400,0)),"  ")</f>
        <v xml:space="preserve">  </v>
      </c>
      <c r="W122" s="199" t="str">
        <f ca="1">IF(I122="",IFERROR(INDEX('3M'!C$300:C$400,MATCH("*"&amp;H122&amp;"*",'3M'!B$300:B$400,0)),"  "),IFERROR(INDEX('3N'!D$300:D$400,MATCH("*"&amp;H122&amp;"*",'3N'!B$300:B$400,0)),"  "))</f>
        <v xml:space="preserve">  </v>
      </c>
      <c r="X122" s="908" t="str">
        <f ca="1">IFERROR(INDEX('3M'!C$300:C$400,MATCH("*"&amp;H122&amp;"*",'3M'!B$300:B$400,0)),"  ")</f>
        <v xml:space="preserve">  </v>
      </c>
      <c r="Y122" s="907" t="str">
        <f ca="1">IFERROR(INDEX('3N'!C$300:C$400,MATCH("*"&amp;H122&amp;"*",'3N'!B$300:B$400,0)),"  ")</f>
        <v xml:space="preserve">  </v>
      </c>
      <c r="Z122" s="440"/>
      <c r="AA122" s="75" t="str">
        <f>IFERROR(INDEX('4'!C$300:C$400,MATCH("*"&amp;H122&amp;"*",'4'!B$300:B$400,0)),"  ")</f>
        <v xml:space="preserve">  </v>
      </c>
      <c r="AB122" s="75" t="str">
        <f>IFERROR(INDEX('5'!C$300:C$400,MATCH("*"&amp;H122&amp;"*",'5'!B$300:B$400,0)),"  ")</f>
        <v xml:space="preserve">  </v>
      </c>
      <c r="AC122" s="75" t="str">
        <f>IFERROR(INDEX('6'!C$300:C$400,MATCH("*"&amp;H122&amp;"*",'6'!B$300:B$400,0)),"  ")</f>
        <v xml:space="preserve">  </v>
      </c>
      <c r="AD122" s="75" t="str">
        <f>IFERROR(INDEX('7'!C$300:C$400,MATCH("*"&amp;H122&amp;"*",'7'!B$300:B$400,0)),"  ")</f>
        <v xml:space="preserve">  </v>
      </c>
      <c r="AE122" s="75" t="str">
        <f>IF(I122="",IFERROR(INDEX('8M'!C$300:C$400,MATCH("*"&amp;H122&amp;"*",'8M'!B$300:B$400,0)),"  "),IFERROR(INDEX('8N'!D$300:D$400,MATCH("*"&amp;H122&amp;"*",'8N'!B$300:B$400,0)),"  "))</f>
        <v xml:space="preserve">  </v>
      </c>
      <c r="AF122" s="908" t="str">
        <f>IFERROR(INDEX('8M'!C$300:C$400,MATCH("*"&amp;H122&amp;"*",'8M'!B$300:B$400,0)),"  ")</f>
        <v xml:space="preserve">  </v>
      </c>
      <c r="AG122" s="907" t="str">
        <f>IFERROR(INDEX('8N'!C$300:C$400,MATCH("*"&amp;H122&amp;"*",'8N'!B$300:B$400,0)),"  ")</f>
        <v xml:space="preserve">  </v>
      </c>
      <c r="AH122" s="440"/>
      <c r="AI122" s="75" t="str">
        <f>IFERROR(INDEX('9'!C$300:C$400,MATCH("*"&amp;H122&amp;"*",'9'!B$300:B$400,0)),"  ")</f>
        <v xml:space="preserve">  </v>
      </c>
      <c r="AJ122" s="830">
        <f>IFERROR(INDEX('10'!C$300:C$400,MATCH("*"&amp;H122&amp;"*",'10'!B$300:B$400,0)),"  ")</f>
        <v>56</v>
      </c>
      <c r="AK122" s="75" t="str">
        <f>IFERROR(INDEX('11'!C$300:C$400,MATCH("*"&amp;H122&amp;"*",'11'!B$300:B$400,0)),"  ")</f>
        <v xml:space="preserve">  </v>
      </c>
      <c r="AL122" s="75" t="str">
        <f>IFERROR(INDEX('12'!C$300:C$400,MATCH("*"&amp;H122&amp;"*",'12'!B$300:B$400,0)),"  ")</f>
        <v xml:space="preserve">  </v>
      </c>
      <c r="AM122" s="26">
        <f t="shared" ca="1" si="57"/>
        <v>1</v>
      </c>
      <c r="AN122" s="579">
        <f t="shared" ca="1" si="48"/>
        <v>0</v>
      </c>
      <c r="AO122" s="580">
        <f t="shared" ca="1" si="58"/>
        <v>0</v>
      </c>
      <c r="AP122" s="27">
        <f t="shared" ca="1" si="59"/>
        <v>0</v>
      </c>
      <c r="AQ122" s="933">
        <f t="shared" si="46"/>
        <v>2.0000000000000001E-4</v>
      </c>
      <c r="AR122" s="933">
        <f t="shared" ca="1" si="47"/>
        <v>1E-4</v>
      </c>
    </row>
    <row r="123" spans="1:44" x14ac:dyDescent="0.2">
      <c r="A123" s="851">
        <f t="shared" ca="1" si="49"/>
        <v>85</v>
      </c>
      <c r="B123" s="77">
        <f t="shared" ca="1" si="50"/>
        <v>10056</v>
      </c>
      <c r="C123" s="853" t="str">
        <f t="shared" ca="1" si="44"/>
        <v/>
      </c>
      <c r="D123" s="76">
        <f t="shared" si="51"/>
        <v>0</v>
      </c>
      <c r="E123" s="855" t="str">
        <f t="shared" ca="1" si="45"/>
        <v/>
      </c>
      <c r="F123" s="899">
        <f t="shared" si="52"/>
        <v>0</v>
      </c>
      <c r="G123" s="897">
        <f t="shared" ca="1" si="35"/>
        <v>114</v>
      </c>
      <c r="H123" s="177" t="s">
        <v>894</v>
      </c>
      <c r="I123" s="38"/>
      <c r="J123" s="585"/>
      <c r="K123" s="586"/>
      <c r="L123" s="587"/>
      <c r="M123" s="857">
        <f ca="1">(IF(COUNT(V123,AA123,AD123,AI123,AJ123,AL123)&lt;5,SUM(V123,AA123,AD123,AI123,AJ123,AL123),SUM(LARGE((V123,AA123,AD123,AI123,AJ123,AL123),{1;2;3;4;5}))))+(IF(COUNT(U123,W123,AB123,AC123,AE123,AK123)&lt;5,SUM(U123,W123,AB123,AC123,AE123,AK123),SUM(LARGE((U123,W123,AB123,AC123,AE123,AK123),{1;2;3;4;5}))))+T123</f>
        <v>56</v>
      </c>
      <c r="N123" s="862">
        <f>IF(I123="n",((IF(COUNT(V123,AA123,AD123,AI123,AJ123,AL123)&lt;5,SUM(V123,AA123,AD123,AI123,AJ123,AL123),SUM(LARGE((V123,AA123,AD123,AI123,AJ123,AL123),{1;2;3;4;5}))))+(IF(COUNT(U123,Y123,AB123,AC123,AG123,AK123)&lt;5,SUM(U123,Y123,AB123,AC123,AG123,AK123),SUM(LARGE((U123,Y123,AB123,AC123,AG123,AK123),{1;2;3;4;5}))))+T123),0)</f>
        <v>0</v>
      </c>
      <c r="O123" s="863">
        <f>IF(J123="j",((IF(COUNT(V123,AA123,AD123,AI123,AJ123,AL123)&lt;5,SUM(V123,AA123,AD123,AI123,AJ123,AL123),SUM(LARGE((V123,AA123,AD123,AI123,AJ123,AL123),{1;2;3;4;5}))))+(IF(COUNT(U123,W123,AB123,AC123,AE123,AK123)&lt;5,SUM(U123,W123,AB123,AC123,AE123,AK123),SUM(LARGE((U123,W123,AB123,AC123,AE123,AK123),{1;2;3;4;5}))))+T123),0)</f>
        <v>0</v>
      </c>
      <c r="P123" s="886" t="str">
        <f t="shared" ca="1" si="53"/>
        <v>056,0</v>
      </c>
      <c r="Q123" s="890">
        <f t="shared" si="54"/>
        <v>89</v>
      </c>
      <c r="R123" s="886" t="str">
        <f t="shared" ca="1" si="55"/>
        <v>0056,0-089</v>
      </c>
      <c r="S123" s="889">
        <f t="shared" ca="1" si="56"/>
        <v>79</v>
      </c>
      <c r="T123" s="847"/>
      <c r="U123" s="75" t="str">
        <f>IFERROR(INDEX('1'!C$300:C$400,MATCH("*"&amp;H123&amp;"*",'1'!B$300:B$400,0)),"  ")</f>
        <v xml:space="preserve">  </v>
      </c>
      <c r="V123" s="199" t="str">
        <f>IFERROR(INDEX('2'!C$300:C$400,MATCH("*"&amp;H123&amp;"*",'2'!B$300:B$400,0)),"  ")</f>
        <v xml:space="preserve">  </v>
      </c>
      <c r="W123" s="199" t="str">
        <f ca="1">IF(I123="",IFERROR(INDEX('3M'!C$300:C$400,MATCH("*"&amp;H123&amp;"*",'3M'!B$300:B$400,0)),"  "),IFERROR(INDEX('3N'!D$300:D$400,MATCH("*"&amp;H123&amp;"*",'3N'!B$300:B$400,0)),"  "))</f>
        <v xml:space="preserve">  </v>
      </c>
      <c r="X123" s="908" t="str">
        <f ca="1">IFERROR(INDEX('3M'!C$300:C$400,MATCH("*"&amp;H123&amp;"*",'3M'!B$300:B$400,0)),"  ")</f>
        <v xml:space="preserve">  </v>
      </c>
      <c r="Y123" s="907" t="str">
        <f ca="1">IFERROR(INDEX('3N'!C$300:C$400,MATCH("*"&amp;H123&amp;"*",'3N'!B$300:B$400,0)),"  ")</f>
        <v xml:space="preserve">  </v>
      </c>
      <c r="Z123" s="440"/>
      <c r="AA123" s="75" t="str">
        <f>IFERROR(INDEX('4'!C$300:C$400,MATCH("*"&amp;H123&amp;"*",'4'!B$300:B$400,0)),"  ")</f>
        <v xml:space="preserve">  </v>
      </c>
      <c r="AB123" s="75" t="str">
        <f>IFERROR(INDEX('5'!C$300:C$400,MATCH("*"&amp;H123&amp;"*",'5'!B$300:B$400,0)),"  ")</f>
        <v xml:space="preserve">  </v>
      </c>
      <c r="AC123" s="75" t="str">
        <f>IFERROR(INDEX('6'!C$300:C$400,MATCH("*"&amp;H123&amp;"*",'6'!B$300:B$400,0)),"  ")</f>
        <v xml:space="preserve">  </v>
      </c>
      <c r="AD123" s="75" t="str">
        <f>IFERROR(INDEX('7'!C$300:C$400,MATCH("*"&amp;H123&amp;"*",'7'!B$300:B$400,0)),"  ")</f>
        <v xml:space="preserve">  </v>
      </c>
      <c r="AE123" s="75" t="str">
        <f>IF(I123="",IFERROR(INDEX('8M'!C$300:C$400,MATCH("*"&amp;H123&amp;"*",'8M'!B$300:B$400,0)),"  "),IFERROR(INDEX('8N'!D$300:D$400,MATCH("*"&amp;H123&amp;"*",'8N'!B$300:B$400,0)),"  "))</f>
        <v xml:space="preserve">  </v>
      </c>
      <c r="AF123" s="908" t="str">
        <f>IFERROR(INDEX('8M'!C$300:C$400,MATCH("*"&amp;H123&amp;"*",'8M'!B$300:B$400,0)),"  ")</f>
        <v xml:space="preserve">  </v>
      </c>
      <c r="AG123" s="907" t="str">
        <f>IFERROR(INDEX('8N'!C$300:C$400,MATCH("*"&amp;H123&amp;"*",'8N'!B$300:B$400,0)),"  ")</f>
        <v xml:space="preserve">  </v>
      </c>
      <c r="AH123" s="440"/>
      <c r="AI123" s="75" t="str">
        <f>IFERROR(INDEX('9'!C$300:C$400,MATCH("*"&amp;H123&amp;"*",'9'!B$300:B$400,0)),"  ")</f>
        <v xml:space="preserve">  </v>
      </c>
      <c r="AJ123" s="830">
        <f>IFERROR(INDEX('10'!C$300:C$400,MATCH("*"&amp;H123&amp;"*",'10'!B$300:B$400,0)),"  ")</f>
        <v>56</v>
      </c>
      <c r="AK123" s="75" t="str">
        <f>IFERROR(INDEX('11'!C$300:C$400,MATCH("*"&amp;H123&amp;"*",'11'!B$300:B$400,0)),"  ")</f>
        <v xml:space="preserve">  </v>
      </c>
      <c r="AL123" s="75" t="str">
        <f>IFERROR(INDEX('12'!C$300:C$400,MATCH("*"&amp;H123&amp;"*",'12'!B$300:B$400,0)),"  ")</f>
        <v xml:space="preserve">  </v>
      </c>
      <c r="AM123" s="26">
        <f t="shared" ca="1" si="57"/>
        <v>1</v>
      </c>
      <c r="AN123" s="579">
        <f t="shared" ca="1" si="48"/>
        <v>0</v>
      </c>
      <c r="AO123" s="580">
        <f t="shared" ca="1" si="58"/>
        <v>0</v>
      </c>
      <c r="AP123" s="27">
        <f t="shared" ca="1" si="59"/>
        <v>0</v>
      </c>
      <c r="AQ123" s="933">
        <f t="shared" si="46"/>
        <v>2.0000000000000001E-4</v>
      </c>
      <c r="AR123" s="933">
        <f t="shared" ca="1" si="47"/>
        <v>1E-4</v>
      </c>
    </row>
    <row r="124" spans="1:44" x14ac:dyDescent="0.2">
      <c r="A124" s="851" t="str">
        <f t="shared" ca="1" si="49"/>
        <v/>
      </c>
      <c r="B124" s="77">
        <f t="shared" si="50"/>
        <v>0</v>
      </c>
      <c r="C124" s="853">
        <f t="shared" ca="1" si="44"/>
        <v>31</v>
      </c>
      <c r="D124" s="76">
        <f t="shared" ca="1" si="51"/>
        <v>10056</v>
      </c>
      <c r="E124" s="855" t="str">
        <f t="shared" ca="1" si="45"/>
        <v/>
      </c>
      <c r="F124" s="899">
        <f t="shared" si="52"/>
        <v>0</v>
      </c>
      <c r="G124" s="897">
        <f t="shared" ca="1" si="35"/>
        <v>114</v>
      </c>
      <c r="H124" s="177" t="s">
        <v>895</v>
      </c>
      <c r="I124" s="38" t="s">
        <v>32</v>
      </c>
      <c r="J124" s="589"/>
      <c r="K124" s="586"/>
      <c r="L124" s="587"/>
      <c r="M124" s="857">
        <f ca="1">(IF(COUNT(V124,AA124,AD124,AI124,AJ124,AL124)&lt;5,SUM(V124,AA124,AD124,AI124,AJ124,AL124),SUM(LARGE((V124,AA124,AD124,AI124,AJ124,AL124),{1;2;3;4;5}))))+(IF(COUNT(U124,W124,AB124,AC124,AE124,AK124)&lt;5,SUM(U124,W124,AB124,AC124,AE124,AK124),SUM(LARGE((U124,W124,AB124,AC124,AE124,AK124),{1;2;3;4;5}))))+T124</f>
        <v>56</v>
      </c>
      <c r="N124" s="862">
        <f ca="1">IF(I124="n",((IF(COUNT(V124,AA124,AD124,AI124,AJ124,AL124)&lt;5,SUM(V124,AA124,AD124,AI124,AJ124,AL124),SUM(LARGE((V124,AA124,AD124,AI124,AJ124,AL124),{1;2;3;4;5}))))+(IF(COUNT(U124,Y124,AB124,AC124,AG124,AK124)&lt;5,SUM(U124,Y124,AB124,AC124,AG124,AK124),SUM(LARGE((U124,Y124,AB124,AC124,AG124,AK124),{1;2;3;4;5}))))+T124),0)</f>
        <v>56</v>
      </c>
      <c r="O124" s="863">
        <f>IF(J124="j",((IF(COUNT(V124,AA124,AD124,AI124,AJ124,AL124)&lt;5,SUM(V124,AA124,AD124,AI124,AJ124,AL124),SUM(LARGE((V124,AA124,AD124,AI124,AJ124,AL124),{1;2;3;4;5}))))+(IF(COUNT(U124,W124,AB124,AC124,AE124,AK124)&lt;5,SUM(U124,W124,AB124,AC124,AE124,AK124),SUM(LARGE((U124,W124,AB124,AC124,AE124,AK124),{1;2;3;4;5}))))+T124),0)</f>
        <v>0</v>
      </c>
      <c r="P124" s="886" t="str">
        <f t="shared" ca="1" si="53"/>
        <v>056,0</v>
      </c>
      <c r="Q124" s="890">
        <f t="shared" si="54"/>
        <v>47</v>
      </c>
      <c r="R124" s="886" t="str">
        <f t="shared" ca="1" si="55"/>
        <v>0056,0-047</v>
      </c>
      <c r="S124" s="889">
        <f t="shared" ca="1" si="56"/>
        <v>78</v>
      </c>
      <c r="T124" s="847"/>
      <c r="U124" s="75" t="str">
        <f>IFERROR(INDEX('1'!C$300:C$400,MATCH("*"&amp;H124&amp;"*",'1'!B$300:B$400,0)),"  ")</f>
        <v xml:space="preserve">  </v>
      </c>
      <c r="V124" s="199" t="str">
        <f>IFERROR(INDEX('2'!C$300:C$400,MATCH("*"&amp;H124&amp;"*",'2'!B$300:B$400,0)),"  ")</f>
        <v xml:space="preserve">  </v>
      </c>
      <c r="W124" s="199" t="str">
        <f ca="1">IF(I124="",IFERROR(INDEX('3M'!C$300:C$400,MATCH("*"&amp;H124&amp;"*",'3M'!B$300:B$400,0)),"  "),IFERROR(INDEX('3N'!D$300:D$400,MATCH("*"&amp;H124&amp;"*",'3N'!B$300:B$400,0)),"  "))</f>
        <v xml:space="preserve">  </v>
      </c>
      <c r="X124" s="908" t="str">
        <f ca="1">IFERROR(INDEX('3M'!C$300:C$400,MATCH("*"&amp;H124&amp;"*",'3M'!B$300:B$400,0)),"  ")</f>
        <v xml:space="preserve">  </v>
      </c>
      <c r="Y124" s="907" t="str">
        <f ca="1">IFERROR(INDEX('3N'!C$300:C$400,MATCH("*"&amp;H124&amp;"*",'3N'!B$300:B$400,0)),"  ")</f>
        <v xml:space="preserve">  </v>
      </c>
      <c r="Z124" s="440"/>
      <c r="AA124" s="75" t="str">
        <f>IFERROR(INDEX('4'!C$300:C$400,MATCH("*"&amp;H124&amp;"*",'4'!B$300:B$400,0)),"  ")</f>
        <v xml:space="preserve">  </v>
      </c>
      <c r="AB124" s="75" t="str">
        <f>IFERROR(INDEX('5'!C$300:C$400,MATCH("*"&amp;H124&amp;"*",'5'!B$300:B$400,0)),"  ")</f>
        <v xml:space="preserve">  </v>
      </c>
      <c r="AC124" s="75" t="str">
        <f>IFERROR(INDEX('6'!C$300:C$400,MATCH("*"&amp;H124&amp;"*",'6'!B$300:B$400,0)),"  ")</f>
        <v xml:space="preserve">  </v>
      </c>
      <c r="AD124" s="75" t="str">
        <f>IFERROR(INDEX('7'!C$300:C$400,MATCH("*"&amp;H124&amp;"*",'7'!B$300:B$400,0)),"  ")</f>
        <v xml:space="preserve">  </v>
      </c>
      <c r="AE124" s="75" t="str">
        <f>IF(I124="",IFERROR(INDEX('8M'!C$300:C$400,MATCH("*"&amp;H124&amp;"*",'8M'!B$300:B$400,0)),"  "),IFERROR(INDEX('8N'!D$300:D$400,MATCH("*"&amp;H124&amp;"*",'8N'!B$300:B$400,0)),"  "))</f>
        <v xml:space="preserve">  </v>
      </c>
      <c r="AF124" s="908" t="str">
        <f>IFERROR(INDEX('8M'!C$300:C$400,MATCH("*"&amp;H124&amp;"*",'8M'!B$300:B$400,0)),"  ")</f>
        <v xml:space="preserve">  </v>
      </c>
      <c r="AG124" s="907" t="str">
        <f>IFERROR(INDEX('8N'!C$300:C$400,MATCH("*"&amp;H124&amp;"*",'8N'!B$300:B$400,0)),"  ")</f>
        <v xml:space="preserve">  </v>
      </c>
      <c r="AH124" s="440"/>
      <c r="AI124" s="75" t="str">
        <f>IFERROR(INDEX('9'!C$300:C$400,MATCH("*"&amp;H124&amp;"*",'9'!B$300:B$400,0)),"  ")</f>
        <v xml:space="preserve">  </v>
      </c>
      <c r="AJ124" s="830">
        <f>IFERROR(INDEX('10'!C$300:C$400,MATCH("*"&amp;H124&amp;"*",'10'!B$300:B$400,0)),"  ")</f>
        <v>56</v>
      </c>
      <c r="AK124" s="75" t="str">
        <f>IFERROR(INDEX('11'!C$300:C$400,MATCH("*"&amp;H124&amp;"*",'11'!B$300:B$400,0)),"  ")</f>
        <v xml:space="preserve">  </v>
      </c>
      <c r="AL124" s="75" t="str">
        <f>IFERROR(INDEX('12'!C$300:C$400,MATCH("*"&amp;H124&amp;"*",'12'!B$300:B$400,0)),"  ")</f>
        <v xml:space="preserve">  </v>
      </c>
      <c r="AM124" s="26">
        <f t="shared" ca="1" si="57"/>
        <v>1</v>
      </c>
      <c r="AN124" s="579">
        <f t="shared" ca="1" si="48"/>
        <v>0</v>
      </c>
      <c r="AO124" s="580">
        <f t="shared" ca="1" si="58"/>
        <v>0</v>
      </c>
      <c r="AP124" s="27">
        <f t="shared" ca="1" si="59"/>
        <v>0</v>
      </c>
      <c r="AQ124" s="933">
        <f t="shared" si="46"/>
        <v>2.0000000000000001E-4</v>
      </c>
      <c r="AR124" s="933">
        <f t="shared" ca="1" si="47"/>
        <v>1E-4</v>
      </c>
    </row>
    <row r="125" spans="1:44" x14ac:dyDescent="0.2">
      <c r="A125" s="851">
        <f t="shared" ca="1" si="49"/>
        <v>87</v>
      </c>
      <c r="B125" s="77">
        <f t="shared" ca="1" si="50"/>
        <v>10053</v>
      </c>
      <c r="C125" s="853" t="str">
        <f t="shared" ca="1" si="44"/>
        <v/>
      </c>
      <c r="D125" s="76">
        <f t="shared" si="51"/>
        <v>0</v>
      </c>
      <c r="E125" s="855" t="str">
        <f t="shared" ca="1" si="45"/>
        <v/>
      </c>
      <c r="F125" s="899">
        <f t="shared" si="52"/>
        <v>0</v>
      </c>
      <c r="G125" s="897">
        <f t="shared" ca="1" si="35"/>
        <v>117</v>
      </c>
      <c r="H125" s="133" t="s">
        <v>205</v>
      </c>
      <c r="I125" s="38"/>
      <c r="J125" s="585"/>
      <c r="K125" s="586" t="s">
        <v>718</v>
      </c>
      <c r="L125" s="587"/>
      <c r="M125" s="857">
        <f ca="1">(IF(COUNT(V125,AA125,AD125,AI125,AJ125,AL125)&lt;5,SUM(V125,AA125,AD125,AI125,AJ125,AL125),SUM(LARGE((V125,AA125,AD125,AI125,AJ125,AL125),{1;2;3;4;5}))))+(IF(COUNT(U125,W125,AB125,AC125,AE125,AK125)&lt;5,SUM(U125,W125,AB125,AC125,AE125,AK125),SUM(LARGE((U125,W125,AB125,AC125,AE125,AK125),{1;2;3;4;5}))))+T125</f>
        <v>53</v>
      </c>
      <c r="N125" s="862">
        <f>IF(I125="n",((IF(COUNT(V125,AA125,AD125,AI125,AJ125,AL125)&lt;5,SUM(V125,AA125,AD125,AI125,AJ125,AL125),SUM(LARGE((V125,AA125,AD125,AI125,AJ125,AL125),{1;2;3;4;5}))))+(IF(COUNT(U125,Y125,AB125,AC125,AG125,AK125)&lt;5,SUM(U125,Y125,AB125,AC125,AG125,AK125),SUM(LARGE((U125,Y125,AB125,AC125,AG125,AK125),{1;2;3;4;5}))))+T125),0)</f>
        <v>0</v>
      </c>
      <c r="O125" s="863">
        <f>IF(J125="j",((IF(COUNT(V125,AA125,AD125,AI125,AJ125,AL125)&lt;5,SUM(V125,AA125,AD125,AI125,AJ125,AL125),SUM(LARGE((V125,AA125,AD125,AI125,AJ125,AL125),{1;2;3;4;5}))))+(IF(COUNT(U125,W125,AB125,AC125,AE125,AK125)&lt;5,SUM(U125,W125,AB125,AC125,AE125,AK125),SUM(LARGE((U125,W125,AB125,AC125,AE125,AK125),{1;2;3;4;5}))))+T125),0)</f>
        <v>0</v>
      </c>
      <c r="P125" s="886" t="str">
        <f t="shared" ca="1" si="53"/>
        <v>053,0</v>
      </c>
      <c r="Q125" s="890">
        <f t="shared" si="54"/>
        <v>170</v>
      </c>
      <c r="R125" s="886" t="str">
        <f t="shared" ca="1" si="55"/>
        <v>0053,0-170</v>
      </c>
      <c r="S125" s="889">
        <f t="shared" ca="1" si="56"/>
        <v>77</v>
      </c>
      <c r="T125" s="847">
        <v>1</v>
      </c>
      <c r="U125" s="75" t="str">
        <f>IFERROR(INDEX('1'!C$300:C$400,MATCH("*"&amp;H125&amp;"*",'1'!B$300:B$400,0)),"  ")</f>
        <v xml:space="preserve">  </v>
      </c>
      <c r="V125" s="199" t="str">
        <f>IFERROR(INDEX('2'!C$300:C$400,MATCH("*"&amp;H125&amp;"*",'2'!B$300:B$400,0)),"  ")</f>
        <v xml:space="preserve">  </v>
      </c>
      <c r="W125" s="199" t="str">
        <f ca="1">IF(I125="",IFERROR(INDEX('3M'!C$300:C$400,MATCH("*"&amp;H125&amp;"*",'3M'!B$300:B$400,0)),"  "),IFERROR(INDEX('3N'!D$300:D$400,MATCH("*"&amp;H125&amp;"*",'3N'!B$300:B$400,0)),"  "))</f>
        <v xml:space="preserve">  </v>
      </c>
      <c r="X125" s="908" t="str">
        <f ca="1">IFERROR(INDEX('3M'!C$300:C$400,MATCH("*"&amp;H125&amp;"*",'3M'!B$300:B$400,0)),"  ")</f>
        <v xml:space="preserve">  </v>
      </c>
      <c r="Y125" s="907" t="str">
        <f ca="1">IFERROR(INDEX('3N'!C$300:C$400,MATCH("*"&amp;H125&amp;"*",'3N'!B$300:B$400,0)),"  ")</f>
        <v xml:space="preserve">  </v>
      </c>
      <c r="Z125" s="440"/>
      <c r="AA125" s="75" t="str">
        <f>IFERROR(INDEX('4'!C$300:C$400,MATCH("*"&amp;H125&amp;"*",'4'!B$300:B$400,0)),"  ")</f>
        <v xml:space="preserve">  </v>
      </c>
      <c r="AB125" s="75" t="str">
        <f>IFERROR(INDEX('5'!C$300:C$400,MATCH("*"&amp;H125&amp;"*",'5'!B$300:B$400,0)),"  ")</f>
        <v xml:space="preserve">  </v>
      </c>
      <c r="AC125" s="75" t="str">
        <f>IFERROR(INDEX('6'!C$300:C$400,MATCH("*"&amp;H125&amp;"*",'6'!B$300:B$400,0)),"  ")</f>
        <v xml:space="preserve">  </v>
      </c>
      <c r="AD125" s="75" t="str">
        <f>IFERROR(INDEX('7'!C$300:C$400,MATCH("*"&amp;H125&amp;"*",'7'!B$300:B$400,0)),"  ")</f>
        <v xml:space="preserve">  </v>
      </c>
      <c r="AE125" s="75" t="str">
        <f>IF(I125="",IFERROR(INDEX('8M'!C$300:C$400,MATCH("*"&amp;H125&amp;"*",'8M'!B$300:B$400,0)),"  "),IFERROR(INDEX('8N'!D$300:D$400,MATCH("*"&amp;H125&amp;"*",'8N'!B$300:B$400,0)),"  "))</f>
        <v xml:space="preserve">  </v>
      </c>
      <c r="AF125" s="908" t="str">
        <f>IFERROR(INDEX('8M'!C$300:C$400,MATCH("*"&amp;H125&amp;"*",'8M'!B$300:B$400,0)),"  ")</f>
        <v xml:space="preserve">  </v>
      </c>
      <c r="AG125" s="907" t="str">
        <f>IFERROR(INDEX('8N'!C$300:C$400,MATCH("*"&amp;H125&amp;"*",'8N'!B$300:B$400,0)),"  ")</f>
        <v xml:space="preserve">  </v>
      </c>
      <c r="AH125" s="440"/>
      <c r="AI125" s="75" t="str">
        <f>IFERROR(INDEX('9'!C$300:C$400,MATCH("*"&amp;H125&amp;"*",'9'!B$300:B$400,0)),"  ")</f>
        <v xml:space="preserve">  </v>
      </c>
      <c r="AJ125" s="830">
        <f>IFERROR(INDEX('10'!C$300:C$400,MATCH("*"&amp;H125&amp;"*",'10'!B$300:B$400,0)),"  ")</f>
        <v>52</v>
      </c>
      <c r="AK125" s="75" t="str">
        <f>IFERROR(INDEX('11'!C$300:C$400,MATCH("*"&amp;H125&amp;"*",'11'!B$300:B$400,0)),"  ")</f>
        <v xml:space="preserve">  </v>
      </c>
      <c r="AL125" s="75" t="str">
        <f>IFERROR(INDEX('12'!C$300:C$400,MATCH("*"&amp;H125&amp;"*",'12'!B$300:B$400,0)),"  ")</f>
        <v xml:space="preserve">  </v>
      </c>
      <c r="AM125" s="26">
        <f t="shared" ca="1" si="57"/>
        <v>1</v>
      </c>
      <c r="AN125" s="579">
        <f t="shared" ca="1" si="48"/>
        <v>0</v>
      </c>
      <c r="AO125" s="580">
        <f t="shared" ca="1" si="58"/>
        <v>0</v>
      </c>
      <c r="AP125" s="27">
        <f t="shared" ca="1" si="59"/>
        <v>0</v>
      </c>
      <c r="AQ125" s="933">
        <f t="shared" si="46"/>
        <v>2.0000000000000001E-4</v>
      </c>
      <c r="AR125" s="933">
        <f t="shared" ca="1" si="47"/>
        <v>1E-4</v>
      </c>
    </row>
    <row r="126" spans="1:44" x14ac:dyDescent="0.2">
      <c r="A126" s="851">
        <f t="shared" ca="1" si="49"/>
        <v>88</v>
      </c>
      <c r="B126" s="77">
        <f t="shared" ca="1" si="50"/>
        <v>10052</v>
      </c>
      <c r="C126" s="853" t="str">
        <f t="shared" ca="1" si="44"/>
        <v/>
      </c>
      <c r="D126" s="76">
        <f t="shared" si="51"/>
        <v>0</v>
      </c>
      <c r="E126" s="855" t="str">
        <f t="shared" ca="1" si="45"/>
        <v/>
      </c>
      <c r="F126" s="899">
        <f t="shared" si="52"/>
        <v>0</v>
      </c>
      <c r="G126" s="897">
        <f t="shared" ca="1" si="35"/>
        <v>118</v>
      </c>
      <c r="H126" s="177" t="s">
        <v>800</v>
      </c>
      <c r="I126" s="38"/>
      <c r="J126" s="585"/>
      <c r="K126" s="586"/>
      <c r="L126" s="588"/>
      <c r="M126" s="857">
        <f ca="1">(IF(COUNT(V126,AA126,AD126,AI126,AJ126,AL126)&lt;5,SUM(V126,AA126,AD126,AI126,AJ126,AL126),SUM(LARGE((V126,AA126,AD126,AI126,AJ126,AL126),{1;2;3;4;5}))))+(IF(COUNT(U126,W126,AB126,AC126,AE126,AK126)&lt;5,SUM(U126,W126,AB126,AC126,AE126,AK126),SUM(LARGE((U126,W126,AB126,AC126,AE126,AK126),{1;2;3;4;5}))))+T126</f>
        <v>52</v>
      </c>
      <c r="N126" s="862">
        <f>IF(I126="n",((IF(COUNT(V126,AA126,AD126,AI126,AJ126,AL126)&lt;5,SUM(V126,AA126,AD126,AI126,AJ126,AL126),SUM(LARGE((V126,AA126,AD126,AI126,AJ126,AL126),{1;2;3;4;5}))))+(IF(COUNT(U126,Y126,AB126,AC126,AG126,AK126)&lt;5,SUM(U126,Y126,AB126,AC126,AG126,AK126),SUM(LARGE((U126,Y126,AB126,AC126,AG126,AK126),{1;2;3;4;5}))))+T126),0)</f>
        <v>0</v>
      </c>
      <c r="O126" s="863">
        <f>IF(J126="j",((IF(COUNT(V126,AA126,AD126,AI126,AJ126,AL126)&lt;5,SUM(V126,AA126,AD126,AI126,AJ126,AL126),SUM(LARGE((V126,AA126,AD126,AI126,AJ126,AL126),{1;2;3;4;5}))))+(IF(COUNT(U126,W126,AB126,AC126,AE126,AK126)&lt;5,SUM(U126,W126,AB126,AC126,AE126,AK126),SUM(LARGE((U126,W126,AB126,AC126,AE126,AK126),{1;2;3;4;5}))))+T126),0)</f>
        <v>0</v>
      </c>
      <c r="P126" s="886" t="str">
        <f t="shared" ca="1" si="53"/>
        <v>052,0</v>
      </c>
      <c r="Q126" s="890">
        <f t="shared" si="54"/>
        <v>158</v>
      </c>
      <c r="R126" s="886" t="str">
        <f t="shared" ca="1" si="55"/>
        <v>0052,0-158</v>
      </c>
      <c r="S126" s="889">
        <f t="shared" ca="1" si="56"/>
        <v>76</v>
      </c>
      <c r="T126" s="847"/>
      <c r="U126" s="75" t="str">
        <f>IFERROR(INDEX('1'!C$300:C$400,MATCH("*"&amp;H126&amp;"*",'1'!B$300:B$400,0)),"  ")</f>
        <v xml:space="preserve">  </v>
      </c>
      <c r="V126" s="199" t="str">
        <f>IFERROR(INDEX('2'!C$300:C$400,MATCH("*"&amp;H126&amp;"*",'2'!B$300:B$400,0)),"  ")</f>
        <v xml:space="preserve">  </v>
      </c>
      <c r="W126" s="199" t="str">
        <f ca="1">IF(I126="",IFERROR(INDEX('3M'!C$300:C$400,MATCH("*"&amp;H126&amp;"*",'3M'!B$300:B$400,0)),"  "),IFERROR(INDEX('3N'!D$300:D$400,MATCH("*"&amp;H126&amp;"*",'3N'!B$300:B$400,0)),"  "))</f>
        <v xml:space="preserve">  </v>
      </c>
      <c r="X126" s="908" t="str">
        <f ca="1">IFERROR(INDEX('3M'!C$300:C$400,MATCH("*"&amp;H126&amp;"*",'3M'!B$300:B$400,0)),"  ")</f>
        <v xml:space="preserve">  </v>
      </c>
      <c r="Y126" s="907" t="str">
        <f ca="1">IFERROR(INDEX('3N'!C$300:C$400,MATCH("*"&amp;H126&amp;"*",'3N'!B$300:B$400,0)),"  ")</f>
        <v xml:space="preserve">  </v>
      </c>
      <c r="Z126" s="440"/>
      <c r="AA126" s="75">
        <f>IFERROR(INDEX('4'!C$300:C$400,MATCH("*"&amp;H126&amp;"*",'4'!B$300:B$400,0)),"  ")</f>
        <v>52</v>
      </c>
      <c r="AB126" s="75" t="str">
        <f>IFERROR(INDEX('5'!C$300:C$400,MATCH("*"&amp;H126&amp;"*",'5'!B$300:B$400,0)),"  ")</f>
        <v xml:space="preserve">  </v>
      </c>
      <c r="AC126" s="75" t="str">
        <f>IFERROR(INDEX('6'!C$300:C$400,MATCH("*"&amp;H126&amp;"*",'6'!B$300:B$400,0)),"  ")</f>
        <v xml:space="preserve">  </v>
      </c>
      <c r="AD126" s="75" t="str">
        <f>IFERROR(INDEX('7'!C$300:C$400,MATCH("*"&amp;H126&amp;"*",'7'!B$300:B$400,0)),"  ")</f>
        <v xml:space="preserve">  </v>
      </c>
      <c r="AE126" s="75" t="str">
        <f>IF(I126="",IFERROR(INDEX('8M'!C$300:C$400,MATCH("*"&amp;H126&amp;"*",'8M'!B$300:B$400,0)),"  "),IFERROR(INDEX('8N'!D$300:D$400,MATCH("*"&amp;H126&amp;"*",'8N'!B$300:B$400,0)),"  "))</f>
        <v xml:space="preserve">  </v>
      </c>
      <c r="AF126" s="908" t="str">
        <f>IFERROR(INDEX('8M'!C$300:C$400,MATCH("*"&amp;H126&amp;"*",'8M'!B$300:B$400,0)),"  ")</f>
        <v xml:space="preserve">  </v>
      </c>
      <c r="AG126" s="907" t="str">
        <f>IFERROR(INDEX('8N'!C$300:C$400,MATCH("*"&amp;H126&amp;"*",'8N'!B$300:B$400,0)),"  ")</f>
        <v xml:space="preserve">  </v>
      </c>
      <c r="AH126" s="440"/>
      <c r="AI126" s="75" t="str">
        <f>IFERROR(INDEX('9'!C$300:C$400,MATCH("*"&amp;H126&amp;"*",'9'!B$300:B$400,0)),"  ")</f>
        <v xml:space="preserve">  </v>
      </c>
      <c r="AJ126" s="830" t="str">
        <f>IFERROR(INDEX('10'!C$300:C$400,MATCH("*"&amp;H126&amp;"*",'10'!B$300:B$400,0)),"  ")</f>
        <v xml:space="preserve">  </v>
      </c>
      <c r="AK126" s="75" t="str">
        <f>IFERROR(INDEX('11'!C$300:C$400,MATCH("*"&amp;H126&amp;"*",'11'!B$300:B$400,0)),"  ")</f>
        <v xml:space="preserve">  </v>
      </c>
      <c r="AL126" s="75" t="str">
        <f>IFERROR(INDEX('12'!C$300:C$400,MATCH("*"&amp;H126&amp;"*",'12'!B$300:B$400,0)),"  ")</f>
        <v xml:space="preserve">  </v>
      </c>
      <c r="AM126" s="26">
        <f t="shared" ca="1" si="57"/>
        <v>1</v>
      </c>
      <c r="AN126" s="579">
        <f t="shared" ref="AN126:AN157" ca="1" si="60">COUNTIF(V126,"&gt;=97")+COUNTIF(AA126,"&gt;=97")+COUNTIF(AI126,"&gt;=97")+COUNTIF(AJ126,"&gt;=97")+COUNTIF(AD126,"&gt;=97")+COUNTIF(AL126,"&gt;=97")+COUNTIF(U126,"&gt;=146")+COUNTIF(AE126,"&gt;=146")+COUNTIF(W126,"&gt;=146")+COUNTIF(AB126,"&gt;=146")+COUNTIF(AC126,"&gt;=146")+COUNTIF(AK126,"&gt;=146")+IF((I126="n"),(COUNTIF(AE126,"=83")+COUNTIF(AE126,"=93")+COUNTIF(AE126,"=105")+COUNTIF(W126,"=83")+COUNTIF(W126,"=93")+COUNTIF(W126,"=105")))+IF((J126="j"),(COUNTIF(AE126,"=33")+COUNTIF(AE126,"=42")+COUNTIF(AE126,"=53")+COUNTIF(W126,"=33")+COUNTIF(W126,"=42")+COUNTIF(W126,"=53")))</f>
        <v>0</v>
      </c>
      <c r="AO126" s="580">
        <f t="shared" ca="1" si="58"/>
        <v>0</v>
      </c>
      <c r="AP126" s="27">
        <f t="shared" ca="1" si="59"/>
        <v>0</v>
      </c>
      <c r="AQ126" s="933">
        <f t="shared" si="46"/>
        <v>2.0000000000000001E-4</v>
      </c>
      <c r="AR126" s="933">
        <f t="shared" ca="1" si="47"/>
        <v>1E-4</v>
      </c>
    </row>
    <row r="127" spans="1:44" x14ac:dyDescent="0.2">
      <c r="A127" s="851">
        <f t="shared" ca="1" si="49"/>
        <v>88</v>
      </c>
      <c r="B127" s="77">
        <f t="shared" ca="1" si="50"/>
        <v>10052</v>
      </c>
      <c r="C127" s="853" t="str">
        <f t="shared" ca="1" si="44"/>
        <v/>
      </c>
      <c r="D127" s="76">
        <f t="shared" si="51"/>
        <v>0</v>
      </c>
      <c r="E127" s="855" t="str">
        <f t="shared" ca="1" si="45"/>
        <v/>
      </c>
      <c r="F127" s="899">
        <f t="shared" si="52"/>
        <v>0</v>
      </c>
      <c r="G127" s="897">
        <f t="shared" ca="1" si="35"/>
        <v>118</v>
      </c>
      <c r="H127" s="177" t="s">
        <v>801</v>
      </c>
      <c r="I127" s="38"/>
      <c r="J127" s="585"/>
      <c r="K127" s="586"/>
      <c r="L127" s="588"/>
      <c r="M127" s="857">
        <f ca="1">(IF(COUNT(V127,AA127,AD127,AI127,AJ127,AL127)&lt;5,SUM(V127,AA127,AD127,AI127,AJ127,AL127),SUM(LARGE((V127,AA127,AD127,AI127,AJ127,AL127),{1;2;3;4;5}))))+(IF(COUNT(U127,W127,AB127,AC127,AE127,AK127)&lt;5,SUM(U127,W127,AB127,AC127,AE127,AK127),SUM(LARGE((U127,W127,AB127,AC127,AE127,AK127),{1;2;3;4;5}))))+T127</f>
        <v>52</v>
      </c>
      <c r="N127" s="862">
        <f>IF(I127="n",((IF(COUNT(V127,AA127,AD127,AI127,AJ127,AL127)&lt;5,SUM(V127,AA127,AD127,AI127,AJ127,AL127),SUM(LARGE((V127,AA127,AD127,AI127,AJ127,AL127),{1;2;3;4;5}))))+(IF(COUNT(U127,Y127,AB127,AC127,AG127,AK127)&lt;5,SUM(U127,Y127,AB127,AC127,AG127,AK127),SUM(LARGE((U127,Y127,AB127,AC127,AG127,AK127),{1;2;3;4;5}))))+T127),0)</f>
        <v>0</v>
      </c>
      <c r="O127" s="863">
        <f>IF(J127="j",((IF(COUNT(V127,AA127,AD127,AI127,AJ127,AL127)&lt;5,SUM(V127,AA127,AD127,AI127,AJ127,AL127),SUM(LARGE((V127,AA127,AD127,AI127,AJ127,AL127),{1;2;3;4;5}))))+(IF(COUNT(U127,W127,AB127,AC127,AE127,AK127)&lt;5,SUM(U127,W127,AB127,AC127,AE127,AK127),SUM(LARGE((U127,W127,AB127,AC127,AE127,AK127),{1;2;3;4;5}))))+T127),0)</f>
        <v>0</v>
      </c>
      <c r="P127" s="886" t="str">
        <f t="shared" ca="1" si="53"/>
        <v>052,0</v>
      </c>
      <c r="Q127" s="890">
        <f t="shared" si="54"/>
        <v>156</v>
      </c>
      <c r="R127" s="886" t="str">
        <f t="shared" ca="1" si="55"/>
        <v>0052,0-156</v>
      </c>
      <c r="S127" s="889">
        <f t="shared" ca="1" si="56"/>
        <v>75</v>
      </c>
      <c r="T127" s="847"/>
      <c r="U127" s="75" t="str">
        <f>IFERROR(INDEX('1'!C$300:C$400,MATCH("*"&amp;H127&amp;"*",'1'!B$300:B$400,0)),"  ")</f>
        <v xml:space="preserve">  </v>
      </c>
      <c r="V127" s="199" t="str">
        <f>IFERROR(INDEX('2'!C$300:C$400,MATCH("*"&amp;H127&amp;"*",'2'!B$300:B$400,0)),"  ")</f>
        <v xml:space="preserve">  </v>
      </c>
      <c r="W127" s="199" t="str">
        <f ca="1">IF(I127="",IFERROR(INDEX('3M'!C$300:C$400,MATCH("*"&amp;H127&amp;"*",'3M'!B$300:B$400,0)),"  "),IFERROR(INDEX('3N'!D$300:D$400,MATCH("*"&amp;H127&amp;"*",'3N'!B$300:B$400,0)),"  "))</f>
        <v xml:space="preserve">  </v>
      </c>
      <c r="X127" s="908" t="str">
        <f ca="1">IFERROR(INDEX('3M'!C$300:C$400,MATCH("*"&amp;H127&amp;"*",'3M'!B$300:B$400,0)),"  ")</f>
        <v xml:space="preserve">  </v>
      </c>
      <c r="Y127" s="907" t="str">
        <f ca="1">IFERROR(INDEX('3N'!C$300:C$400,MATCH("*"&amp;H127&amp;"*",'3N'!B$300:B$400,0)),"  ")</f>
        <v xml:space="preserve">  </v>
      </c>
      <c r="Z127" s="440"/>
      <c r="AA127" s="75">
        <f>IFERROR(INDEX('4'!C$300:C$400,MATCH("*"&amp;H127&amp;"*",'4'!B$300:B$400,0)),"  ")</f>
        <v>52</v>
      </c>
      <c r="AB127" s="75" t="str">
        <f>IFERROR(INDEX('5'!C$300:C$400,MATCH("*"&amp;H127&amp;"*",'5'!B$300:B$400,0)),"  ")</f>
        <v xml:space="preserve">  </v>
      </c>
      <c r="AC127" s="75" t="str">
        <f>IFERROR(INDEX('6'!C$300:C$400,MATCH("*"&amp;H127&amp;"*",'6'!B$300:B$400,0)),"  ")</f>
        <v xml:space="preserve">  </v>
      </c>
      <c r="AD127" s="75" t="str">
        <f>IFERROR(INDEX('7'!C$300:C$400,MATCH("*"&amp;H127&amp;"*",'7'!B$300:B$400,0)),"  ")</f>
        <v xml:space="preserve">  </v>
      </c>
      <c r="AE127" s="75" t="str">
        <f>IF(I127="",IFERROR(INDEX('8M'!C$300:C$400,MATCH("*"&amp;H127&amp;"*",'8M'!B$300:B$400,0)),"  "),IFERROR(INDEX('8N'!D$300:D$400,MATCH("*"&amp;H127&amp;"*",'8N'!B$300:B$400,0)),"  "))</f>
        <v xml:space="preserve">  </v>
      </c>
      <c r="AF127" s="908" t="str">
        <f>IFERROR(INDEX('8M'!C$300:C$400,MATCH("*"&amp;H127&amp;"*",'8M'!B$300:B$400,0)),"  ")</f>
        <v xml:space="preserve">  </v>
      </c>
      <c r="AG127" s="907" t="str">
        <f>IFERROR(INDEX('8N'!C$300:C$400,MATCH("*"&amp;H127&amp;"*",'8N'!B$300:B$400,0)),"  ")</f>
        <v xml:space="preserve">  </v>
      </c>
      <c r="AH127" s="440"/>
      <c r="AI127" s="75" t="str">
        <f>IFERROR(INDEX('9'!C$300:C$400,MATCH("*"&amp;H127&amp;"*",'9'!B$300:B$400,0)),"  ")</f>
        <v xml:space="preserve">  </v>
      </c>
      <c r="AJ127" s="830" t="str">
        <f>IFERROR(INDEX('10'!C$300:C$400,MATCH("*"&amp;H127&amp;"*",'10'!B$300:B$400,0)),"  ")</f>
        <v xml:space="preserve">  </v>
      </c>
      <c r="AK127" s="75" t="str">
        <f>IFERROR(INDEX('11'!C$300:C$400,MATCH("*"&amp;H127&amp;"*",'11'!B$300:B$400,0)),"  ")</f>
        <v xml:space="preserve">  </v>
      </c>
      <c r="AL127" s="75" t="str">
        <f>IFERROR(INDEX('12'!C$300:C$400,MATCH("*"&amp;H127&amp;"*",'12'!B$300:B$400,0)),"  ")</f>
        <v xml:space="preserve">  </v>
      </c>
      <c r="AM127" s="26">
        <f t="shared" ca="1" si="57"/>
        <v>1</v>
      </c>
      <c r="AN127" s="579">
        <f t="shared" ca="1" si="60"/>
        <v>0</v>
      </c>
      <c r="AO127" s="580">
        <f t="shared" ca="1" si="58"/>
        <v>0</v>
      </c>
      <c r="AP127" s="27">
        <f t="shared" ca="1" si="59"/>
        <v>0</v>
      </c>
      <c r="AQ127" s="933">
        <f t="shared" si="46"/>
        <v>2.0000000000000001E-4</v>
      </c>
      <c r="AR127" s="933">
        <f t="shared" ca="1" si="47"/>
        <v>1E-4</v>
      </c>
    </row>
    <row r="128" spans="1:44" x14ac:dyDescent="0.2">
      <c r="A128" s="851">
        <f t="shared" ca="1" si="49"/>
        <v>88</v>
      </c>
      <c r="B128" s="77">
        <f t="shared" ca="1" si="50"/>
        <v>10052</v>
      </c>
      <c r="C128" s="853" t="str">
        <f t="shared" ca="1" si="44"/>
        <v/>
      </c>
      <c r="D128" s="76">
        <f t="shared" si="51"/>
        <v>0</v>
      </c>
      <c r="E128" s="855" t="str">
        <f t="shared" ca="1" si="45"/>
        <v/>
      </c>
      <c r="F128" s="899">
        <f t="shared" si="52"/>
        <v>0</v>
      </c>
      <c r="G128" s="897">
        <f t="shared" ca="1" si="35"/>
        <v>118</v>
      </c>
      <c r="H128" s="177" t="s">
        <v>803</v>
      </c>
      <c r="I128" s="38"/>
      <c r="J128" s="585"/>
      <c r="K128" s="586"/>
      <c r="L128" s="587"/>
      <c r="M128" s="857">
        <f ca="1">(IF(COUNT(V128,AA128,AD128,AI128,AJ128,AL128)&lt;5,SUM(V128,AA128,AD128,AI128,AJ128,AL128),SUM(LARGE((V128,AA128,AD128,AI128,AJ128,AL128),{1;2;3;4;5}))))+(IF(COUNT(U128,W128,AB128,AC128,AE128,AK128)&lt;5,SUM(U128,W128,AB128,AC128,AE128,AK128),SUM(LARGE((U128,W128,AB128,AC128,AE128,AK128),{1;2;3;4;5}))))+T128</f>
        <v>52</v>
      </c>
      <c r="N128" s="862">
        <f>IF(I128="n",((IF(COUNT(V128,AA128,AD128,AI128,AJ128,AL128)&lt;5,SUM(V128,AA128,AD128,AI128,AJ128,AL128),SUM(LARGE((V128,AA128,AD128,AI128,AJ128,AL128),{1;2;3;4;5}))))+(IF(COUNT(U128,Y128,AB128,AC128,AG128,AK128)&lt;5,SUM(U128,Y128,AB128,AC128,AG128,AK128),SUM(LARGE((U128,Y128,AB128,AC128,AG128,AK128),{1;2;3;4;5}))))+T128),0)</f>
        <v>0</v>
      </c>
      <c r="O128" s="863">
        <f>IF(J128="j",((IF(COUNT(V128,AA128,AD128,AI128,AJ128,AL128)&lt;5,SUM(V128,AA128,AD128,AI128,AJ128,AL128),SUM(LARGE((V128,AA128,AD128,AI128,AJ128,AL128),{1;2;3;4;5}))))+(IF(COUNT(U128,W128,AB128,AC128,AE128,AK128)&lt;5,SUM(U128,W128,AB128,AC128,AE128,AK128),SUM(LARGE((U128,W128,AB128,AC128,AE128,AK128),{1;2;3;4;5}))))+T128),0)</f>
        <v>0</v>
      </c>
      <c r="P128" s="886" t="str">
        <f t="shared" ca="1" si="53"/>
        <v>052,0</v>
      </c>
      <c r="Q128" s="890">
        <f t="shared" si="54"/>
        <v>55</v>
      </c>
      <c r="R128" s="886" t="str">
        <f t="shared" ca="1" si="55"/>
        <v>0052,0-055</v>
      </c>
      <c r="S128" s="889">
        <f t="shared" ca="1" si="56"/>
        <v>74</v>
      </c>
      <c r="T128" s="847"/>
      <c r="U128" s="75" t="str">
        <f>IFERROR(INDEX('1'!C$300:C$400,MATCH("*"&amp;H128&amp;"*",'1'!B$300:B$400,0)),"  ")</f>
        <v xml:space="preserve">  </v>
      </c>
      <c r="V128" s="199" t="str">
        <f>IFERROR(INDEX('2'!C$300:C$400,MATCH("*"&amp;H128&amp;"*",'2'!B$300:B$400,0)),"  ")</f>
        <v xml:space="preserve">  </v>
      </c>
      <c r="W128" s="199" t="str">
        <f ca="1">IF(I128="",IFERROR(INDEX('3M'!C$300:C$400,MATCH("*"&amp;H128&amp;"*",'3M'!B$300:B$400,0)),"  "),IFERROR(INDEX('3N'!D$300:D$400,MATCH("*"&amp;H128&amp;"*",'3N'!B$300:B$400,0)),"  "))</f>
        <v xml:space="preserve">  </v>
      </c>
      <c r="X128" s="908" t="str">
        <f ca="1">IFERROR(INDEX('3M'!C$300:C$400,MATCH("*"&amp;H128&amp;"*",'3M'!B$300:B$400,0)),"  ")</f>
        <v xml:space="preserve">  </v>
      </c>
      <c r="Y128" s="907" t="str">
        <f ca="1">IFERROR(INDEX('3N'!C$300:C$400,MATCH("*"&amp;H128&amp;"*",'3N'!B$300:B$400,0)),"  ")</f>
        <v xml:space="preserve">  </v>
      </c>
      <c r="Z128" s="440"/>
      <c r="AA128" s="75">
        <f>IFERROR(INDEX('4'!C$300:C$400,MATCH("*"&amp;H128&amp;"*",'4'!B$300:B$400,0)),"  ")</f>
        <v>52</v>
      </c>
      <c r="AB128" s="75" t="str">
        <f>IFERROR(INDEX('5'!C$300:C$400,MATCH("*"&amp;H128&amp;"*",'5'!B$300:B$400,0)),"  ")</f>
        <v xml:space="preserve">  </v>
      </c>
      <c r="AC128" s="75" t="str">
        <f>IFERROR(INDEX('6'!C$300:C$400,MATCH("*"&amp;H128&amp;"*",'6'!B$300:B$400,0)),"  ")</f>
        <v xml:space="preserve">  </v>
      </c>
      <c r="AD128" s="75" t="str">
        <f>IFERROR(INDEX('7'!C$300:C$400,MATCH("*"&amp;H128&amp;"*",'7'!B$300:B$400,0)),"  ")</f>
        <v xml:space="preserve">  </v>
      </c>
      <c r="AE128" s="75" t="str">
        <f>IF(I128="",IFERROR(INDEX('8M'!C$300:C$400,MATCH("*"&amp;H128&amp;"*",'8M'!B$300:B$400,0)),"  "),IFERROR(INDEX('8N'!D$300:D$400,MATCH("*"&amp;H128&amp;"*",'8N'!B$300:B$400,0)),"  "))</f>
        <v xml:space="preserve">  </v>
      </c>
      <c r="AF128" s="908" t="str">
        <f>IFERROR(INDEX('8M'!C$300:C$400,MATCH("*"&amp;H128&amp;"*",'8M'!B$300:B$400,0)),"  ")</f>
        <v xml:space="preserve">  </v>
      </c>
      <c r="AG128" s="907" t="str">
        <f>IFERROR(INDEX('8N'!C$300:C$400,MATCH("*"&amp;H128&amp;"*",'8N'!B$300:B$400,0)),"  ")</f>
        <v xml:space="preserve">  </v>
      </c>
      <c r="AH128" s="440"/>
      <c r="AI128" s="75" t="str">
        <f>IFERROR(INDEX('9'!C$300:C$400,MATCH("*"&amp;H128&amp;"*",'9'!B$300:B$400,0)),"  ")</f>
        <v xml:space="preserve">  </v>
      </c>
      <c r="AJ128" s="830" t="str">
        <f>IFERROR(INDEX('10'!C$300:C$400,MATCH("*"&amp;H128&amp;"*",'10'!B$300:B$400,0)),"  ")</f>
        <v xml:space="preserve">  </v>
      </c>
      <c r="AK128" s="75" t="str">
        <f>IFERROR(INDEX('11'!C$300:C$400,MATCH("*"&amp;H128&amp;"*",'11'!B$300:B$400,0)),"  ")</f>
        <v xml:space="preserve">  </v>
      </c>
      <c r="AL128" s="75" t="str">
        <f>IFERROR(INDEX('12'!C$300:C$400,MATCH("*"&amp;H128&amp;"*",'12'!B$300:B$400,0)),"  ")</f>
        <v xml:space="preserve">  </v>
      </c>
      <c r="AM128" s="26">
        <f t="shared" ca="1" si="57"/>
        <v>1</v>
      </c>
      <c r="AN128" s="579">
        <f t="shared" ca="1" si="60"/>
        <v>0</v>
      </c>
      <c r="AO128" s="580">
        <f t="shared" ca="1" si="58"/>
        <v>0</v>
      </c>
      <c r="AP128" s="27">
        <f t="shared" ca="1" si="59"/>
        <v>0</v>
      </c>
      <c r="AQ128" s="933">
        <f t="shared" si="46"/>
        <v>2.0000000000000001E-4</v>
      </c>
      <c r="AR128" s="933">
        <f t="shared" ca="1" si="47"/>
        <v>1E-4</v>
      </c>
    </row>
    <row r="129" spans="1:44" x14ac:dyDescent="0.2">
      <c r="A129" s="851">
        <f t="shared" ca="1" si="49"/>
        <v>91</v>
      </c>
      <c r="B129" s="77">
        <f t="shared" ca="1" si="50"/>
        <v>10050</v>
      </c>
      <c r="C129" s="853" t="str">
        <f t="shared" ca="1" si="44"/>
        <v/>
      </c>
      <c r="D129" s="76">
        <f t="shared" si="51"/>
        <v>0</v>
      </c>
      <c r="E129" s="855" t="str">
        <f t="shared" ca="1" si="45"/>
        <v/>
      </c>
      <c r="F129" s="899">
        <f t="shared" si="52"/>
        <v>0</v>
      </c>
      <c r="G129" s="897">
        <f t="shared" ca="1" si="35"/>
        <v>121</v>
      </c>
      <c r="H129" s="133" t="s">
        <v>144</v>
      </c>
      <c r="I129" s="38"/>
      <c r="J129" s="585"/>
      <c r="K129" s="586" t="s">
        <v>718</v>
      </c>
      <c r="L129" s="587"/>
      <c r="M129" s="857">
        <f ca="1">(IF(COUNT(V129,AA129,AD129,AI129,AJ129,AL129)&lt;5,SUM(V129,AA129,AD129,AI129,AJ129,AL129),SUM(LARGE((V129,AA129,AD129,AI129,AJ129,AL129),{1;2;3;4;5}))))+(IF(COUNT(U129,W129,AB129,AC129,AE129,AK129)&lt;5,SUM(U129,W129,AB129,AC129,AE129,AK129),SUM(LARGE((U129,W129,AB129,AC129,AE129,AK129),{1;2;3;4;5}))))+T129</f>
        <v>50</v>
      </c>
      <c r="N129" s="862">
        <f>IF(I129="n",((IF(COUNT(V129,AA129,AD129,AI129,AJ129,AL129)&lt;5,SUM(V129,AA129,AD129,AI129,AJ129,AL129),SUM(LARGE((V129,AA129,AD129,AI129,AJ129,AL129),{1;2;3;4;5}))))+(IF(COUNT(U129,Y129,AB129,AC129,AG129,AK129)&lt;5,SUM(U129,Y129,AB129,AC129,AG129,AK129),SUM(LARGE((U129,Y129,AB129,AC129,AG129,AK129),{1;2;3;4;5}))))+T129),0)</f>
        <v>0</v>
      </c>
      <c r="O129" s="863">
        <f>IF(J129="j",((IF(COUNT(V129,AA129,AD129,AI129,AJ129,AL129)&lt;5,SUM(V129,AA129,AD129,AI129,AJ129,AL129),SUM(LARGE((V129,AA129,AD129,AI129,AJ129,AL129),{1;2;3;4;5}))))+(IF(COUNT(U129,W129,AB129,AC129,AE129,AK129)&lt;5,SUM(U129,W129,AB129,AC129,AE129,AK129),SUM(LARGE((U129,W129,AB129,AC129,AE129,AK129),{1;2;3;4;5}))))+T129),0)</f>
        <v>0</v>
      </c>
      <c r="P129" s="886" t="str">
        <f t="shared" ca="1" si="53"/>
        <v>050,0</v>
      </c>
      <c r="Q129" s="890">
        <f t="shared" si="54"/>
        <v>3</v>
      </c>
      <c r="R129" s="886" t="str">
        <f t="shared" ca="1" si="55"/>
        <v>0050,0-003</v>
      </c>
      <c r="S129" s="889">
        <f t="shared" ca="1" si="56"/>
        <v>73</v>
      </c>
      <c r="T129" s="847">
        <v>1</v>
      </c>
      <c r="U129" s="75" t="str">
        <f>IFERROR(INDEX('1'!C$300:C$400,MATCH("*"&amp;H129&amp;"*",'1'!B$300:B$400,0)),"  ")</f>
        <v xml:space="preserve">  </v>
      </c>
      <c r="V129" s="199" t="str">
        <f>IFERROR(INDEX('2'!C$300:C$400,MATCH("*"&amp;H129&amp;"*",'2'!B$300:B$400,0)),"  ")</f>
        <v xml:space="preserve">  </v>
      </c>
      <c r="W129" s="199" t="str">
        <f ca="1">IF(I129="",IFERROR(INDEX('3M'!C$300:C$400,MATCH("*"&amp;H129&amp;"*",'3M'!B$300:B$400,0)),"  "),IFERROR(INDEX('3N'!D$300:D$400,MATCH("*"&amp;H129&amp;"*",'3N'!B$300:B$400,0)),"  "))</f>
        <v xml:space="preserve">  </v>
      </c>
      <c r="X129" s="908" t="str">
        <f ca="1">IFERROR(INDEX('3M'!C$300:C$400,MATCH("*"&amp;H129&amp;"*",'3M'!B$300:B$400,0)),"  ")</f>
        <v xml:space="preserve">  </v>
      </c>
      <c r="Y129" s="907" t="str">
        <f ca="1">IFERROR(INDEX('3N'!C$300:C$400,MATCH("*"&amp;H129&amp;"*",'3N'!B$300:B$400,0)),"  ")</f>
        <v xml:space="preserve">  </v>
      </c>
      <c r="Z129" s="440"/>
      <c r="AA129" s="75">
        <f>IFERROR(INDEX('4'!C$300:C$400,MATCH("*"&amp;H129&amp;"*",'4'!B$300:B$400,0)),"  ")</f>
        <v>49</v>
      </c>
      <c r="AB129" s="75" t="str">
        <f>IFERROR(INDEX('5'!C$300:C$400,MATCH("*"&amp;H129&amp;"*",'5'!B$300:B$400,0)),"  ")</f>
        <v xml:space="preserve">  </v>
      </c>
      <c r="AC129" s="75" t="str">
        <f>IFERROR(INDEX('6'!C$300:C$400,MATCH("*"&amp;H129&amp;"*",'6'!B$300:B$400,0)),"  ")</f>
        <v xml:space="preserve">  </v>
      </c>
      <c r="AD129" s="75" t="str">
        <f>IFERROR(INDEX('7'!C$300:C$400,MATCH("*"&amp;H129&amp;"*",'7'!B$300:B$400,0)),"  ")</f>
        <v xml:space="preserve">  </v>
      </c>
      <c r="AE129" s="75" t="str">
        <f>IF(I129="",IFERROR(INDEX('8M'!C$300:C$400,MATCH("*"&amp;H129&amp;"*",'8M'!B$300:B$400,0)),"  "),IFERROR(INDEX('8N'!D$300:D$400,MATCH("*"&amp;H129&amp;"*",'8N'!B$300:B$400,0)),"  "))</f>
        <v xml:space="preserve">  </v>
      </c>
      <c r="AF129" s="908" t="str">
        <f>IFERROR(INDEX('8M'!C$300:C$400,MATCH("*"&amp;H129&amp;"*",'8M'!B$300:B$400,0)),"  ")</f>
        <v xml:space="preserve">  </v>
      </c>
      <c r="AG129" s="907" t="str">
        <f>IFERROR(INDEX('8N'!C$300:C$400,MATCH("*"&amp;H129&amp;"*",'8N'!B$300:B$400,0)),"  ")</f>
        <v xml:space="preserve">  </v>
      </c>
      <c r="AH129" s="440"/>
      <c r="AI129" s="75" t="str">
        <f>IFERROR(INDEX('9'!C$300:C$400,MATCH("*"&amp;H129&amp;"*",'9'!B$300:B$400,0)),"  ")</f>
        <v xml:space="preserve">  </v>
      </c>
      <c r="AJ129" s="830" t="str">
        <f>IFERROR(INDEX('10'!C$300:C$400,MATCH("*"&amp;H129&amp;"*",'10'!B$300:B$400,0)),"  ")</f>
        <v xml:space="preserve">  </v>
      </c>
      <c r="AK129" s="75" t="str">
        <f>IFERROR(INDEX('11'!C$300:C$400,MATCH("*"&amp;H129&amp;"*",'11'!B$300:B$400,0)),"  ")</f>
        <v xml:space="preserve">  </v>
      </c>
      <c r="AL129" s="75" t="str">
        <f>IFERROR(INDEX('12'!C$300:C$400,MATCH("*"&amp;H129&amp;"*",'12'!B$300:B$400,0)),"  ")</f>
        <v xml:space="preserve">  </v>
      </c>
      <c r="AM129" s="26">
        <f t="shared" ca="1" si="57"/>
        <v>1</v>
      </c>
      <c r="AN129" s="579">
        <f t="shared" ca="1" si="60"/>
        <v>0</v>
      </c>
      <c r="AO129" s="580">
        <f t="shared" ca="1" si="58"/>
        <v>0</v>
      </c>
      <c r="AP129" s="27">
        <f t="shared" ca="1" si="59"/>
        <v>0</v>
      </c>
      <c r="AQ129" s="933">
        <f t="shared" si="46"/>
        <v>2.0000000000000001E-4</v>
      </c>
      <c r="AR129" s="933">
        <f t="shared" ca="1" si="47"/>
        <v>1E-4</v>
      </c>
    </row>
    <row r="130" spans="1:44" x14ac:dyDescent="0.2">
      <c r="A130" s="851" t="str">
        <f t="shared" ca="1" si="49"/>
        <v/>
      </c>
      <c r="B130" s="77">
        <f t="shared" si="50"/>
        <v>0</v>
      </c>
      <c r="C130" s="853">
        <f t="shared" ca="1" si="44"/>
        <v>32</v>
      </c>
      <c r="D130" s="76">
        <f t="shared" ca="1" si="51"/>
        <v>10049</v>
      </c>
      <c r="E130" s="855">
        <f t="shared" ca="1" si="45"/>
        <v>8</v>
      </c>
      <c r="F130" s="899">
        <f t="shared" ca="1" si="52"/>
        <v>10049</v>
      </c>
      <c r="G130" s="897">
        <f t="shared" ca="1" si="35"/>
        <v>122</v>
      </c>
      <c r="H130" s="177" t="s">
        <v>849</v>
      </c>
      <c r="I130" s="38" t="s">
        <v>32</v>
      </c>
      <c r="J130" s="589" t="s">
        <v>45</v>
      </c>
      <c r="K130" s="586" t="s">
        <v>718</v>
      </c>
      <c r="L130" s="587"/>
      <c r="M130" s="857">
        <f ca="1">(IF(COUNT(V130,AA130,AD130,AI130,AJ130,AL130)&lt;5,SUM(V130,AA130,AD130,AI130,AJ130,AL130),SUM(LARGE((V130,AA130,AD130,AI130,AJ130,AL130),{1;2;3;4;5}))))+(IF(COUNT(U130,W130,AB130,AC130,AE130,AK130)&lt;5,SUM(U130,W130,AB130,AC130,AE130,AK130),SUM(LARGE((U130,W130,AB130,AC130,AE130,AK130),{1;2;3;4;5}))))+T130</f>
        <v>49</v>
      </c>
      <c r="N130" s="862">
        <f ca="1">IF(I130="n",((IF(COUNT(V130,AA130,AD130,AI130,AJ130,AL130)&lt;5,SUM(V130,AA130,AD130,AI130,AJ130,AL130),SUM(LARGE((V130,AA130,AD130,AI130,AJ130,AL130),{1;2;3;4;5}))))+(IF(COUNT(U130,Y130,AB130,AC130,AG130,AK130)&lt;5,SUM(U130,Y130,AB130,AC130,AG130,AK130),SUM(LARGE((U130,Y130,AB130,AC130,AG130,AK130),{1;2;3;4;5}))))+T130),0)</f>
        <v>49</v>
      </c>
      <c r="O130" s="863">
        <f ca="1">IF(J130="j",((IF(COUNT(V130,AA130,AD130,AI130,AJ130,AL130)&lt;5,SUM(V130,AA130,AD130,AI130,AJ130,AL130),SUM(LARGE((V130,AA130,AD130,AI130,AJ130,AL130),{1;2;3;4;5}))))+(IF(COUNT(U130,W130,AB130,AC130,AE130,AK130)&lt;5,SUM(U130,W130,AB130,AC130,AE130,AK130),SUM(LARGE((U130,W130,AB130,AC130,AE130,AK130),{1;2;3;4;5}))))+T130),0)</f>
        <v>49</v>
      </c>
      <c r="P130" s="886" t="str">
        <f t="shared" ca="1" si="53"/>
        <v>049,0</v>
      </c>
      <c r="Q130" s="890">
        <f t="shared" si="54"/>
        <v>166</v>
      </c>
      <c r="R130" s="886" t="str">
        <f t="shared" ca="1" si="55"/>
        <v>0049,0-166</v>
      </c>
      <c r="S130" s="889">
        <f t="shared" ca="1" si="56"/>
        <v>72</v>
      </c>
      <c r="T130" s="847"/>
      <c r="U130" s="75" t="str">
        <f>IFERROR(INDEX('1'!C$300:C$400,MATCH("*"&amp;H130&amp;"*",'1'!B$300:B$400,0)),"  ")</f>
        <v xml:space="preserve">  </v>
      </c>
      <c r="V130" s="199" t="str">
        <f>IFERROR(INDEX('2'!C$300:C$400,MATCH("*"&amp;H130&amp;"*",'2'!B$300:B$400,0)),"  ")</f>
        <v xml:space="preserve">  </v>
      </c>
      <c r="W130" s="199" t="str">
        <f ca="1">IF(I130="",IFERROR(INDEX('3M'!C$300:C$400,MATCH("*"&amp;H130&amp;"*",'3M'!B$300:B$400,0)),"  "),IFERROR(INDEX('3N'!D$300:D$400,MATCH("*"&amp;H130&amp;"*",'3N'!B$300:B$400,0)),"  "))</f>
        <v xml:space="preserve">  </v>
      </c>
      <c r="X130" s="908" t="str">
        <f ca="1">IFERROR(INDEX('3M'!C$300:C$400,MATCH("*"&amp;H130&amp;"*",'3M'!B$300:B$400,0)),"  ")</f>
        <v xml:space="preserve">  </v>
      </c>
      <c r="Y130" s="907" t="str">
        <f ca="1">IFERROR(INDEX('3N'!C$300:C$400,MATCH("*"&amp;H130&amp;"*",'3N'!B$300:B$400,0)),"  ")</f>
        <v xml:space="preserve">  </v>
      </c>
      <c r="Z130" s="440"/>
      <c r="AA130" s="75" t="str">
        <f>IFERROR(INDEX('4'!C$300:C$400,MATCH("*"&amp;H130&amp;"*",'4'!B$300:B$400,0)),"  ")</f>
        <v xml:space="preserve">  </v>
      </c>
      <c r="AB130" s="75" t="str">
        <f>IFERROR(INDEX('5'!C$300:C$400,MATCH("*"&amp;H130&amp;"*",'5'!B$300:B$400,0)),"  ")</f>
        <v xml:space="preserve">  </v>
      </c>
      <c r="AC130" s="75" t="str">
        <f>IFERROR(INDEX('6'!C$300:C$400,MATCH("*"&amp;H130&amp;"*",'6'!B$300:B$400,0)),"  ")</f>
        <v xml:space="preserve">  </v>
      </c>
      <c r="AD130" s="75">
        <f>IFERROR(INDEX('7'!C$300:C$400,MATCH("*"&amp;H130&amp;"*",'7'!B$300:B$400,0)),"  ")</f>
        <v>49</v>
      </c>
      <c r="AE130" s="75" t="str">
        <f>IF(I130="",IFERROR(INDEX('8M'!C$300:C$400,MATCH("*"&amp;H130&amp;"*",'8M'!B$300:B$400,0)),"  "),IFERROR(INDEX('8N'!D$300:D$400,MATCH("*"&amp;H130&amp;"*",'8N'!B$300:B$400,0)),"  "))</f>
        <v xml:space="preserve">  </v>
      </c>
      <c r="AF130" s="908" t="str">
        <f>IFERROR(INDEX('8M'!C$300:C$400,MATCH("*"&amp;H130&amp;"*",'8M'!B$300:B$400,0)),"  ")</f>
        <v xml:space="preserve">  </v>
      </c>
      <c r="AG130" s="907" t="str">
        <f>IFERROR(INDEX('8N'!C$300:C$400,MATCH("*"&amp;H130&amp;"*",'8N'!B$300:B$400,0)),"  ")</f>
        <v xml:space="preserve">  </v>
      </c>
      <c r="AH130" s="440"/>
      <c r="AI130" s="75" t="str">
        <f>IFERROR(INDEX('9'!C$300:C$400,MATCH("*"&amp;H130&amp;"*",'9'!B$300:B$400,0)),"  ")</f>
        <v xml:space="preserve">  </v>
      </c>
      <c r="AJ130" s="830" t="str">
        <f>IFERROR(INDEX('10'!C$300:C$400,MATCH("*"&amp;H130&amp;"*",'10'!B$300:B$400,0)),"  ")</f>
        <v xml:space="preserve">  </v>
      </c>
      <c r="AK130" s="75" t="str">
        <f>IFERROR(INDEX('11'!C$300:C$400,MATCH("*"&amp;H130&amp;"*",'11'!B$300:B$400,0)),"  ")</f>
        <v xml:space="preserve">  </v>
      </c>
      <c r="AL130" s="75" t="str">
        <f>IFERROR(INDEX('12'!C$300:C$400,MATCH("*"&amp;H130&amp;"*",'12'!B$300:B$400,0)),"  ")</f>
        <v xml:space="preserve">  </v>
      </c>
      <c r="AM130" s="26">
        <f t="shared" ca="1" si="57"/>
        <v>1</v>
      </c>
      <c r="AN130" s="579">
        <f t="shared" ca="1" si="60"/>
        <v>0</v>
      </c>
      <c r="AO130" s="580">
        <f t="shared" ca="1" si="58"/>
        <v>0</v>
      </c>
      <c r="AP130" s="27">
        <f t="shared" ca="1" si="59"/>
        <v>0</v>
      </c>
      <c r="AQ130" s="933">
        <f t="shared" si="46"/>
        <v>2.0000000000000001E-4</v>
      </c>
      <c r="AR130" s="933">
        <f t="shared" ca="1" si="47"/>
        <v>1E-4</v>
      </c>
    </row>
    <row r="131" spans="1:44" x14ac:dyDescent="0.2">
      <c r="A131" s="851">
        <f t="shared" ca="1" si="49"/>
        <v>92</v>
      </c>
      <c r="B131" s="77">
        <f t="shared" ca="1" si="50"/>
        <v>10049</v>
      </c>
      <c r="C131" s="853" t="str">
        <f t="shared" ca="1" si="44"/>
        <v/>
      </c>
      <c r="D131" s="76">
        <f t="shared" si="51"/>
        <v>0</v>
      </c>
      <c r="E131" s="855" t="str">
        <f t="shared" ca="1" si="45"/>
        <v/>
      </c>
      <c r="F131" s="899">
        <f t="shared" si="52"/>
        <v>0</v>
      </c>
      <c r="G131" s="897">
        <f t="shared" ca="1" si="35"/>
        <v>122</v>
      </c>
      <c r="H131" s="177" t="s">
        <v>938</v>
      </c>
      <c r="I131" s="38"/>
      <c r="J131" s="585"/>
      <c r="K131" s="586"/>
      <c r="L131" s="588"/>
      <c r="M131" s="857">
        <f ca="1">(IF(COUNT(V131,AA131,AD131,AI131,AJ131,AL131)&lt;5,SUM(V131,AA131,AD131,AI131,AJ131,AL131),SUM(LARGE((V131,AA131,AD131,AI131,AJ131,AL131),{1;2;3;4;5}))))+(IF(COUNT(U131,W131,AB131,AC131,AE131,AK131)&lt;5,SUM(U131,W131,AB131,AC131,AE131,AK131),SUM(LARGE((U131,W131,AB131,AC131,AE131,AK131),{1;2;3;4;5}))))+T131</f>
        <v>49</v>
      </c>
      <c r="N131" s="862">
        <f>IF(I131="n",((IF(COUNT(V131,AA131,AD131,AI131,AJ131,AL131)&lt;5,SUM(V131,AA131,AD131,AI131,AJ131,AL131),SUM(LARGE((V131,AA131,AD131,AI131,AJ131,AL131),{1;2;3;4;5}))))+(IF(COUNT(U131,Y131,AB131,AC131,AG131,AK131)&lt;5,SUM(U131,Y131,AB131,AC131,AG131,AK131),SUM(LARGE((U131,Y131,AB131,AC131,AG131,AK131),{1;2;3;4;5}))))+T131),0)</f>
        <v>0</v>
      </c>
      <c r="O131" s="863">
        <f>IF(J131="j",((IF(COUNT(V131,AA131,AD131,AI131,AJ131,AL131)&lt;5,SUM(V131,AA131,AD131,AI131,AJ131,AL131),SUM(LARGE((V131,AA131,AD131,AI131,AJ131,AL131),{1;2;3;4;5}))))+(IF(COUNT(U131,W131,AB131,AC131,AE131,AK131)&lt;5,SUM(U131,W131,AB131,AC131,AE131,AK131),SUM(LARGE((U131,W131,AB131,AC131,AE131,AK131),{1;2;3;4;5}))))+T131),0)</f>
        <v>0</v>
      </c>
      <c r="P131" s="886" t="str">
        <f t="shared" ca="1" si="53"/>
        <v>049,0</v>
      </c>
      <c r="Q131" s="890">
        <f t="shared" si="54"/>
        <v>80</v>
      </c>
      <c r="R131" s="886" t="str">
        <f t="shared" ca="1" si="55"/>
        <v>0049,0-080</v>
      </c>
      <c r="S131" s="889">
        <f t="shared" ca="1" si="56"/>
        <v>71</v>
      </c>
      <c r="T131" s="847"/>
      <c r="U131" s="75" t="str">
        <f>IFERROR(INDEX('1'!C$300:C$400,MATCH("*"&amp;H131&amp;"*",'1'!B$300:B$400,0)),"  ")</f>
        <v xml:space="preserve">  </v>
      </c>
      <c r="V131" s="199" t="str">
        <f>IFERROR(INDEX('2'!C$300:C$400,MATCH("*"&amp;H131&amp;"*",'2'!B$300:B$400,0)),"  ")</f>
        <v xml:space="preserve">  </v>
      </c>
      <c r="W131" s="199" t="str">
        <f ca="1">IF(I131="",IFERROR(INDEX('3M'!C$300:C$400,MATCH("*"&amp;H131&amp;"*",'3M'!B$300:B$400,0)),"  "),IFERROR(INDEX('3N'!D$300:D$400,MATCH("*"&amp;H131&amp;"*",'3N'!B$300:B$400,0)),"  "))</f>
        <v xml:space="preserve">  </v>
      </c>
      <c r="X131" s="908" t="str">
        <f ca="1">IFERROR(INDEX('3M'!C$300:C$400,MATCH("*"&amp;H131&amp;"*",'3M'!B$300:B$400,0)),"  ")</f>
        <v xml:space="preserve">  </v>
      </c>
      <c r="Y131" s="907" t="str">
        <f ca="1">IFERROR(INDEX('3N'!C$300:C$400,MATCH("*"&amp;H131&amp;"*",'3N'!B$300:B$400,0)),"  ")</f>
        <v xml:space="preserve">  </v>
      </c>
      <c r="Z131" s="440"/>
      <c r="AA131" s="75" t="str">
        <f>IFERROR(INDEX('4'!C$300:C$400,MATCH("*"&amp;H131&amp;"*",'4'!B$300:B$400,0)),"  ")</f>
        <v xml:space="preserve">  </v>
      </c>
      <c r="AB131" s="75" t="str">
        <f>IFERROR(INDEX('5'!C$300:C$400,MATCH("*"&amp;H131&amp;"*",'5'!B$300:B$400,0)),"  ")</f>
        <v xml:space="preserve">  </v>
      </c>
      <c r="AC131" s="75" t="str">
        <f>IFERROR(INDEX('6'!C$300:C$400,MATCH("*"&amp;H131&amp;"*",'6'!B$300:B$400,0)),"  ")</f>
        <v xml:space="preserve">  </v>
      </c>
      <c r="AD131" s="75" t="str">
        <f>IFERROR(INDEX('7'!C$300:C$400,MATCH("*"&amp;H131&amp;"*",'7'!B$300:B$400,0)),"  ")</f>
        <v xml:space="preserve">  </v>
      </c>
      <c r="AE131" s="75" t="str">
        <f>IF(I131="",IFERROR(INDEX('8M'!C$300:C$400,MATCH("*"&amp;H131&amp;"*",'8M'!B$300:B$400,0)),"  "),IFERROR(INDEX('8N'!D$300:D$400,MATCH("*"&amp;H131&amp;"*",'8N'!B$300:B$400,0)),"  "))</f>
        <v xml:space="preserve">  </v>
      </c>
      <c r="AF131" s="908" t="str">
        <f>IFERROR(INDEX('8M'!C$300:C$400,MATCH("*"&amp;H131&amp;"*",'8M'!B$300:B$400,0)),"  ")</f>
        <v xml:space="preserve">  </v>
      </c>
      <c r="AG131" s="907" t="str">
        <f>IFERROR(INDEX('8N'!C$300:C$400,MATCH("*"&amp;H131&amp;"*",'8N'!B$300:B$400,0)),"  ")</f>
        <v xml:space="preserve">  </v>
      </c>
      <c r="AH131" s="440"/>
      <c r="AI131" s="75" t="str">
        <f>IFERROR(INDEX('9'!C$300:C$400,MATCH("*"&amp;H131&amp;"*",'9'!B$300:B$400,0)),"  ")</f>
        <v xml:space="preserve">  </v>
      </c>
      <c r="AJ131" s="830" t="str">
        <f>IFERROR(INDEX('10'!C$300:C$400,MATCH("*"&amp;H131&amp;"*",'10'!B$300:B$400,0)),"  ")</f>
        <v xml:space="preserve">  </v>
      </c>
      <c r="AK131" s="75" t="str">
        <f>IFERROR(INDEX('11'!C$300:C$400,MATCH("*"&amp;H131&amp;"*",'11'!B$300:B$400,0)),"  ")</f>
        <v xml:space="preserve">  </v>
      </c>
      <c r="AL131" s="75">
        <f>IFERROR(INDEX('12'!C$300:C$400,MATCH("*"&amp;H131&amp;"*",'12'!B$300:B$400,0)),"  ")</f>
        <v>49</v>
      </c>
      <c r="AM131" s="26">
        <f t="shared" ca="1" si="57"/>
        <v>1</v>
      </c>
      <c r="AN131" s="579">
        <f t="shared" ca="1" si="60"/>
        <v>0</v>
      </c>
      <c r="AO131" s="580">
        <f t="shared" ca="1" si="58"/>
        <v>0</v>
      </c>
      <c r="AP131" s="27">
        <f t="shared" ca="1" si="59"/>
        <v>0</v>
      </c>
      <c r="AQ131" s="933">
        <f t="shared" si="46"/>
        <v>2.0000000000000001E-4</v>
      </c>
      <c r="AR131" s="933">
        <f t="shared" ca="1" si="47"/>
        <v>1E-4</v>
      </c>
    </row>
    <row r="132" spans="1:44" x14ac:dyDescent="0.2">
      <c r="A132" s="851">
        <f t="shared" ca="1" si="49"/>
        <v>93</v>
      </c>
      <c r="B132" s="77">
        <f t="shared" ca="1" si="50"/>
        <v>10047</v>
      </c>
      <c r="C132" s="853" t="str">
        <f t="shared" ca="1" si="44"/>
        <v/>
      </c>
      <c r="D132" s="76">
        <f t="shared" si="51"/>
        <v>0</v>
      </c>
      <c r="E132" s="855" t="str">
        <f t="shared" ca="1" si="45"/>
        <v/>
      </c>
      <c r="F132" s="899">
        <f t="shared" si="52"/>
        <v>0</v>
      </c>
      <c r="G132" s="897">
        <f t="shared" ca="1" si="35"/>
        <v>124</v>
      </c>
      <c r="H132" s="133" t="s">
        <v>77</v>
      </c>
      <c r="I132" s="38"/>
      <c r="J132" s="585"/>
      <c r="K132" s="586"/>
      <c r="L132" s="587"/>
      <c r="M132" s="857">
        <f ca="1">(IF(COUNT(V132,AA132,AD132,AI132,AJ132,AL132)&lt;5,SUM(V132,AA132,AD132,AI132,AJ132,AL132),SUM(LARGE((V132,AA132,AD132,AI132,AJ132,AL132),{1;2;3;4;5}))))+(IF(COUNT(U132,W132,AB132,AC132,AE132,AK132)&lt;5,SUM(U132,W132,AB132,AC132,AE132,AK132),SUM(LARGE((U132,W132,AB132,AC132,AE132,AK132),{1;2;3;4;5}))))+T132</f>
        <v>47</v>
      </c>
      <c r="N132" s="862">
        <f>IF(I132="n",((IF(COUNT(V132,AA132,AD132,AI132,AJ132,AL132)&lt;5,SUM(V132,AA132,AD132,AI132,AJ132,AL132),SUM(LARGE((V132,AA132,AD132,AI132,AJ132,AL132),{1;2;3;4;5}))))+(IF(COUNT(U132,Y132,AB132,AC132,AG132,AK132)&lt;5,SUM(U132,Y132,AB132,AC132,AG132,AK132),SUM(LARGE((U132,Y132,AB132,AC132,AG132,AK132),{1;2;3;4;5}))))+T132),0)</f>
        <v>0</v>
      </c>
      <c r="O132" s="863">
        <f>IF(J132="j",((IF(COUNT(V132,AA132,AD132,AI132,AJ132,AL132)&lt;5,SUM(V132,AA132,AD132,AI132,AJ132,AL132),SUM(LARGE((V132,AA132,AD132,AI132,AJ132,AL132),{1;2;3;4;5}))))+(IF(COUNT(U132,W132,AB132,AC132,AE132,AK132)&lt;5,SUM(U132,W132,AB132,AC132,AE132,AK132),SUM(LARGE((U132,W132,AB132,AC132,AE132,AK132),{1;2;3;4;5}))))+T132),0)</f>
        <v>0</v>
      </c>
      <c r="P132" s="886" t="str">
        <f t="shared" ca="1" si="53"/>
        <v>047,0</v>
      </c>
      <c r="Q132" s="890">
        <f t="shared" si="54"/>
        <v>32</v>
      </c>
      <c r="R132" s="886" t="str">
        <f t="shared" ca="1" si="55"/>
        <v>0047,0-032</v>
      </c>
      <c r="S132" s="889">
        <f t="shared" ca="1" si="56"/>
        <v>70</v>
      </c>
      <c r="T132" s="847">
        <v>1</v>
      </c>
      <c r="U132" s="75" t="str">
        <f>IFERROR(INDEX('1'!C$300:C$400,MATCH("*"&amp;H132&amp;"*",'1'!B$300:B$400,0)),"  ")</f>
        <v xml:space="preserve">  </v>
      </c>
      <c r="V132" s="199" t="str">
        <f>IFERROR(INDEX('2'!C$300:C$400,MATCH("*"&amp;H132&amp;"*",'2'!B$300:B$400,0)),"  ")</f>
        <v xml:space="preserve">  </v>
      </c>
      <c r="W132" s="199" t="str">
        <f ca="1">IF(I132="",IFERROR(INDEX('3M'!C$300:C$400,MATCH("*"&amp;H132&amp;"*",'3M'!B$300:B$400,0)),"  "),IFERROR(INDEX('3N'!D$300:D$400,MATCH("*"&amp;H132&amp;"*",'3N'!B$300:B$400,0)),"  "))</f>
        <v xml:space="preserve">  </v>
      </c>
      <c r="X132" s="908" t="str">
        <f ca="1">IFERROR(INDEX('3M'!C$300:C$400,MATCH("*"&amp;H132&amp;"*",'3M'!B$300:B$400,0)),"  ")</f>
        <v xml:space="preserve">  </v>
      </c>
      <c r="Y132" s="907" t="str">
        <f ca="1">IFERROR(INDEX('3N'!C$300:C$400,MATCH("*"&amp;H132&amp;"*",'3N'!B$300:B$400,0)),"  ")</f>
        <v xml:space="preserve">  </v>
      </c>
      <c r="Z132" s="440"/>
      <c r="AA132" s="75" t="str">
        <f>IFERROR(INDEX('4'!C$300:C$400,MATCH("*"&amp;H132&amp;"*",'4'!B$300:B$400,0)),"  ")</f>
        <v xml:space="preserve">  </v>
      </c>
      <c r="AB132" s="75" t="str">
        <f>IFERROR(INDEX('5'!C$300:C$400,MATCH("*"&amp;H132&amp;"*",'5'!B$300:B$400,0)),"  ")</f>
        <v xml:space="preserve">  </v>
      </c>
      <c r="AC132" s="75" t="str">
        <f>IFERROR(INDEX('6'!C$300:C$400,MATCH("*"&amp;H132&amp;"*",'6'!B$300:B$400,0)),"  ")</f>
        <v xml:space="preserve">  </v>
      </c>
      <c r="AD132" s="75">
        <f>IFERROR(INDEX('7'!C$300:C$400,MATCH("*"&amp;H132&amp;"*",'7'!B$300:B$400,0)),"  ")</f>
        <v>46</v>
      </c>
      <c r="AE132" s="75" t="str">
        <f>IF(I132="",IFERROR(INDEX('8M'!C$300:C$400,MATCH("*"&amp;H132&amp;"*",'8M'!B$300:B$400,0)),"  "),IFERROR(INDEX('8N'!D$300:D$400,MATCH("*"&amp;H132&amp;"*",'8N'!B$300:B$400,0)),"  "))</f>
        <v xml:space="preserve">  </v>
      </c>
      <c r="AF132" s="908" t="str">
        <f>IFERROR(INDEX('8M'!C$300:C$400,MATCH("*"&amp;H132&amp;"*",'8M'!B$300:B$400,0)),"  ")</f>
        <v xml:space="preserve">  </v>
      </c>
      <c r="AG132" s="907" t="str">
        <f>IFERROR(INDEX('8N'!C$300:C$400,MATCH("*"&amp;H132&amp;"*",'8N'!B$300:B$400,0)),"  ")</f>
        <v xml:space="preserve">  </v>
      </c>
      <c r="AH132" s="440"/>
      <c r="AI132" s="75" t="str">
        <f>IFERROR(INDEX('9'!C$300:C$400,MATCH("*"&amp;H132&amp;"*",'9'!B$300:B$400,0)),"  ")</f>
        <v xml:space="preserve">  </v>
      </c>
      <c r="AJ132" s="830" t="str">
        <f>IFERROR(INDEX('10'!C$300:C$400,MATCH("*"&amp;H132&amp;"*",'10'!B$300:B$400,0)),"  ")</f>
        <v xml:space="preserve">  </v>
      </c>
      <c r="AK132" s="75" t="str">
        <f>IFERROR(INDEX('11'!C$300:C$400,MATCH("*"&amp;H132&amp;"*",'11'!B$300:B$400,0)),"  ")</f>
        <v xml:space="preserve">  </v>
      </c>
      <c r="AL132" s="75" t="str">
        <f>IFERROR(INDEX('12'!C$300:C$400,MATCH("*"&amp;H132&amp;"*",'12'!B$300:B$400,0)),"  ")</f>
        <v xml:space="preserve">  </v>
      </c>
      <c r="AM132" s="26">
        <f t="shared" ca="1" si="57"/>
        <v>1</v>
      </c>
      <c r="AN132" s="579">
        <f t="shared" ca="1" si="60"/>
        <v>0</v>
      </c>
      <c r="AO132" s="580">
        <f t="shared" ca="1" si="58"/>
        <v>0</v>
      </c>
      <c r="AP132" s="27">
        <f t="shared" ca="1" si="59"/>
        <v>0</v>
      </c>
      <c r="AQ132" s="933">
        <f t="shared" si="46"/>
        <v>2.0000000000000001E-4</v>
      </c>
      <c r="AR132" s="933">
        <f t="shared" ca="1" si="47"/>
        <v>1E-4</v>
      </c>
    </row>
    <row r="133" spans="1:44" x14ac:dyDescent="0.2">
      <c r="A133" s="851">
        <f t="shared" ca="1" si="49"/>
        <v>94</v>
      </c>
      <c r="B133" s="77">
        <f t="shared" ca="1" si="50"/>
        <v>10043</v>
      </c>
      <c r="C133" s="853" t="str">
        <f t="shared" ca="1" si="44"/>
        <v/>
      </c>
      <c r="D133" s="76">
        <f t="shared" si="51"/>
        <v>0</v>
      </c>
      <c r="E133" s="855" t="str">
        <f t="shared" ca="1" si="45"/>
        <v/>
      </c>
      <c r="F133" s="899">
        <f t="shared" si="52"/>
        <v>0</v>
      </c>
      <c r="G133" s="897">
        <f t="shared" ca="1" si="35"/>
        <v>125</v>
      </c>
      <c r="H133" s="133" t="s">
        <v>636</v>
      </c>
      <c r="I133" s="38"/>
      <c r="J133" s="585"/>
      <c r="K133" s="586" t="s">
        <v>718</v>
      </c>
      <c r="L133" s="587"/>
      <c r="M133" s="857">
        <f ca="1">(IF(COUNT(V133,AA133,AD133,AI133,AJ133,AL133)&lt;5,SUM(V133,AA133,AD133,AI133,AJ133,AL133),SUM(LARGE((V133,AA133,AD133,AI133,AJ133,AL133),{1;2;3;4;5}))))+(IF(COUNT(U133,W133,AB133,AC133,AE133,AK133)&lt;5,SUM(U133,W133,AB133,AC133,AE133,AK133),SUM(LARGE((U133,W133,AB133,AC133,AE133,AK133),{1;2;3;4;5}))))+T133</f>
        <v>43</v>
      </c>
      <c r="N133" s="862">
        <f>IF(I133="n",((IF(COUNT(V133,AA133,AD133,AI133,AJ133,AL133)&lt;5,SUM(V133,AA133,AD133,AI133,AJ133,AL133),SUM(LARGE((V133,AA133,AD133,AI133,AJ133,AL133),{1;2;3;4;5}))))+(IF(COUNT(U133,Y133,AB133,AC133,AG133,AK133)&lt;5,SUM(U133,Y133,AB133,AC133,AG133,AK133),SUM(LARGE((U133,Y133,AB133,AC133,AG133,AK133),{1;2;3;4;5}))))+T133),0)</f>
        <v>0</v>
      </c>
      <c r="O133" s="863">
        <f>IF(J133="j",((IF(COUNT(V133,AA133,AD133,AI133,AJ133,AL133)&lt;5,SUM(V133,AA133,AD133,AI133,AJ133,AL133),SUM(LARGE((V133,AA133,AD133,AI133,AJ133,AL133),{1;2;3;4;5}))))+(IF(COUNT(U133,W133,AB133,AC133,AE133,AK133)&lt;5,SUM(U133,W133,AB133,AC133,AE133,AK133),SUM(LARGE((U133,W133,AB133,AC133,AE133,AK133),{1;2;3;4;5}))))+T133),0)</f>
        <v>0</v>
      </c>
      <c r="P133" s="886" t="str">
        <f t="shared" ca="1" si="53"/>
        <v>043,0</v>
      </c>
      <c r="Q133" s="890">
        <f t="shared" si="54"/>
        <v>22</v>
      </c>
      <c r="R133" s="886" t="str">
        <f t="shared" ca="1" si="55"/>
        <v>0043,0-022</v>
      </c>
      <c r="S133" s="889">
        <f t="shared" ca="1" si="56"/>
        <v>69</v>
      </c>
      <c r="T133" s="847"/>
      <c r="U133" s="75" t="str">
        <f>IFERROR(INDEX('1'!C$300:C$400,MATCH("*"&amp;H133&amp;"*",'1'!B$300:B$400,0)),"  ")</f>
        <v xml:space="preserve">  </v>
      </c>
      <c r="V133" s="199" t="str">
        <f>IFERROR(INDEX('2'!C$300:C$400,MATCH("*"&amp;H133&amp;"*",'2'!B$300:B$400,0)),"  ")</f>
        <v xml:space="preserve">  </v>
      </c>
      <c r="W133" s="199" t="str">
        <f ca="1">IF(I133="",IFERROR(INDEX('3M'!C$300:C$400,MATCH("*"&amp;H133&amp;"*",'3M'!B$300:B$400,0)),"  "),IFERROR(INDEX('3N'!D$300:D$400,MATCH("*"&amp;H133&amp;"*",'3N'!B$300:B$400,0)),"  "))</f>
        <v xml:space="preserve">  </v>
      </c>
      <c r="X133" s="908" t="str">
        <f ca="1">IFERROR(INDEX('3M'!C$300:C$400,MATCH("*"&amp;H133&amp;"*",'3M'!B$300:B$400,0)),"  ")</f>
        <v xml:space="preserve">  </v>
      </c>
      <c r="Y133" s="907" t="str">
        <f ca="1">IFERROR(INDEX('3N'!C$300:C$400,MATCH("*"&amp;H133&amp;"*",'3N'!B$300:B$400,0)),"  ")</f>
        <v xml:space="preserve">  </v>
      </c>
      <c r="Z133" s="440"/>
      <c r="AA133" s="75" t="str">
        <f>IFERROR(INDEX('4'!C$300:C$400,MATCH("*"&amp;H133&amp;"*",'4'!B$300:B$400,0)),"  ")</f>
        <v xml:space="preserve">  </v>
      </c>
      <c r="AB133" s="75" t="str">
        <f>IFERROR(INDEX('5'!C$300:C$400,MATCH("*"&amp;H133&amp;"*",'5'!B$300:B$400,0)),"  ")</f>
        <v xml:space="preserve">  </v>
      </c>
      <c r="AC133" s="75" t="str">
        <f>IFERROR(INDEX('6'!C$300:C$400,MATCH("*"&amp;H133&amp;"*",'6'!B$300:B$400,0)),"  ")</f>
        <v xml:space="preserve">  </v>
      </c>
      <c r="AD133" s="75" t="str">
        <f>IFERROR(INDEX('7'!C$300:C$400,MATCH("*"&amp;H133&amp;"*",'7'!B$300:B$400,0)),"  ")</f>
        <v xml:space="preserve">  </v>
      </c>
      <c r="AE133" s="75" t="str">
        <f>IF(I133="",IFERROR(INDEX('8M'!C$300:C$400,MATCH("*"&amp;H133&amp;"*",'8M'!B$300:B$400,0)),"  "),IFERROR(INDEX('8N'!D$300:D$400,MATCH("*"&amp;H133&amp;"*",'8N'!B$300:B$400,0)),"  "))</f>
        <v xml:space="preserve">  </v>
      </c>
      <c r="AF133" s="908" t="str">
        <f>IFERROR(INDEX('8M'!C$300:C$400,MATCH("*"&amp;H133&amp;"*",'8M'!B$300:B$400,0)),"  ")</f>
        <v xml:space="preserve">  </v>
      </c>
      <c r="AG133" s="907" t="str">
        <f>IFERROR(INDEX('8N'!C$300:C$400,MATCH("*"&amp;H133&amp;"*",'8N'!B$300:B$400,0)),"  ")</f>
        <v xml:space="preserve">  </v>
      </c>
      <c r="AH133" s="440"/>
      <c r="AI133" s="75">
        <f>IFERROR(INDEX('9'!C$300:C$400,MATCH("*"&amp;H133&amp;"*",'9'!B$300:B$400,0)),"  ")</f>
        <v>43</v>
      </c>
      <c r="AJ133" s="830" t="str">
        <f>IFERROR(INDEX('10'!C$300:C$400,MATCH("*"&amp;H133&amp;"*",'10'!B$300:B$400,0)),"  ")</f>
        <v xml:space="preserve">  </v>
      </c>
      <c r="AK133" s="75" t="str">
        <f>IFERROR(INDEX('11'!C$300:C$400,MATCH("*"&amp;H133&amp;"*",'11'!B$300:B$400,0)),"  ")</f>
        <v xml:space="preserve">  </v>
      </c>
      <c r="AL133" s="75" t="str">
        <f>IFERROR(INDEX('12'!C$300:C$400,MATCH("*"&amp;H133&amp;"*",'12'!B$300:B$400,0)),"  ")</f>
        <v xml:space="preserve">  </v>
      </c>
      <c r="AM133" s="26">
        <f t="shared" ca="1" si="57"/>
        <v>1</v>
      </c>
      <c r="AN133" s="579">
        <f t="shared" ca="1" si="60"/>
        <v>0</v>
      </c>
      <c r="AO133" s="580">
        <f t="shared" ca="1" si="58"/>
        <v>0</v>
      </c>
      <c r="AP133" s="27">
        <f t="shared" ca="1" si="59"/>
        <v>0</v>
      </c>
      <c r="AQ133" s="933">
        <f t="shared" si="46"/>
        <v>2.0000000000000001E-4</v>
      </c>
      <c r="AR133" s="933">
        <f t="shared" ca="1" si="47"/>
        <v>1E-4</v>
      </c>
    </row>
    <row r="134" spans="1:44" x14ac:dyDescent="0.2">
      <c r="A134" s="851">
        <f t="shared" ca="1" si="49"/>
        <v>94</v>
      </c>
      <c r="B134" s="77">
        <f t="shared" ca="1" si="50"/>
        <v>10043</v>
      </c>
      <c r="C134" s="853" t="str">
        <f t="shared" ca="1" si="44"/>
        <v/>
      </c>
      <c r="D134" s="76">
        <f t="shared" si="51"/>
        <v>0</v>
      </c>
      <c r="E134" s="855" t="str">
        <f t="shared" ca="1" si="45"/>
        <v/>
      </c>
      <c r="F134" s="899">
        <f t="shared" si="52"/>
        <v>0</v>
      </c>
      <c r="G134" s="897">
        <f t="shared" ca="1" si="35"/>
        <v>125</v>
      </c>
      <c r="H134" s="133" t="s">
        <v>316</v>
      </c>
      <c r="I134" s="38"/>
      <c r="J134" s="585"/>
      <c r="K134" s="586"/>
      <c r="L134" s="587"/>
      <c r="M134" s="857">
        <f ca="1">(IF(COUNT(V134,AA134,AD134,AI134,AJ134,AL134)&lt;5,SUM(V134,AA134,AD134,AI134,AJ134,AL134),SUM(LARGE((V134,AA134,AD134,AI134,AJ134,AL134),{1;2;3;4;5}))))+(IF(COUNT(U134,W134,AB134,AC134,AE134,AK134)&lt;5,SUM(U134,W134,AB134,AC134,AE134,AK134),SUM(LARGE((U134,W134,AB134,AC134,AE134,AK134),{1;2;3;4;5}))))+T134</f>
        <v>43</v>
      </c>
      <c r="N134" s="862">
        <f>IF(I134="n",((IF(COUNT(V134,AA134,AD134,AI134,AJ134,AL134)&lt;5,SUM(V134,AA134,AD134,AI134,AJ134,AL134),SUM(LARGE((V134,AA134,AD134,AI134,AJ134,AL134),{1;2;3;4;5}))))+(IF(COUNT(U134,Y134,AB134,AC134,AG134,AK134)&lt;5,SUM(U134,Y134,AB134,AC134,AG134,AK134),SUM(LARGE((U134,Y134,AB134,AC134,AG134,AK134),{1;2;3;4;5}))))+T134),0)</f>
        <v>0</v>
      </c>
      <c r="O134" s="863">
        <f>IF(J134="j",((IF(COUNT(V134,AA134,AD134,AI134,AJ134,AL134)&lt;5,SUM(V134,AA134,AD134,AI134,AJ134,AL134),SUM(LARGE((V134,AA134,AD134,AI134,AJ134,AL134),{1;2;3;4;5}))))+(IF(COUNT(U134,W134,AB134,AC134,AE134,AK134)&lt;5,SUM(U134,W134,AB134,AC134,AE134,AK134),SUM(LARGE((U134,W134,AB134,AC134,AE134,AK134),{1;2;3;4;5}))))+T134),0)</f>
        <v>0</v>
      </c>
      <c r="P134" s="886" t="str">
        <f t="shared" ca="1" si="53"/>
        <v>043,0</v>
      </c>
      <c r="Q134" s="890">
        <f t="shared" si="54"/>
        <v>11</v>
      </c>
      <c r="R134" s="886" t="str">
        <f t="shared" ca="1" si="55"/>
        <v>0043,0-011</v>
      </c>
      <c r="S134" s="889">
        <f t="shared" ca="1" si="56"/>
        <v>68</v>
      </c>
      <c r="T134" s="847"/>
      <c r="U134" s="75" t="str">
        <f>IFERROR(INDEX('1'!C$300:C$400,MATCH("*"&amp;H134&amp;"*",'1'!B$300:B$400,0)),"  ")</f>
        <v xml:space="preserve">  </v>
      </c>
      <c r="V134" s="199" t="str">
        <f>IFERROR(INDEX('2'!C$300:C$400,MATCH("*"&amp;H134&amp;"*",'2'!B$300:B$400,0)),"  ")</f>
        <v xml:space="preserve">  </v>
      </c>
      <c r="W134" s="199" t="str">
        <f ca="1">IF(I134="",IFERROR(INDEX('3M'!C$300:C$400,MATCH("*"&amp;H134&amp;"*",'3M'!B$300:B$400,0)),"  "),IFERROR(INDEX('3N'!D$300:D$400,MATCH("*"&amp;H134&amp;"*",'3N'!B$300:B$400,0)),"  "))</f>
        <v xml:space="preserve">  </v>
      </c>
      <c r="X134" s="908" t="str">
        <f ca="1">IFERROR(INDEX('3M'!C$300:C$400,MATCH("*"&amp;H134&amp;"*",'3M'!B$300:B$400,0)),"  ")</f>
        <v xml:space="preserve">  </v>
      </c>
      <c r="Y134" s="907" t="str">
        <f ca="1">IFERROR(INDEX('3N'!C$300:C$400,MATCH("*"&amp;H134&amp;"*",'3N'!B$300:B$400,0)),"  ")</f>
        <v xml:space="preserve">  </v>
      </c>
      <c r="Z134" s="440"/>
      <c r="AA134" s="75" t="str">
        <f>IFERROR(INDEX('4'!C$300:C$400,MATCH("*"&amp;H134&amp;"*",'4'!B$300:B$400,0)),"  ")</f>
        <v xml:space="preserve">  </v>
      </c>
      <c r="AB134" s="75" t="str">
        <f>IFERROR(INDEX('5'!C$300:C$400,MATCH("*"&amp;H134&amp;"*",'5'!B$300:B$400,0)),"  ")</f>
        <v xml:space="preserve">  </v>
      </c>
      <c r="AC134" s="75" t="str">
        <f>IFERROR(INDEX('6'!C$300:C$400,MATCH("*"&amp;H134&amp;"*",'6'!B$300:B$400,0)),"  ")</f>
        <v xml:space="preserve">  </v>
      </c>
      <c r="AD134" s="75">
        <f>IFERROR(INDEX('7'!C$300:C$400,MATCH("*"&amp;H134&amp;"*",'7'!B$300:B$400,0)),"  ")</f>
        <v>43</v>
      </c>
      <c r="AE134" s="75" t="str">
        <f>IF(I134="",IFERROR(INDEX('8M'!C$300:C$400,MATCH("*"&amp;H134&amp;"*",'8M'!B$300:B$400,0)),"  "),IFERROR(INDEX('8N'!D$300:D$400,MATCH("*"&amp;H134&amp;"*",'8N'!B$300:B$400,0)),"  "))</f>
        <v xml:space="preserve">  </v>
      </c>
      <c r="AF134" s="908" t="str">
        <f>IFERROR(INDEX('8M'!C$300:C$400,MATCH("*"&amp;H134&amp;"*",'8M'!B$300:B$400,0)),"  ")</f>
        <v xml:space="preserve">  </v>
      </c>
      <c r="AG134" s="907" t="str">
        <f>IFERROR(INDEX('8N'!C$300:C$400,MATCH("*"&amp;H134&amp;"*",'8N'!B$300:B$400,0)),"  ")</f>
        <v xml:space="preserve">  </v>
      </c>
      <c r="AH134" s="440"/>
      <c r="AI134" s="75" t="str">
        <f>IFERROR(INDEX('9'!C$300:C$400,MATCH("*"&amp;H134&amp;"*",'9'!B$300:B$400,0)),"  ")</f>
        <v xml:space="preserve">  </v>
      </c>
      <c r="AJ134" s="830" t="str">
        <f>IFERROR(INDEX('10'!C$300:C$400,MATCH("*"&amp;H134&amp;"*",'10'!B$300:B$400,0)),"  ")</f>
        <v xml:space="preserve">  </v>
      </c>
      <c r="AK134" s="75" t="str">
        <f>IFERROR(INDEX('11'!C$300:C$400,MATCH("*"&amp;H134&amp;"*",'11'!B$300:B$400,0)),"  ")</f>
        <v xml:space="preserve">  </v>
      </c>
      <c r="AL134" s="75" t="str">
        <f>IFERROR(INDEX('12'!C$300:C$400,MATCH("*"&amp;H134&amp;"*",'12'!B$300:B$400,0)),"  ")</f>
        <v xml:space="preserve">  </v>
      </c>
      <c r="AM134" s="26">
        <f t="shared" ca="1" si="57"/>
        <v>1</v>
      </c>
      <c r="AN134" s="579">
        <f t="shared" ca="1" si="60"/>
        <v>0</v>
      </c>
      <c r="AO134" s="580">
        <f t="shared" ca="1" si="58"/>
        <v>0</v>
      </c>
      <c r="AP134" s="27">
        <f t="shared" ca="1" si="59"/>
        <v>0</v>
      </c>
      <c r="AQ134" s="933">
        <f t="shared" si="46"/>
        <v>2.0000000000000001E-4</v>
      </c>
      <c r="AR134" s="933">
        <f t="shared" ca="1" si="47"/>
        <v>1E-4</v>
      </c>
    </row>
    <row r="135" spans="1:44" x14ac:dyDescent="0.2">
      <c r="A135" s="851">
        <f t="shared" ca="1" si="49"/>
        <v>96</v>
      </c>
      <c r="B135" s="77">
        <f t="shared" ca="1" si="50"/>
        <v>10042</v>
      </c>
      <c r="C135" s="853" t="str">
        <f t="shared" ca="1" si="44"/>
        <v/>
      </c>
      <c r="D135" s="76">
        <f t="shared" si="51"/>
        <v>0</v>
      </c>
      <c r="E135" s="855" t="str">
        <f t="shared" ca="1" si="45"/>
        <v/>
      </c>
      <c r="F135" s="899">
        <f t="shared" si="52"/>
        <v>0</v>
      </c>
      <c r="G135" s="897">
        <f t="shared" ca="1" si="35"/>
        <v>127</v>
      </c>
      <c r="H135" s="133" t="s">
        <v>303</v>
      </c>
      <c r="I135" s="38"/>
      <c r="J135" s="585"/>
      <c r="K135" s="586"/>
      <c r="L135" s="587"/>
      <c r="M135" s="857">
        <f ca="1">(IF(COUNT(V135,AA135,AD135,AI135,AJ135,AL135)&lt;5,SUM(V135,AA135,AD135,AI135,AJ135,AL135),SUM(LARGE((V135,AA135,AD135,AI135,AJ135,AL135),{1;2;3;4;5}))))+(IF(COUNT(U135,W135,AB135,AC135,AE135,AK135)&lt;5,SUM(U135,W135,AB135,AC135,AE135,AK135),SUM(LARGE((U135,W135,AB135,AC135,AE135,AK135),{1;2;3;4;5}))))+T135</f>
        <v>42</v>
      </c>
      <c r="N135" s="862">
        <f>IF(I135="n",((IF(COUNT(V135,AA135,AD135,AI135,AJ135,AL135)&lt;5,SUM(V135,AA135,AD135,AI135,AJ135,AL135),SUM(LARGE((V135,AA135,AD135,AI135,AJ135,AL135),{1;2;3;4;5}))))+(IF(COUNT(U135,Y135,AB135,AC135,AG135,AK135)&lt;5,SUM(U135,Y135,AB135,AC135,AG135,AK135),SUM(LARGE((U135,Y135,AB135,AC135,AG135,AK135),{1;2;3;4;5}))))+T135),0)</f>
        <v>0</v>
      </c>
      <c r="O135" s="863">
        <f>IF(J135="j",((IF(COUNT(V135,AA135,AD135,AI135,AJ135,AL135)&lt;5,SUM(V135,AA135,AD135,AI135,AJ135,AL135),SUM(LARGE((V135,AA135,AD135,AI135,AJ135,AL135),{1;2;3;4;5}))))+(IF(COUNT(U135,W135,AB135,AC135,AE135,AK135)&lt;5,SUM(U135,W135,AB135,AC135,AE135,AK135),SUM(LARGE((U135,W135,AB135,AC135,AE135,AK135),{1;2;3;4;5}))))+T135),0)</f>
        <v>0</v>
      </c>
      <c r="P135" s="886" t="str">
        <f t="shared" ca="1" si="53"/>
        <v>042,0</v>
      </c>
      <c r="Q135" s="890">
        <f t="shared" si="54"/>
        <v>56</v>
      </c>
      <c r="R135" s="886" t="str">
        <f t="shared" ca="1" si="55"/>
        <v>0042,0-056</v>
      </c>
      <c r="S135" s="889">
        <f t="shared" ca="1" si="56"/>
        <v>67</v>
      </c>
      <c r="T135" s="847"/>
      <c r="U135" s="75" t="str">
        <f>IFERROR(INDEX('1'!C$300:C$400,MATCH("*"&amp;H135&amp;"*",'1'!B$300:B$400,0)),"  ")</f>
        <v xml:space="preserve">  </v>
      </c>
      <c r="V135" s="199" t="str">
        <f>IFERROR(INDEX('2'!C$300:C$400,MATCH("*"&amp;H135&amp;"*",'2'!B$300:B$400,0)),"  ")</f>
        <v xml:space="preserve">  </v>
      </c>
      <c r="W135" s="199" t="str">
        <f ca="1">IF(I135="",IFERROR(INDEX('3M'!C$300:C$400,MATCH("*"&amp;H135&amp;"*",'3M'!B$300:B$400,0)),"  "),IFERROR(INDEX('3N'!D$300:D$400,MATCH("*"&amp;H135&amp;"*",'3N'!B$300:B$400,0)),"  "))</f>
        <v xml:space="preserve">  </v>
      </c>
      <c r="X135" s="908" t="str">
        <f ca="1">IFERROR(INDEX('3M'!C$300:C$400,MATCH("*"&amp;H135&amp;"*",'3M'!B$300:B$400,0)),"  ")</f>
        <v xml:space="preserve">  </v>
      </c>
      <c r="Y135" s="907" t="str">
        <f ca="1">IFERROR(INDEX('3N'!C$300:C$400,MATCH("*"&amp;H135&amp;"*",'3N'!B$300:B$400,0)),"  ")</f>
        <v xml:space="preserve">  </v>
      </c>
      <c r="Z135" s="440"/>
      <c r="AA135" s="75" t="str">
        <f>IFERROR(INDEX('4'!C$300:C$400,MATCH("*"&amp;H135&amp;"*",'4'!B$300:B$400,0)),"  ")</f>
        <v xml:space="preserve">  </v>
      </c>
      <c r="AB135" s="75">
        <f>IFERROR(INDEX('5'!C$300:C$400,MATCH("*"&amp;H135&amp;"*",'5'!B$300:B$400,0)),"  ")</f>
        <v>42</v>
      </c>
      <c r="AC135" s="75" t="str">
        <f>IFERROR(INDEX('6'!C$300:C$400,MATCH("*"&amp;H135&amp;"*",'6'!B$300:B$400,0)),"  ")</f>
        <v xml:space="preserve">  </v>
      </c>
      <c r="AD135" s="75" t="str">
        <f>IFERROR(INDEX('7'!C$300:C$400,MATCH("*"&amp;H135&amp;"*",'7'!B$300:B$400,0)),"  ")</f>
        <v xml:space="preserve">  </v>
      </c>
      <c r="AE135" s="75" t="str">
        <f>IF(I135="",IFERROR(INDEX('8M'!C$300:C$400,MATCH("*"&amp;H135&amp;"*",'8M'!B$300:B$400,0)),"  "),IFERROR(INDEX('8N'!D$300:D$400,MATCH("*"&amp;H135&amp;"*",'8N'!B$300:B$400,0)),"  "))</f>
        <v xml:space="preserve">  </v>
      </c>
      <c r="AF135" s="908" t="str">
        <f>IFERROR(INDEX('8M'!C$300:C$400,MATCH("*"&amp;H135&amp;"*",'8M'!B$300:B$400,0)),"  ")</f>
        <v xml:space="preserve">  </v>
      </c>
      <c r="AG135" s="907" t="str">
        <f>IFERROR(INDEX('8N'!C$300:C$400,MATCH("*"&amp;H135&amp;"*",'8N'!B$300:B$400,0)),"  ")</f>
        <v xml:space="preserve">  </v>
      </c>
      <c r="AH135" s="440"/>
      <c r="AI135" s="75" t="str">
        <f>IFERROR(INDEX('9'!C$300:C$400,MATCH("*"&amp;H135&amp;"*",'9'!B$300:B$400,0)),"  ")</f>
        <v xml:space="preserve">  </v>
      </c>
      <c r="AJ135" s="830" t="str">
        <f>IFERROR(INDEX('10'!C$300:C$400,MATCH("*"&amp;H135&amp;"*",'10'!B$300:B$400,0)),"  ")</f>
        <v xml:space="preserve">  </v>
      </c>
      <c r="AK135" s="75" t="str">
        <f>IFERROR(INDEX('11'!C$300:C$400,MATCH("*"&amp;H135&amp;"*",'11'!B$300:B$400,0)),"  ")</f>
        <v xml:space="preserve">  </v>
      </c>
      <c r="AL135" s="75" t="str">
        <f>IFERROR(INDEX('12'!C$300:C$400,MATCH("*"&amp;H135&amp;"*",'12'!B$300:B$400,0)),"  ")</f>
        <v xml:space="preserve">  </v>
      </c>
      <c r="AM135" s="26">
        <f t="shared" ca="1" si="57"/>
        <v>1</v>
      </c>
      <c r="AN135" s="579">
        <f t="shared" ca="1" si="60"/>
        <v>0</v>
      </c>
      <c r="AO135" s="580">
        <f t="shared" ca="1" si="58"/>
        <v>0</v>
      </c>
      <c r="AP135" s="27">
        <f t="shared" ca="1" si="59"/>
        <v>0</v>
      </c>
      <c r="AQ135" s="933">
        <f t="shared" si="46"/>
        <v>2.0000000000000001E-4</v>
      </c>
      <c r="AR135" s="933">
        <f t="shared" ca="1" si="47"/>
        <v>1E-4</v>
      </c>
    </row>
    <row r="136" spans="1:44" x14ac:dyDescent="0.2">
      <c r="A136" s="851" t="str">
        <f t="shared" ca="1" si="49"/>
        <v/>
      </c>
      <c r="B136" s="77">
        <f t="shared" si="50"/>
        <v>0</v>
      </c>
      <c r="C136" s="853">
        <f t="shared" ca="1" si="44"/>
        <v>26</v>
      </c>
      <c r="D136" s="76">
        <f t="shared" ca="1" si="51"/>
        <v>10090</v>
      </c>
      <c r="E136" s="855" t="str">
        <f t="shared" ca="1" si="45"/>
        <v/>
      </c>
      <c r="F136" s="899">
        <f t="shared" si="52"/>
        <v>0</v>
      </c>
      <c r="G136" s="897">
        <f t="shared" ca="1" si="35"/>
        <v>128</v>
      </c>
      <c r="H136" s="177" t="s">
        <v>866</v>
      </c>
      <c r="I136" s="38" t="s">
        <v>32</v>
      </c>
      <c r="J136" s="589"/>
      <c r="K136" s="586" t="s">
        <v>718</v>
      </c>
      <c r="L136" s="587"/>
      <c r="M136" s="857">
        <f ca="1">(IF(COUNT(V136,AA136,AD136,AI136,AJ136,AL136)&lt;5,SUM(V136,AA136,AD136,AI136,AJ136,AL136),SUM(LARGE((V136,AA136,AD136,AI136,AJ136,AL136),{1;2;3;4;5}))))+(IF(COUNT(U136,W136,AB136,AC136,AE136,AK136)&lt;5,SUM(U136,W136,AB136,AC136,AE136,AK136),SUM(LARGE((U136,W136,AB136,AC136,AE136,AK136),{1;2;3;4;5}))))+T136</f>
        <v>29</v>
      </c>
      <c r="N136" s="862">
        <f ca="1">IF(I136="n",((IF(COUNT(V136,AA136,AD136,AI136,AJ136,AL136)&lt;5,SUM(V136,AA136,AD136,AI136,AJ136,AL136),SUM(LARGE((V136,AA136,AD136,AI136,AJ136,AL136),{1;2;3;4;5}))))+(IF(COUNT(U136,Y136,AB136,AC136,AG136,AK136)&lt;5,SUM(U136,Y136,AB136,AC136,AG136,AK136),SUM(LARGE((U136,Y136,AB136,AC136,AG136,AK136),{1;2;3;4;5}))))+T136),0)</f>
        <v>90</v>
      </c>
      <c r="O136" s="863">
        <f>IF(J136="j",((IF(COUNT(V136,AA136,AD136,AI136,AJ136,AL136)&lt;5,SUM(V136,AA136,AD136,AI136,AJ136,AL136),SUM(LARGE((V136,AA136,AD136,AI136,AJ136,AL136),{1;2;3;4;5}))))+(IF(COUNT(U136,W136,AB136,AC136,AE136,AK136)&lt;5,SUM(U136,W136,AB136,AC136,AE136,AK136),SUM(LARGE((U136,W136,AB136,AC136,AE136,AK136),{1;2;3;4;5}))))+T136),0)</f>
        <v>0</v>
      </c>
      <c r="P136" s="886" t="str">
        <f t="shared" ca="1" si="53"/>
        <v>029,0</v>
      </c>
      <c r="Q136" s="890">
        <f t="shared" si="54"/>
        <v>63</v>
      </c>
      <c r="R136" s="886" t="str">
        <f t="shared" ca="1" si="55"/>
        <v>0029,0-063</v>
      </c>
      <c r="S136" s="889">
        <f t="shared" ca="1" si="56"/>
        <v>66</v>
      </c>
      <c r="T136" s="847"/>
      <c r="U136" s="75" t="str">
        <f>IFERROR(INDEX('1'!C$300:C$400,MATCH("*"&amp;H136&amp;"*",'1'!B$300:B$400,0)),"  ")</f>
        <v xml:space="preserve">  </v>
      </c>
      <c r="V136" s="199" t="str">
        <f>IFERROR(INDEX('2'!C$300:C$400,MATCH("*"&amp;H136&amp;"*",'2'!B$300:B$400,0)),"  ")</f>
        <v xml:space="preserve">  </v>
      </c>
      <c r="W136" s="199" t="str">
        <f ca="1">IF(I136="",IFERROR(INDEX('3M'!C$300:C$400,MATCH("*"&amp;H136&amp;"*",'3M'!B$300:B$400,0)),"  "),IFERROR(INDEX('3N'!D$300:D$400,MATCH("*"&amp;H136&amp;"*",'3N'!B$300:B$400,0)),"  "))</f>
        <v xml:space="preserve">  </v>
      </c>
      <c r="X136" s="908" t="str">
        <f ca="1">IFERROR(INDEX('3M'!C$300:C$400,MATCH("*"&amp;H136&amp;"*",'3M'!B$300:B$400,0)),"  ")</f>
        <v xml:space="preserve">  </v>
      </c>
      <c r="Y136" s="907" t="str">
        <f ca="1">IFERROR(INDEX('3N'!C$300:C$400,MATCH("*"&amp;H136&amp;"*",'3N'!B$300:B$400,0)),"  ")</f>
        <v xml:space="preserve">  </v>
      </c>
      <c r="Z136" s="440"/>
      <c r="AA136" s="75" t="str">
        <f>IFERROR(INDEX('4'!C$300:C$400,MATCH("*"&amp;H136&amp;"*",'4'!B$300:B$400,0)),"  ")</f>
        <v xml:space="preserve">  </v>
      </c>
      <c r="AB136" s="75" t="str">
        <f>IFERROR(INDEX('5'!C$300:C$400,MATCH("*"&amp;H136&amp;"*",'5'!B$300:B$400,0)),"  ")</f>
        <v xml:space="preserve">  </v>
      </c>
      <c r="AC136" s="75" t="str">
        <f>IFERROR(INDEX('6'!C$300:C$400,MATCH("*"&amp;H136&amp;"*",'6'!B$300:B$400,0)),"  ")</f>
        <v xml:space="preserve">  </v>
      </c>
      <c r="AD136" s="75" t="str">
        <f>IFERROR(INDEX('7'!C$300:C$400,MATCH("*"&amp;H136&amp;"*",'7'!B$300:B$400,0)),"  ")</f>
        <v xml:space="preserve">  </v>
      </c>
      <c r="AE136" s="75">
        <f>IF(I136="",IFERROR(INDEX('8M'!C$300:C$400,MATCH("*"&amp;H136&amp;"*",'8M'!B$300:B$400,0)),"  "),IFERROR(INDEX('8N'!D$300:D$400,MATCH("*"&amp;H136&amp;"*",'8N'!B$300:B$400,0)),"  "))</f>
        <v>29</v>
      </c>
      <c r="AF136" s="908" t="str">
        <f>IFERROR(INDEX('8M'!C$300:C$400,MATCH("*"&amp;H136&amp;"*",'8M'!B$300:B$400,0)),"  ")</f>
        <v xml:space="preserve">  </v>
      </c>
      <c r="AG136" s="907">
        <f>IFERROR(INDEX('8N'!C$300:C$400,MATCH("*"&amp;H136&amp;"*",'8N'!B$300:B$400,0)),"  ")</f>
        <v>90</v>
      </c>
      <c r="AH136" s="440"/>
      <c r="AI136" s="75" t="str">
        <f>IFERROR(INDEX('9'!C$300:C$400,MATCH("*"&amp;H136&amp;"*",'9'!B$300:B$400,0)),"  ")</f>
        <v xml:space="preserve">  </v>
      </c>
      <c r="AJ136" s="830" t="str">
        <f>IFERROR(INDEX('10'!C$300:C$400,MATCH("*"&amp;H136&amp;"*",'10'!B$300:B$400,0)),"  ")</f>
        <v xml:space="preserve">  </v>
      </c>
      <c r="AK136" s="75" t="str">
        <f>IFERROR(INDEX('11'!C$300:C$400,MATCH("*"&amp;H136&amp;"*",'11'!B$300:B$400,0)),"  ")</f>
        <v xml:space="preserve">  </v>
      </c>
      <c r="AL136" s="75" t="str">
        <f>IFERROR(INDEX('12'!C$300:C$400,MATCH("*"&amp;H136&amp;"*",'12'!B$300:B$400,0)),"  ")</f>
        <v xml:space="preserve">  </v>
      </c>
      <c r="AM136" s="26">
        <f t="shared" ca="1" si="57"/>
        <v>1</v>
      </c>
      <c r="AN136" s="579">
        <f t="shared" ca="1" si="60"/>
        <v>0</v>
      </c>
      <c r="AO136" s="580">
        <f t="shared" ca="1" si="58"/>
        <v>0</v>
      </c>
      <c r="AP136" s="27">
        <f t="shared" ca="1" si="59"/>
        <v>0</v>
      </c>
      <c r="AQ136" s="933">
        <f t="shared" si="46"/>
        <v>2.0000000000000001E-4</v>
      </c>
      <c r="AR136" s="933">
        <f t="shared" ca="1" si="47"/>
        <v>1E-4</v>
      </c>
    </row>
    <row r="137" spans="1:44" x14ac:dyDescent="0.2">
      <c r="A137" s="851">
        <f t="shared" ref="A137:A168" ca="1" si="61">IF(M137=0,"",IF(I137="n","",RANK(B137,B$9:B$201,0)))</f>
        <v>97</v>
      </c>
      <c r="B137" s="77">
        <f t="shared" ref="B137:B168" ca="1" si="62">IF(I137="n",0,M137+10000)</f>
        <v>10021</v>
      </c>
      <c r="C137" s="853" t="str">
        <f t="shared" ca="1" si="44"/>
        <v/>
      </c>
      <c r="D137" s="76">
        <f t="shared" ref="D137:D168" si="63">IF(AND((J137="j"),(I137="n")),M137+10000,IF((I137="n"),N137+10000,0))</f>
        <v>0</v>
      </c>
      <c r="E137" s="855" t="str">
        <f t="shared" ca="1" si="45"/>
        <v/>
      </c>
      <c r="F137" s="899">
        <f t="shared" ref="F137:F168" si="64">IF((J137="j"),O137+10000,0)</f>
        <v>0</v>
      </c>
      <c r="G137" s="897">
        <f t="shared" ref="G137:G157" ca="1" si="65">IF(M137=0,"",RANK(M137,$M$9:$M$201,0))</f>
        <v>129</v>
      </c>
      <c r="H137" s="177" t="s">
        <v>861</v>
      </c>
      <c r="I137" s="38"/>
      <c r="J137" s="589"/>
      <c r="K137" s="586" t="s">
        <v>718</v>
      </c>
      <c r="L137" s="587"/>
      <c r="M137" s="857">
        <f ca="1">(IF(COUNT(V137,AA137,AD137,AI137,AJ137,AL137)&lt;5,SUM(V137,AA137,AD137,AI137,AJ137,AL137),SUM(LARGE((V137,AA137,AD137,AI137,AJ137,AL137),{1;2;3;4;5}))))+(IF(COUNT(U137,W137,AB137,AC137,AE137,AK137)&lt;5,SUM(U137,W137,AB137,AC137,AE137,AK137),SUM(LARGE((U137,W137,AB137,AC137,AE137,AK137),{1;2;3;4;5}))))+T137</f>
        <v>21</v>
      </c>
      <c r="N137" s="862">
        <f>IF(I137="n",((IF(COUNT(V137,AA137,AD137,AI137,AJ137,AL137)&lt;5,SUM(V137,AA137,AD137,AI137,AJ137,AL137),SUM(LARGE((V137,AA137,AD137,AI137,AJ137,AL137),{1;2;3;4;5}))))+(IF(COUNT(U137,Y137,AB137,AC137,AG137,AK137)&lt;5,SUM(U137,Y137,AB137,AC137,AG137,AK137),SUM(LARGE((U137,Y137,AB137,AC137,AG137,AK137),{1;2;3;4;5}))))+T137),0)</f>
        <v>0</v>
      </c>
      <c r="O137" s="863">
        <f>IF(J137="j",((IF(COUNT(V137,AA137,AD137,AI137,AJ137,AL137)&lt;5,SUM(V137,AA137,AD137,AI137,AJ137,AL137),SUM(LARGE((V137,AA137,AD137,AI137,AJ137,AL137),{1;2;3;4;5}))))+(IF(COUNT(U137,W137,AB137,AC137,AE137,AK137)&lt;5,SUM(U137,W137,AB137,AC137,AE137,AK137),SUM(LARGE((U137,W137,AB137,AC137,AE137,AK137),{1;2;3;4;5}))))+T137),0)</f>
        <v>0</v>
      </c>
      <c r="P137" s="886" t="str">
        <f t="shared" ref="P137:P168" ca="1" si="66">TEXT(M137,"000,0")</f>
        <v>021,0</v>
      </c>
      <c r="Q137" s="890">
        <f t="shared" ref="Q137:Q168" si="67">COUNTIF(H$9:H$201,"&gt;="&amp;H137)</f>
        <v>62</v>
      </c>
      <c r="R137" s="886" t="str">
        <f t="shared" ref="R137:R168" ca="1" si="68">TEXT(M137,"0000,0")&amp;"-"&amp;TEXT(Q137,"000")</f>
        <v>0021,0-062</v>
      </c>
      <c r="S137" s="889">
        <f t="shared" ref="S137:S168" ca="1" si="69">COUNTIF(R$9:R$201,"&lt;="&amp;R137)</f>
        <v>65</v>
      </c>
      <c r="T137" s="847"/>
      <c r="U137" s="75" t="str">
        <f>IFERROR(INDEX('1'!C$300:C$400,MATCH("*"&amp;H137&amp;"*",'1'!B$300:B$400,0)),"  ")</f>
        <v xml:space="preserve">  </v>
      </c>
      <c r="V137" s="199" t="str">
        <f>IFERROR(INDEX('2'!C$300:C$400,MATCH("*"&amp;H137&amp;"*",'2'!B$300:B$400,0)),"  ")</f>
        <v xml:space="preserve">  </v>
      </c>
      <c r="W137" s="199" t="str">
        <f ca="1">IF(I137="",IFERROR(INDEX('3M'!C$300:C$400,MATCH("*"&amp;H137&amp;"*",'3M'!B$300:B$400,0)),"  "),IFERROR(INDEX('3N'!D$300:D$400,MATCH("*"&amp;H137&amp;"*",'3N'!B$300:B$400,0)),"  "))</f>
        <v xml:space="preserve">  </v>
      </c>
      <c r="X137" s="908" t="str">
        <f ca="1">IFERROR(INDEX('3M'!C$300:C$400,MATCH("*"&amp;H137&amp;"*",'3M'!B$300:B$400,0)),"  ")</f>
        <v xml:space="preserve">  </v>
      </c>
      <c r="Y137" s="907" t="str">
        <f ca="1">IFERROR(INDEX('3N'!C$300:C$400,MATCH("*"&amp;H137&amp;"*",'3N'!B$300:B$400,0)),"  ")</f>
        <v xml:space="preserve">  </v>
      </c>
      <c r="Z137" s="440"/>
      <c r="AA137" s="75" t="str">
        <f>IFERROR(INDEX('4'!C$300:C$400,MATCH("*"&amp;H137&amp;"*",'4'!B$300:B$400,0)),"  ")</f>
        <v xml:space="preserve">  </v>
      </c>
      <c r="AB137" s="75" t="str">
        <f>IFERROR(INDEX('5'!C$300:C$400,MATCH("*"&amp;H137&amp;"*",'5'!B$300:B$400,0)),"  ")</f>
        <v xml:space="preserve">  </v>
      </c>
      <c r="AC137" s="75" t="str">
        <f>IFERROR(INDEX('6'!C$300:C$400,MATCH("*"&amp;H137&amp;"*",'6'!B$300:B$400,0)),"  ")</f>
        <v xml:space="preserve">  </v>
      </c>
      <c r="AD137" s="75" t="str">
        <f>IFERROR(INDEX('7'!C$300:C$400,MATCH("*"&amp;H137&amp;"*",'7'!B$300:B$400,0)),"  ")</f>
        <v xml:space="preserve">  </v>
      </c>
      <c r="AE137" s="75">
        <f>IF(I137="",IFERROR(INDEX('8M'!C$300:C$400,MATCH("*"&amp;H137&amp;"*",'8M'!B$300:B$400,0)),"  "),IFERROR(INDEX('8N'!D$300:D$400,MATCH("*"&amp;H137&amp;"*",'8N'!B$300:B$400,0)),"  "))</f>
        <v>21</v>
      </c>
      <c r="AF137" s="908">
        <f>IFERROR(INDEX('8M'!C$300:C$400,MATCH("*"&amp;H137&amp;"*",'8M'!B$300:B$400,0)),"  ")</f>
        <v>21</v>
      </c>
      <c r="AG137" s="907" t="str">
        <f>IFERROR(INDEX('8N'!C$300:C$400,MATCH("*"&amp;H137&amp;"*",'8N'!B$300:B$400,0)),"  ")</f>
        <v xml:space="preserve">  </v>
      </c>
      <c r="AH137" s="440"/>
      <c r="AI137" s="75" t="str">
        <f>IFERROR(INDEX('9'!C$300:C$400,MATCH("*"&amp;H137&amp;"*",'9'!B$300:B$400,0)),"  ")</f>
        <v xml:space="preserve">  </v>
      </c>
      <c r="AJ137" s="830" t="str">
        <f>IFERROR(INDEX('10'!C$300:C$400,MATCH("*"&amp;H137&amp;"*",'10'!B$300:B$400,0)),"  ")</f>
        <v xml:space="preserve">  </v>
      </c>
      <c r="AK137" s="75" t="str">
        <f>IFERROR(INDEX('11'!C$300:C$400,MATCH("*"&amp;H137&amp;"*",'11'!B$300:B$400,0)),"  ")</f>
        <v xml:space="preserve">  </v>
      </c>
      <c r="AL137" s="75" t="str">
        <f>IFERROR(INDEX('12'!C$300:C$400,MATCH("*"&amp;H137&amp;"*",'12'!B$300:B$400,0)),"  ")</f>
        <v xml:space="preserve">  </v>
      </c>
      <c r="AM137" s="26">
        <f t="shared" ref="AM137:AM168" ca="1" si="70">COUNTIF(U137:W137,"&gt;=0")+COUNTIF(AA137:AE137,"&gt;=0")+COUNTIF(AI137:AL137,"&gt;=0")</f>
        <v>1</v>
      </c>
      <c r="AN137" s="579">
        <f t="shared" ca="1" si="60"/>
        <v>0</v>
      </c>
      <c r="AO137" s="580">
        <f t="shared" ref="AO137:AO168" ca="1" si="71">COUNTIF(V137,"=115")+COUNTIF(AA137,"=115")+COUNTIF(AD137,"=115")+COUNTIF(AI137,"=115")+COUNTIF(AJ137,"=115")+COUNTIF(AL137,"=115")+COUNTIF(U137:AL137,"=173")</f>
        <v>0</v>
      </c>
      <c r="AP137" s="27">
        <f t="shared" ref="AP137:AP168" ca="1" si="72">COUNTIF(U137:V137,"=173")+COUNTIF(X137:AD137,"=173")+COUNTIF(AF137:AL137,"=173")</f>
        <v>0</v>
      </c>
      <c r="AQ137" s="933">
        <f t="shared" si="46"/>
        <v>2.0000000000000001E-4</v>
      </c>
      <c r="AR137" s="933">
        <f t="shared" ca="1" si="47"/>
        <v>1E-4</v>
      </c>
    </row>
    <row r="138" spans="1:44" x14ac:dyDescent="0.2">
      <c r="A138" s="851">
        <f t="shared" ca="1" si="61"/>
        <v>98</v>
      </c>
      <c r="B138" s="77">
        <f t="shared" ca="1" si="62"/>
        <v>10019</v>
      </c>
      <c r="C138" s="853" t="str">
        <f t="shared" ref="C138:C201" ca="1" si="73">IF(M138=0,"",IF(I138="n",RANK(D138,D$9:D$201,0),""))</f>
        <v/>
      </c>
      <c r="D138" s="76">
        <f t="shared" si="63"/>
        <v>0</v>
      </c>
      <c r="E138" s="855" t="str">
        <f t="shared" ref="E138:E201" ca="1" si="74">IF(M138=0,"",IF(J138="j",RANK(F138,F$9:F$201,0),""))</f>
        <v/>
      </c>
      <c r="F138" s="899">
        <f t="shared" si="64"/>
        <v>0</v>
      </c>
      <c r="G138" s="897">
        <f t="shared" ca="1" si="65"/>
        <v>130</v>
      </c>
      <c r="H138" s="177" t="s">
        <v>939</v>
      </c>
      <c r="I138" s="38"/>
      <c r="J138" s="585"/>
      <c r="K138" s="586" t="s">
        <v>718</v>
      </c>
      <c r="L138" s="588"/>
      <c r="M138" s="857">
        <f ca="1">(IF(COUNT(V138,AA138,AD138,AI138,AJ138,AL138)&lt;5,SUM(V138,AA138,AD138,AI138,AJ138,AL138),SUM(LARGE((V138,AA138,AD138,AI138,AJ138,AL138),{1;2;3;4;5}))))+(IF(COUNT(U138,W138,AB138,AC138,AE138,AK138)&lt;5,SUM(U138,W138,AB138,AC138,AE138,AK138),SUM(LARGE((U138,W138,AB138,AC138,AE138,AK138),{1;2;3;4;5}))))+T138</f>
        <v>19</v>
      </c>
      <c r="N138" s="862">
        <f>IF(I138="n",((IF(COUNT(V138,AA138,AD138,AI138,AJ138,AL138)&lt;5,SUM(V138,AA138,AD138,AI138,AJ138,AL138),SUM(LARGE((V138,AA138,AD138,AI138,AJ138,AL138),{1;2;3;4;5}))))+(IF(COUNT(U138,Y138,AB138,AC138,AG138,AK138)&lt;5,SUM(U138,Y138,AB138,AC138,AG138,AK138),SUM(LARGE((U138,Y138,AB138,AC138,AG138,AK138),{1;2;3;4;5}))))+T138),0)</f>
        <v>0</v>
      </c>
      <c r="O138" s="863">
        <f>IF(J138="j",((IF(COUNT(V138,AA138,AD138,AI138,AJ138,AL138)&lt;5,SUM(V138,AA138,AD138,AI138,AJ138,AL138),SUM(LARGE((V138,AA138,AD138,AI138,AJ138,AL138),{1;2;3;4;5}))))+(IF(COUNT(U138,W138,AB138,AC138,AE138,AK138)&lt;5,SUM(U138,W138,AB138,AC138,AE138,AK138),SUM(LARGE((U138,W138,AB138,AC138,AE138,AK138),{1;2;3;4;5}))))+T138),0)</f>
        <v>0</v>
      </c>
      <c r="P138" s="886" t="str">
        <f t="shared" ca="1" si="66"/>
        <v>019,0</v>
      </c>
      <c r="Q138" s="890">
        <f t="shared" si="67"/>
        <v>161</v>
      </c>
      <c r="R138" s="886" t="str">
        <f t="shared" ca="1" si="68"/>
        <v>0019,0-161</v>
      </c>
      <c r="S138" s="889">
        <f t="shared" ca="1" si="69"/>
        <v>64</v>
      </c>
      <c r="T138" s="847"/>
      <c r="U138" s="75" t="str">
        <f>IFERROR(INDEX('1'!C$300:C$400,MATCH("*"&amp;H138&amp;"*",'1'!B$300:B$400,0)),"  ")</f>
        <v xml:space="preserve">  </v>
      </c>
      <c r="V138" s="199" t="str">
        <f>IFERROR(INDEX('2'!C$300:C$400,MATCH("*"&amp;H138&amp;"*",'2'!B$300:B$400,0)),"  ")</f>
        <v xml:space="preserve">  </v>
      </c>
      <c r="W138" s="199" t="str">
        <f ca="1">IF(I138="",IFERROR(INDEX('3M'!C$300:C$400,MATCH("*"&amp;H138&amp;"*",'3M'!B$300:B$400,0)),"  "),IFERROR(INDEX('3N'!D$300:D$400,MATCH("*"&amp;H138&amp;"*",'3N'!B$300:B$400,0)),"  "))</f>
        <v xml:space="preserve">  </v>
      </c>
      <c r="X138" s="908" t="str">
        <f ca="1">IFERROR(INDEX('3M'!C$300:C$400,MATCH("*"&amp;H138&amp;"*",'3M'!B$300:B$400,0)),"  ")</f>
        <v xml:space="preserve">  </v>
      </c>
      <c r="Y138" s="907" t="str">
        <f ca="1">IFERROR(INDEX('3N'!C$300:C$400,MATCH("*"&amp;H138&amp;"*",'3N'!B$300:B$400,0)),"  ")</f>
        <v xml:space="preserve">  </v>
      </c>
      <c r="Z138" s="440"/>
      <c r="AA138" s="75" t="str">
        <f>IFERROR(INDEX('4'!C$300:C$400,MATCH("*"&amp;H138&amp;"*",'4'!B$300:B$400,0)),"  ")</f>
        <v xml:space="preserve">  </v>
      </c>
      <c r="AB138" s="75" t="str">
        <f>IFERROR(INDEX('5'!C$300:C$400,MATCH("*"&amp;H138&amp;"*",'5'!B$300:B$400,0)),"  ")</f>
        <v xml:space="preserve">  </v>
      </c>
      <c r="AC138" s="75" t="str">
        <f>IFERROR(INDEX('6'!C$300:C$400,MATCH("*"&amp;H138&amp;"*",'6'!B$300:B$400,0)),"  ")</f>
        <v xml:space="preserve">  </v>
      </c>
      <c r="AD138" s="75" t="str">
        <f>IFERROR(INDEX('7'!C$300:C$400,MATCH("*"&amp;H138&amp;"*",'7'!B$300:B$400,0)),"  ")</f>
        <v xml:space="preserve">  </v>
      </c>
      <c r="AE138" s="75" t="str">
        <f>IF(I138="",IFERROR(INDEX('8M'!C$300:C$400,MATCH("*"&amp;H138&amp;"*",'8M'!B$300:B$400,0)),"  "),IFERROR(INDEX('8N'!D$300:D$400,MATCH("*"&amp;H138&amp;"*",'8N'!B$300:B$400,0)),"  "))</f>
        <v xml:space="preserve">  </v>
      </c>
      <c r="AF138" s="908" t="str">
        <f>IFERROR(INDEX('8M'!C$300:C$400,MATCH("*"&amp;H138&amp;"*",'8M'!B$300:B$400,0)),"  ")</f>
        <v xml:space="preserve">  </v>
      </c>
      <c r="AG138" s="907" t="str">
        <f>IFERROR(INDEX('8N'!C$300:C$400,MATCH("*"&amp;H138&amp;"*",'8N'!B$300:B$400,0)),"  ")</f>
        <v xml:space="preserve">  </v>
      </c>
      <c r="AH138" s="440"/>
      <c r="AI138" s="75" t="str">
        <f>IFERROR(INDEX('9'!C$300:C$400,MATCH("*"&amp;H138&amp;"*",'9'!B$300:B$400,0)),"  ")</f>
        <v xml:space="preserve">  </v>
      </c>
      <c r="AJ138" s="830" t="str">
        <f>IFERROR(INDEX('10'!C$300:C$400,MATCH("*"&amp;H138&amp;"*",'10'!B$300:B$400,0)),"  ")</f>
        <v xml:space="preserve">  </v>
      </c>
      <c r="AK138" s="75" t="str">
        <f>IFERROR(INDEX('11'!C$300:C$400,MATCH("*"&amp;H138&amp;"*",'11'!B$300:B$400,0)),"  ")</f>
        <v xml:space="preserve">  </v>
      </c>
      <c r="AL138" s="75">
        <f>IFERROR(INDEX('12'!C$300:C$400,MATCH("*"&amp;H138&amp;"*",'12'!B$300:B$400,0)),"  ")</f>
        <v>19</v>
      </c>
      <c r="AM138" s="26">
        <f t="shared" ca="1" si="70"/>
        <v>1</v>
      </c>
      <c r="AN138" s="579">
        <f t="shared" ca="1" si="60"/>
        <v>0</v>
      </c>
      <c r="AO138" s="580">
        <f t="shared" ca="1" si="71"/>
        <v>0</v>
      </c>
      <c r="AP138" s="27">
        <f t="shared" ca="1" si="72"/>
        <v>0</v>
      </c>
      <c r="AQ138" s="933">
        <f t="shared" ref="AQ138:AQ201" si="75">MIN(IF($V138="  ",FALSE,$V138)+$V$8/10000,IF($AA138="  ",FALSE,$AA138)+$AA$8/10000,IF($AD138="  ",FALSE,$AD138)+$AD$8/10000,IF($AI138="  ",FALSE,$AI138)+$AI$8/10000,IF($AJ138="  ",FALSE,$AJ138)+$AJ$8/10000,IF($AL138="  ",FALSE,$AL138)+$AL$8/10000)</f>
        <v>2.0000000000000001E-4</v>
      </c>
      <c r="AR138" s="933">
        <f t="shared" ref="AR138:AR201" ca="1" si="76">MIN(IF($U138="  ",FALSE,$U138)+$U$8/10000,IF($W138="  ",FALSE,$W138)+$W$8/10000,IF($AB138="  ",FALSE,$AB138)+$AB$8/10000,IF($AC138="  ",FALSE,$AC138)+$AC$8/10000,IF($AE138="  ",FALSE,$AE138)+$AE$8/10000,IF($AK138="  ",FALSE,$AK138)+$AK$8/10000)</f>
        <v>1E-4</v>
      </c>
    </row>
    <row r="139" spans="1:44" x14ac:dyDescent="0.2">
      <c r="A139" s="851" t="str">
        <f t="shared" ca="1" si="61"/>
        <v/>
      </c>
      <c r="B139" s="77">
        <f t="shared" si="62"/>
        <v>0</v>
      </c>
      <c r="C139" s="853">
        <f t="shared" ca="1" si="73"/>
        <v>33</v>
      </c>
      <c r="D139" s="76">
        <f t="shared" ca="1" si="63"/>
        <v>10010</v>
      </c>
      <c r="E139" s="855">
        <f t="shared" ca="1" si="74"/>
        <v>9</v>
      </c>
      <c r="F139" s="899">
        <f t="shared" ca="1" si="64"/>
        <v>10010</v>
      </c>
      <c r="G139" s="897">
        <f t="shared" ca="1" si="65"/>
        <v>131</v>
      </c>
      <c r="H139" s="177" t="s">
        <v>940</v>
      </c>
      <c r="I139" s="38" t="s">
        <v>32</v>
      </c>
      <c r="J139" s="589" t="s">
        <v>45</v>
      </c>
      <c r="K139" s="586"/>
      <c r="L139" s="588"/>
      <c r="M139" s="857">
        <f ca="1">(IF(COUNT(V139,AA139,AD139,AI139,AJ139,AL139)&lt;5,SUM(V139,AA139,AD139,AI139,AJ139,AL139),SUM(LARGE((V139,AA139,AD139,AI139,AJ139,AL139),{1;2;3;4;5}))))+(IF(COUNT(U139,W139,AB139,AC139,AE139,AK139)&lt;5,SUM(U139,W139,AB139,AC139,AE139,AK139),SUM(LARGE((U139,W139,AB139,AC139,AE139,AK139),{1;2;3;4;5}))))+T139</f>
        <v>10</v>
      </c>
      <c r="N139" s="862">
        <f ca="1">IF(I139="n",((IF(COUNT(V139,AA139,AD139,AI139,AJ139,AL139)&lt;5,SUM(V139,AA139,AD139,AI139,AJ139,AL139),SUM(LARGE((V139,AA139,AD139,AI139,AJ139,AL139),{1;2;3;4;5}))))+(IF(COUNT(U139,Y139,AB139,AC139,AG139,AK139)&lt;5,SUM(U139,Y139,AB139,AC139,AG139,AK139),SUM(LARGE((U139,Y139,AB139,AC139,AG139,AK139),{1;2;3;4;5}))))+T139),0)</f>
        <v>10</v>
      </c>
      <c r="O139" s="863">
        <f ca="1">IF(J139="j",((IF(COUNT(V139,AA139,AD139,AI139,AJ139,AL139)&lt;5,SUM(V139,AA139,AD139,AI139,AJ139,AL139),SUM(LARGE((V139,AA139,AD139,AI139,AJ139,AL139),{1;2;3;4;5}))))+(IF(COUNT(U139,W139,AB139,AC139,AE139,AK139)&lt;5,SUM(U139,W139,AB139,AC139,AE139,AK139),SUM(LARGE((U139,W139,AB139,AC139,AE139,AK139),{1;2;3;4;5}))))+T139),0)</f>
        <v>10</v>
      </c>
      <c r="P139" s="886" t="str">
        <f t="shared" ca="1" si="66"/>
        <v>010,0</v>
      </c>
      <c r="Q139" s="890">
        <f t="shared" si="67"/>
        <v>151</v>
      </c>
      <c r="R139" s="886" t="str">
        <f t="shared" ca="1" si="68"/>
        <v>0010,0-151</v>
      </c>
      <c r="S139" s="889">
        <f t="shared" ca="1" si="69"/>
        <v>63</v>
      </c>
      <c r="T139" s="847"/>
      <c r="U139" s="75" t="str">
        <f>IFERROR(INDEX('1'!C$300:C$400,MATCH("*"&amp;H139&amp;"*",'1'!B$300:B$400,0)),"  ")</f>
        <v xml:space="preserve">  </v>
      </c>
      <c r="V139" s="199" t="str">
        <f>IFERROR(INDEX('2'!C$300:C$400,MATCH("*"&amp;H139&amp;"*",'2'!B$300:B$400,0)),"  ")</f>
        <v xml:space="preserve">  </v>
      </c>
      <c r="W139" s="199" t="str">
        <f ca="1">IF(I139="",IFERROR(INDEX('3M'!C$300:C$400,MATCH("*"&amp;H139&amp;"*",'3M'!B$300:B$400,0)),"  "),IFERROR(INDEX('3N'!D$300:D$400,MATCH("*"&amp;H139&amp;"*",'3N'!B$300:B$400,0)),"  "))</f>
        <v xml:space="preserve">  </v>
      </c>
      <c r="X139" s="908" t="str">
        <f ca="1">IFERROR(INDEX('3M'!C$300:C$400,MATCH("*"&amp;H139&amp;"*",'3M'!B$300:B$400,0)),"  ")</f>
        <v xml:space="preserve">  </v>
      </c>
      <c r="Y139" s="907" t="str">
        <f ca="1">IFERROR(INDEX('3N'!C$300:C$400,MATCH("*"&amp;H139&amp;"*",'3N'!B$300:B$400,0)),"  ")</f>
        <v xml:space="preserve">  </v>
      </c>
      <c r="Z139" s="440"/>
      <c r="AA139" s="75" t="str">
        <f>IFERROR(INDEX('4'!C$300:C$400,MATCH("*"&amp;H139&amp;"*",'4'!B$300:B$400,0)),"  ")</f>
        <v xml:space="preserve">  </v>
      </c>
      <c r="AB139" s="75" t="str">
        <f>IFERROR(INDEX('5'!C$300:C$400,MATCH("*"&amp;H139&amp;"*",'5'!B$300:B$400,0)),"  ")</f>
        <v xml:space="preserve">  </v>
      </c>
      <c r="AC139" s="75" t="str">
        <f>IFERROR(INDEX('6'!C$300:C$400,MATCH("*"&amp;H139&amp;"*",'6'!B$300:B$400,0)),"  ")</f>
        <v xml:space="preserve">  </v>
      </c>
      <c r="AD139" s="75" t="str">
        <f>IFERROR(INDEX('7'!C$300:C$400,MATCH("*"&amp;H139&amp;"*",'7'!B$300:B$400,0)),"  ")</f>
        <v xml:space="preserve">  </v>
      </c>
      <c r="AE139" s="75" t="str">
        <f>IF(I139="",IFERROR(INDEX('8M'!C$300:C$400,MATCH("*"&amp;H139&amp;"*",'8M'!B$300:B$400,0)),"  "),IFERROR(INDEX('8N'!D$300:D$400,MATCH("*"&amp;H139&amp;"*",'8N'!B$300:B$400,0)),"  "))</f>
        <v xml:space="preserve">  </v>
      </c>
      <c r="AF139" s="908" t="str">
        <f>IFERROR(INDEX('8M'!C$300:C$400,MATCH("*"&amp;H139&amp;"*",'8M'!B$300:B$400,0)),"  ")</f>
        <v xml:space="preserve">  </v>
      </c>
      <c r="AG139" s="907" t="str">
        <f>IFERROR(INDEX('8N'!C$300:C$400,MATCH("*"&amp;H139&amp;"*",'8N'!B$300:B$400,0)),"  ")</f>
        <v xml:space="preserve">  </v>
      </c>
      <c r="AH139" s="440"/>
      <c r="AI139" s="75" t="str">
        <f>IFERROR(INDEX('9'!C$300:C$400,MATCH("*"&amp;H139&amp;"*",'9'!B$300:B$400,0)),"  ")</f>
        <v xml:space="preserve">  </v>
      </c>
      <c r="AJ139" s="830" t="str">
        <f>IFERROR(INDEX('10'!C$300:C$400,MATCH("*"&amp;H139&amp;"*",'10'!B$300:B$400,0)),"  ")</f>
        <v xml:space="preserve">  </v>
      </c>
      <c r="AK139" s="75" t="str">
        <f>IFERROR(INDEX('11'!C$300:C$400,MATCH("*"&amp;H139&amp;"*",'11'!B$300:B$400,0)),"  ")</f>
        <v xml:space="preserve">  </v>
      </c>
      <c r="AL139" s="75">
        <f>IFERROR(INDEX('12'!C$300:C$400,MATCH("*"&amp;H139&amp;"*",'12'!B$300:B$400,0)),"  ")</f>
        <v>10</v>
      </c>
      <c r="AM139" s="26">
        <f t="shared" ca="1" si="70"/>
        <v>1</v>
      </c>
      <c r="AN139" s="579">
        <f t="shared" ca="1" si="60"/>
        <v>0</v>
      </c>
      <c r="AO139" s="580">
        <f t="shared" ca="1" si="71"/>
        <v>0</v>
      </c>
      <c r="AP139" s="27">
        <f t="shared" ca="1" si="72"/>
        <v>0</v>
      </c>
      <c r="AQ139" s="933">
        <f t="shared" si="75"/>
        <v>2.0000000000000001E-4</v>
      </c>
      <c r="AR139" s="933">
        <f t="shared" ca="1" si="76"/>
        <v>1E-4</v>
      </c>
    </row>
    <row r="140" spans="1:44" x14ac:dyDescent="0.2">
      <c r="A140" s="851">
        <f t="shared" ca="1" si="61"/>
        <v>99</v>
      </c>
      <c r="B140" s="77">
        <f t="shared" ca="1" si="62"/>
        <v>10010</v>
      </c>
      <c r="C140" s="853" t="str">
        <f t="shared" ca="1" si="73"/>
        <v/>
      </c>
      <c r="D140" s="76">
        <f t="shared" si="63"/>
        <v>0</v>
      </c>
      <c r="E140" s="855" t="str">
        <f t="shared" ca="1" si="74"/>
        <v/>
      </c>
      <c r="F140" s="899">
        <f t="shared" si="64"/>
        <v>0</v>
      </c>
      <c r="G140" s="897">
        <f t="shared" ca="1" si="65"/>
        <v>131</v>
      </c>
      <c r="H140" s="133" t="s">
        <v>68</v>
      </c>
      <c r="I140" s="38"/>
      <c r="J140" s="585"/>
      <c r="K140" s="586"/>
      <c r="L140" s="587"/>
      <c r="M140" s="857">
        <f ca="1">(IF(COUNT(V140,AA140,AD140,AI140,AJ140,AL140)&lt;5,SUM(V140,AA140,AD140,AI140,AJ140,AL140),SUM(LARGE((V140,AA140,AD140,AI140,AJ140,AL140),{1;2;3;4;5}))))+(IF(COUNT(U140,W140,AB140,AC140,AE140,AK140)&lt;5,SUM(U140,W140,AB140,AC140,AE140,AK140),SUM(LARGE((U140,W140,AB140,AC140,AE140,AK140),{1;2;3;4;5}))))+T140</f>
        <v>10</v>
      </c>
      <c r="N140" s="862">
        <f>IF(I140="n",((IF(COUNT(V140,AA140,AD140,AI140,AJ140,AL140)&lt;5,SUM(V140,AA140,AD140,AI140,AJ140,AL140),SUM(LARGE((V140,AA140,AD140,AI140,AJ140,AL140),{1;2;3;4;5}))))+(IF(COUNT(U140,Y140,AB140,AC140,AG140,AK140)&lt;5,SUM(U140,Y140,AB140,AC140,AG140,AK140),SUM(LARGE((U140,Y140,AB140,AC140,AG140,AK140),{1;2;3;4;5}))))+T140),0)</f>
        <v>0</v>
      </c>
      <c r="O140" s="863">
        <f>IF(J140="j",((IF(COUNT(V140,AA140,AD140,AI140,AJ140,AL140)&lt;5,SUM(V140,AA140,AD140,AI140,AJ140,AL140),SUM(LARGE((V140,AA140,AD140,AI140,AJ140,AL140),{1;2;3;4;5}))))+(IF(COUNT(U140,W140,AB140,AC140,AE140,AK140)&lt;5,SUM(U140,W140,AB140,AC140,AE140,AK140),SUM(LARGE((U140,W140,AB140,AC140,AE140,AK140),{1;2;3;4;5}))))+T140),0)</f>
        <v>0</v>
      </c>
      <c r="P140" s="886" t="str">
        <f t="shared" ca="1" si="66"/>
        <v>010,0</v>
      </c>
      <c r="Q140" s="890">
        <f t="shared" si="67"/>
        <v>57</v>
      </c>
      <c r="R140" s="886" t="str">
        <f t="shared" ca="1" si="68"/>
        <v>0010,0-057</v>
      </c>
      <c r="S140" s="889">
        <f t="shared" ca="1" si="69"/>
        <v>62</v>
      </c>
      <c r="T140" s="847">
        <v>10</v>
      </c>
      <c r="U140" s="75" t="str">
        <f>IFERROR(INDEX('1'!C$300:C$400,MATCH("*"&amp;H140&amp;"*",'1'!B$300:B$400,0)),"  ")</f>
        <v xml:space="preserve">  </v>
      </c>
      <c r="V140" s="199" t="str">
        <f>IFERROR(INDEX('2'!C$300:C$400,MATCH("*"&amp;H140&amp;"*",'2'!B$300:B$400,0)),"  ")</f>
        <v xml:space="preserve">  </v>
      </c>
      <c r="W140" s="199" t="str">
        <f ca="1">IF(I140="",IFERROR(INDEX('3M'!C$300:C$400,MATCH("*"&amp;H140&amp;"*",'3M'!B$300:B$400,0)),"  "),IFERROR(INDEX('3N'!D$300:D$400,MATCH("*"&amp;H140&amp;"*",'3N'!B$300:B$400,0)),"  "))</f>
        <v xml:space="preserve">  </v>
      </c>
      <c r="X140" s="908" t="str">
        <f ca="1">IFERROR(INDEX('3M'!C$300:C$400,MATCH("*"&amp;H140&amp;"*",'3M'!B$300:B$400,0)),"  ")</f>
        <v xml:space="preserve">  </v>
      </c>
      <c r="Y140" s="907" t="str">
        <f ca="1">IFERROR(INDEX('3N'!C$300:C$400,MATCH("*"&amp;H140&amp;"*",'3N'!B$300:B$400,0)),"  ")</f>
        <v xml:space="preserve">  </v>
      </c>
      <c r="Z140" s="440"/>
      <c r="AA140" s="75" t="str">
        <f>IFERROR(INDEX('4'!C$300:C$400,MATCH("*"&amp;H140&amp;"*",'4'!B$300:B$400,0)),"  ")</f>
        <v xml:space="preserve">  </v>
      </c>
      <c r="AB140" s="75" t="str">
        <f>IFERROR(INDEX('5'!C$300:C$400,MATCH("*"&amp;H140&amp;"*",'5'!B$300:B$400,0)),"  ")</f>
        <v xml:space="preserve">  </v>
      </c>
      <c r="AC140" s="75" t="str">
        <f>IFERROR(INDEX('6'!C$300:C$400,MATCH("*"&amp;H140&amp;"*",'6'!B$300:B$400,0)),"  ")</f>
        <v xml:space="preserve">  </v>
      </c>
      <c r="AD140" s="75" t="str">
        <f>IFERROR(INDEX('7'!C$300:C$400,MATCH("*"&amp;H140&amp;"*",'7'!B$300:B$400,0)),"  ")</f>
        <v xml:space="preserve">  </v>
      </c>
      <c r="AE140" s="75" t="str">
        <f>IF(I140="",IFERROR(INDEX('8M'!C$300:C$400,MATCH("*"&amp;H140&amp;"*",'8M'!B$300:B$400,0)),"  "),IFERROR(INDEX('8N'!D$300:D$400,MATCH("*"&amp;H140&amp;"*",'8N'!B$300:B$400,0)),"  "))</f>
        <v xml:space="preserve">  </v>
      </c>
      <c r="AF140" s="908" t="str">
        <f>IFERROR(INDEX('8M'!C$300:C$400,MATCH("*"&amp;H140&amp;"*",'8M'!B$300:B$400,0)),"  ")</f>
        <v xml:space="preserve">  </v>
      </c>
      <c r="AG140" s="907" t="str">
        <f>IFERROR(INDEX('8N'!C$300:C$400,MATCH("*"&amp;H140&amp;"*",'8N'!B$300:B$400,0)),"  ")</f>
        <v xml:space="preserve">  </v>
      </c>
      <c r="AH140" s="440"/>
      <c r="AI140" s="75" t="str">
        <f>IFERROR(INDEX('9'!C$300:C$400,MATCH("*"&amp;H140&amp;"*",'9'!B$300:B$400,0)),"  ")</f>
        <v xml:space="preserve">  </v>
      </c>
      <c r="AJ140" s="830" t="str">
        <f>IFERROR(INDEX('10'!C$300:C$400,MATCH("*"&amp;H140&amp;"*",'10'!B$300:B$400,0)),"  ")</f>
        <v xml:space="preserve">  </v>
      </c>
      <c r="AK140" s="75" t="str">
        <f>IFERROR(INDEX('11'!C$300:C$400,MATCH("*"&amp;H140&amp;"*",'11'!B$300:B$400,0)),"  ")</f>
        <v xml:space="preserve">  </v>
      </c>
      <c r="AL140" s="75" t="str">
        <f>IFERROR(INDEX('12'!C$300:C$400,MATCH("*"&amp;H140&amp;"*",'12'!B$300:B$400,0)),"  ")</f>
        <v xml:space="preserve">  </v>
      </c>
      <c r="AM140" s="26">
        <f t="shared" ca="1" si="70"/>
        <v>0</v>
      </c>
      <c r="AN140" s="579">
        <f t="shared" ca="1" si="60"/>
        <v>0</v>
      </c>
      <c r="AO140" s="580">
        <f t="shared" ca="1" si="71"/>
        <v>0</v>
      </c>
      <c r="AP140" s="27">
        <f t="shared" ca="1" si="72"/>
        <v>0</v>
      </c>
      <c r="AQ140" s="933">
        <f t="shared" si="75"/>
        <v>2.0000000000000001E-4</v>
      </c>
      <c r="AR140" s="933">
        <f t="shared" ca="1" si="76"/>
        <v>1E-4</v>
      </c>
    </row>
    <row r="141" spans="1:44" x14ac:dyDescent="0.2">
      <c r="A141" s="851">
        <f t="shared" ca="1" si="61"/>
        <v>100</v>
      </c>
      <c r="B141" s="77">
        <f t="shared" ca="1" si="62"/>
        <v>10002</v>
      </c>
      <c r="C141" s="853" t="str">
        <f t="shared" ca="1" si="73"/>
        <v/>
      </c>
      <c r="D141" s="76">
        <f t="shared" si="63"/>
        <v>0</v>
      </c>
      <c r="E141" s="855" t="str">
        <f t="shared" ca="1" si="74"/>
        <v/>
      </c>
      <c r="F141" s="899">
        <f t="shared" si="64"/>
        <v>0</v>
      </c>
      <c r="G141" s="897">
        <f t="shared" ca="1" si="65"/>
        <v>133</v>
      </c>
      <c r="H141" s="133" t="s">
        <v>299</v>
      </c>
      <c r="I141" s="38"/>
      <c r="J141" s="585"/>
      <c r="K141" s="586"/>
      <c r="L141" s="587"/>
      <c r="M141" s="857">
        <f ca="1">(IF(COUNT(V141,AA141,AD141,AI141,AJ141,AL141)&lt;5,SUM(V141,AA141,AD141,AI141,AJ141,AL141),SUM(LARGE((V141,AA141,AD141,AI141,AJ141,AL141),{1;2;3;4;5}))))+(IF(COUNT(U141,W141,AB141,AC141,AE141,AK141)&lt;5,SUM(U141,W141,AB141,AC141,AE141,AK141),SUM(LARGE((U141,W141,AB141,AC141,AE141,AK141),{1;2;3;4;5}))))+T141</f>
        <v>2</v>
      </c>
      <c r="N141" s="862">
        <f>IF(I141="n",((IF(COUNT(V141,AA141,AD141,AI141,AJ141,AL141)&lt;5,SUM(V141,AA141,AD141,AI141,AJ141,AL141),SUM(LARGE((V141,AA141,AD141,AI141,AJ141,AL141),{1;2;3;4;5}))))+(IF(COUNT(U141,Y141,AB141,AC141,AG141,AK141)&lt;5,SUM(U141,Y141,AB141,AC141,AG141,AK141),SUM(LARGE((U141,Y141,AB141,AC141,AG141,AK141),{1;2;3;4;5}))))+T141),0)</f>
        <v>0</v>
      </c>
      <c r="O141" s="863">
        <f>IF(J141="j",((IF(COUNT(V141,AA141,AD141,AI141,AJ141,AL141)&lt;5,SUM(V141,AA141,AD141,AI141,AJ141,AL141),SUM(LARGE((V141,AA141,AD141,AI141,AJ141,AL141),{1;2;3;4;5}))))+(IF(COUNT(U141,W141,AB141,AC141,AE141,AK141)&lt;5,SUM(U141,W141,AB141,AC141,AE141,AK141),SUM(LARGE((U141,W141,AB141,AC141,AE141,AK141),{1;2;3;4;5}))))+T141),0)</f>
        <v>0</v>
      </c>
      <c r="P141" s="886" t="str">
        <f t="shared" ca="1" si="66"/>
        <v>002,0</v>
      </c>
      <c r="Q141" s="890">
        <f t="shared" si="67"/>
        <v>145</v>
      </c>
      <c r="R141" s="886" t="str">
        <f t="shared" ca="1" si="68"/>
        <v>0002,0-145</v>
      </c>
      <c r="S141" s="889">
        <f t="shared" ca="1" si="69"/>
        <v>61</v>
      </c>
      <c r="T141" s="849">
        <v>2</v>
      </c>
      <c r="U141" s="75" t="str">
        <f>IFERROR(INDEX('1'!C$300:C$400,MATCH("*"&amp;H141&amp;"*",'1'!B$300:B$400,0)),"  ")</f>
        <v xml:space="preserve">  </v>
      </c>
      <c r="V141" s="199" t="str">
        <f>IFERROR(INDEX('2'!C$300:C$400,MATCH("*"&amp;H141&amp;"*",'2'!B$300:B$400,0)),"  ")</f>
        <v xml:space="preserve">  </v>
      </c>
      <c r="W141" s="199" t="str">
        <f ca="1">IF(I141="",IFERROR(INDEX('3M'!C$300:C$400,MATCH("*"&amp;H141&amp;"*",'3M'!B$300:B$400,0)),"  "),IFERROR(INDEX('3N'!D$300:D$400,MATCH("*"&amp;H141&amp;"*",'3N'!B$300:B$400,0)),"  "))</f>
        <v xml:space="preserve">  </v>
      </c>
      <c r="X141" s="908" t="str">
        <f ca="1">IFERROR(INDEX('3M'!C$300:C$400,MATCH("*"&amp;H141&amp;"*",'3M'!B$300:B$400,0)),"  ")</f>
        <v xml:space="preserve">  </v>
      </c>
      <c r="Y141" s="907" t="str">
        <f ca="1">IFERROR(INDEX('3N'!C$300:C$400,MATCH("*"&amp;H141&amp;"*",'3N'!B$300:B$400,0)),"  ")</f>
        <v xml:space="preserve">  </v>
      </c>
      <c r="Z141" s="440"/>
      <c r="AA141" s="75" t="str">
        <f>IFERROR(INDEX('4'!C$300:C$400,MATCH("*"&amp;H141&amp;"*",'4'!B$300:B$400,0)),"  ")</f>
        <v xml:space="preserve">  </v>
      </c>
      <c r="AB141" s="75" t="str">
        <f>IFERROR(INDEX('5'!C$300:C$400,MATCH("*"&amp;H141&amp;"*",'5'!B$300:B$400,0)),"  ")</f>
        <v xml:space="preserve">  </v>
      </c>
      <c r="AC141" s="75" t="str">
        <f>IFERROR(INDEX('6'!C$300:C$400,MATCH("*"&amp;H141&amp;"*",'6'!B$300:B$400,0)),"  ")</f>
        <v xml:space="preserve">  </v>
      </c>
      <c r="AD141" s="75" t="str">
        <f>IFERROR(INDEX('7'!C$300:C$400,MATCH("*"&amp;H141&amp;"*",'7'!B$300:B$400,0)),"  ")</f>
        <v xml:space="preserve">  </v>
      </c>
      <c r="AE141" s="75" t="str">
        <f>IF(I141="",IFERROR(INDEX('8M'!C$300:C$400,MATCH("*"&amp;H141&amp;"*",'8M'!B$300:B$400,0)),"  "),IFERROR(INDEX('8N'!D$300:D$400,MATCH("*"&amp;H141&amp;"*",'8N'!B$300:B$400,0)),"  "))</f>
        <v xml:space="preserve">  </v>
      </c>
      <c r="AF141" s="908" t="str">
        <f>IFERROR(INDEX('8M'!C$300:C$400,MATCH("*"&amp;H141&amp;"*",'8M'!B$300:B$400,0)),"  ")</f>
        <v xml:space="preserve">  </v>
      </c>
      <c r="AG141" s="907" t="str">
        <f>IFERROR(INDEX('8N'!C$300:C$400,MATCH("*"&amp;H141&amp;"*",'8N'!B$300:B$400,0)),"  ")</f>
        <v xml:space="preserve">  </v>
      </c>
      <c r="AH141" s="440"/>
      <c r="AI141" s="75" t="str">
        <f>IFERROR(INDEX('9'!C$300:C$400,MATCH("*"&amp;H141&amp;"*",'9'!B$300:B$400,0)),"  ")</f>
        <v xml:space="preserve">  </v>
      </c>
      <c r="AJ141" s="830" t="str">
        <f>IFERROR(INDEX('10'!C$300:C$400,MATCH("*"&amp;H141&amp;"*",'10'!B$300:B$400,0)),"  ")</f>
        <v xml:space="preserve">  </v>
      </c>
      <c r="AK141" s="75" t="str">
        <f>IFERROR(INDEX('11'!C$300:C$400,MATCH("*"&amp;H141&amp;"*",'11'!B$300:B$400,0)),"  ")</f>
        <v xml:space="preserve">  </v>
      </c>
      <c r="AL141" s="75" t="str">
        <f>IFERROR(INDEX('12'!C$300:C$400,MATCH("*"&amp;H141&amp;"*",'12'!B$300:B$400,0)),"  ")</f>
        <v xml:space="preserve">  </v>
      </c>
      <c r="AM141" s="26">
        <f t="shared" ca="1" si="70"/>
        <v>0</v>
      </c>
      <c r="AN141" s="579">
        <f t="shared" ca="1" si="60"/>
        <v>0</v>
      </c>
      <c r="AO141" s="580">
        <f t="shared" ca="1" si="71"/>
        <v>0</v>
      </c>
      <c r="AP141" s="27">
        <f t="shared" ca="1" si="72"/>
        <v>0</v>
      </c>
      <c r="AQ141" s="933">
        <f t="shared" si="75"/>
        <v>2.0000000000000001E-4</v>
      </c>
      <c r="AR141" s="933">
        <f t="shared" ca="1" si="76"/>
        <v>1E-4</v>
      </c>
    </row>
    <row r="142" spans="1:44" x14ac:dyDescent="0.2">
      <c r="A142" s="851">
        <f t="shared" ca="1" si="61"/>
        <v>101</v>
      </c>
      <c r="B142" s="77">
        <f t="shared" ca="1" si="62"/>
        <v>10001</v>
      </c>
      <c r="C142" s="853" t="str">
        <f t="shared" ca="1" si="73"/>
        <v/>
      </c>
      <c r="D142" s="76">
        <f t="shared" si="63"/>
        <v>0</v>
      </c>
      <c r="E142" s="855" t="str">
        <f t="shared" ca="1" si="74"/>
        <v/>
      </c>
      <c r="F142" s="899">
        <f t="shared" si="64"/>
        <v>0</v>
      </c>
      <c r="G142" s="897">
        <f t="shared" ca="1" si="65"/>
        <v>134</v>
      </c>
      <c r="H142" s="133" t="s">
        <v>635</v>
      </c>
      <c r="I142" s="38"/>
      <c r="J142" s="585"/>
      <c r="K142" s="586"/>
      <c r="L142" s="587"/>
      <c r="M142" s="857">
        <f ca="1">(IF(COUNT(V142,AA142,AD142,AI142,AJ142,AL142)&lt;5,SUM(V142,AA142,AD142,AI142,AJ142,AL142),SUM(LARGE((V142,AA142,AD142,AI142,AJ142,AL142),{1;2;3;4;5}))))+(IF(COUNT(U142,W142,AB142,AC142,AE142,AK142)&lt;5,SUM(U142,W142,AB142,AC142,AE142,AK142),SUM(LARGE((U142,W142,AB142,AC142,AE142,AK142),{1;2;3;4;5}))))+T142</f>
        <v>1</v>
      </c>
      <c r="N142" s="862">
        <f>IF(I142="n",((IF(COUNT(V142,AA142,AD142,AI142,AJ142,AL142)&lt;5,SUM(V142,AA142,AD142,AI142,AJ142,AL142),SUM(LARGE((V142,AA142,AD142,AI142,AJ142,AL142),{1;2;3;4;5}))))+(IF(COUNT(U142,Y142,AB142,AC142,AG142,AK142)&lt;5,SUM(U142,Y142,AB142,AC142,AG142,AK142),SUM(LARGE((U142,Y142,AB142,AC142,AG142,AK142),{1;2;3;4;5}))))+T142),0)</f>
        <v>0</v>
      </c>
      <c r="O142" s="863">
        <f>IF(J142="j",((IF(COUNT(V142,AA142,AD142,AI142,AJ142,AL142)&lt;5,SUM(V142,AA142,AD142,AI142,AJ142,AL142),SUM(LARGE((V142,AA142,AD142,AI142,AJ142,AL142),{1;2;3;4;5}))))+(IF(COUNT(U142,W142,AB142,AC142,AE142,AK142)&lt;5,SUM(U142,W142,AB142,AC142,AE142,AK142),SUM(LARGE((U142,W142,AB142,AC142,AE142,AK142),{1;2;3;4;5}))))+T142),0)</f>
        <v>0</v>
      </c>
      <c r="P142" s="886" t="str">
        <f t="shared" ca="1" si="66"/>
        <v>001,0</v>
      </c>
      <c r="Q142" s="890">
        <f t="shared" si="67"/>
        <v>178</v>
      </c>
      <c r="R142" s="886" t="str">
        <f t="shared" ca="1" si="68"/>
        <v>0001,0-178</v>
      </c>
      <c r="S142" s="889">
        <f t="shared" ca="1" si="69"/>
        <v>60</v>
      </c>
      <c r="T142" s="847">
        <v>1</v>
      </c>
      <c r="U142" s="75" t="str">
        <f>IFERROR(INDEX('1'!C$300:C$400,MATCH("*"&amp;H142&amp;"*",'1'!B$300:B$400,0)),"  ")</f>
        <v xml:space="preserve">  </v>
      </c>
      <c r="V142" s="199" t="str">
        <f>IFERROR(INDEX('2'!C$300:C$400,MATCH("*"&amp;H142&amp;"*",'2'!B$300:B$400,0)),"  ")</f>
        <v xml:space="preserve">  </v>
      </c>
      <c r="W142" s="199" t="str">
        <f ca="1">IF(I142="",IFERROR(INDEX('3M'!C$300:C$400,MATCH("*"&amp;H142&amp;"*",'3M'!B$300:B$400,0)),"  "),IFERROR(INDEX('3N'!D$300:D$400,MATCH("*"&amp;H142&amp;"*",'3N'!B$300:B$400,0)),"  "))</f>
        <v xml:space="preserve">  </v>
      </c>
      <c r="X142" s="908" t="str">
        <f ca="1">IFERROR(INDEX('3M'!C$300:C$400,MATCH("*"&amp;H142&amp;"*",'3M'!B$300:B$400,0)),"  ")</f>
        <v xml:space="preserve">  </v>
      </c>
      <c r="Y142" s="907" t="str">
        <f ca="1">IFERROR(INDEX('3N'!C$300:C$400,MATCH("*"&amp;H142&amp;"*",'3N'!B$300:B$400,0)),"  ")</f>
        <v xml:space="preserve">  </v>
      </c>
      <c r="Z142" s="440"/>
      <c r="AA142" s="75" t="str">
        <f>IFERROR(INDEX('4'!C$300:C$400,MATCH("*"&amp;H142&amp;"*",'4'!B$300:B$400,0)),"  ")</f>
        <v xml:space="preserve">  </v>
      </c>
      <c r="AB142" s="75" t="str">
        <f>IFERROR(INDEX('5'!C$300:C$400,MATCH("*"&amp;H142&amp;"*",'5'!B$300:B$400,0)),"  ")</f>
        <v xml:space="preserve">  </v>
      </c>
      <c r="AC142" s="75" t="str">
        <f>IFERROR(INDEX('6'!C$300:C$400,MATCH("*"&amp;H142&amp;"*",'6'!B$300:B$400,0)),"  ")</f>
        <v xml:space="preserve">  </v>
      </c>
      <c r="AD142" s="75" t="str">
        <f>IFERROR(INDEX('7'!C$300:C$400,MATCH("*"&amp;H142&amp;"*",'7'!B$300:B$400,0)),"  ")</f>
        <v xml:space="preserve">  </v>
      </c>
      <c r="AE142" s="75" t="str">
        <f>IF(I142="",IFERROR(INDEX('8M'!C$300:C$400,MATCH("*"&amp;H142&amp;"*",'8M'!B$300:B$400,0)),"  "),IFERROR(INDEX('8N'!D$300:D$400,MATCH("*"&amp;H142&amp;"*",'8N'!B$300:B$400,0)),"  "))</f>
        <v xml:space="preserve">  </v>
      </c>
      <c r="AF142" s="908" t="str">
        <f>IFERROR(INDEX('8M'!C$300:C$400,MATCH("*"&amp;H142&amp;"*",'8M'!B$300:B$400,0)),"  ")</f>
        <v xml:space="preserve">  </v>
      </c>
      <c r="AG142" s="907" t="str">
        <f>IFERROR(INDEX('8N'!C$300:C$400,MATCH("*"&amp;H142&amp;"*",'8N'!B$300:B$400,0)),"  ")</f>
        <v xml:space="preserve">  </v>
      </c>
      <c r="AH142" s="440"/>
      <c r="AI142" s="75" t="str">
        <f>IFERROR(INDEX('9'!C$300:C$400,MATCH("*"&amp;H142&amp;"*",'9'!B$300:B$400,0)),"  ")</f>
        <v xml:space="preserve">  </v>
      </c>
      <c r="AJ142" s="830" t="str">
        <f>IFERROR(INDEX('10'!C$300:C$400,MATCH("*"&amp;H142&amp;"*",'10'!B$300:B$400,0)),"  ")</f>
        <v xml:space="preserve">  </v>
      </c>
      <c r="AK142" s="75" t="str">
        <f>IFERROR(INDEX('11'!C$300:C$400,MATCH("*"&amp;H142&amp;"*",'11'!B$300:B$400,0)),"  ")</f>
        <v xml:space="preserve">  </v>
      </c>
      <c r="AL142" s="75" t="str">
        <f>IFERROR(INDEX('12'!C$300:C$400,MATCH("*"&amp;H142&amp;"*",'12'!B$300:B$400,0)),"  ")</f>
        <v xml:space="preserve">  </v>
      </c>
      <c r="AM142" s="26">
        <f t="shared" ca="1" si="70"/>
        <v>0</v>
      </c>
      <c r="AN142" s="579">
        <f t="shared" ca="1" si="60"/>
        <v>0</v>
      </c>
      <c r="AO142" s="580">
        <f t="shared" ca="1" si="71"/>
        <v>0</v>
      </c>
      <c r="AP142" s="27">
        <f t="shared" ca="1" si="72"/>
        <v>0</v>
      </c>
      <c r="AQ142" s="933">
        <f t="shared" si="75"/>
        <v>2.0000000000000001E-4</v>
      </c>
      <c r="AR142" s="933">
        <f t="shared" ca="1" si="76"/>
        <v>1E-4</v>
      </c>
    </row>
    <row r="143" spans="1:44" x14ac:dyDescent="0.2">
      <c r="A143" s="851" t="str">
        <f t="shared" ca="1" si="61"/>
        <v/>
      </c>
      <c r="B143" s="77">
        <f t="shared" si="62"/>
        <v>0</v>
      </c>
      <c r="C143" s="853">
        <f t="shared" ca="1" si="73"/>
        <v>34</v>
      </c>
      <c r="D143" s="76">
        <f t="shared" ca="1" si="63"/>
        <v>10001</v>
      </c>
      <c r="E143" s="855" t="str">
        <f t="shared" ca="1" si="74"/>
        <v/>
      </c>
      <c r="F143" s="899">
        <f t="shared" si="64"/>
        <v>0</v>
      </c>
      <c r="G143" s="897">
        <f t="shared" ca="1" si="65"/>
        <v>134</v>
      </c>
      <c r="H143" s="133" t="s">
        <v>74</v>
      </c>
      <c r="I143" s="38" t="s">
        <v>32</v>
      </c>
      <c r="J143" s="585"/>
      <c r="K143" s="586"/>
      <c r="L143" s="587"/>
      <c r="M143" s="857">
        <f ca="1">(IF(COUNT(V143,AA143,AD143,AI143,AJ143,AL143)&lt;5,SUM(V143,AA143,AD143,AI143,AJ143,AL143),SUM(LARGE((V143,AA143,AD143,AI143,AJ143,AL143),{1;2;3;4;5}))))+(IF(COUNT(U143,W143,AB143,AC143,AE143,AK143)&lt;5,SUM(U143,W143,AB143,AC143,AE143,AK143),SUM(LARGE((U143,W143,AB143,AC143,AE143,AK143),{1;2;3;4;5}))))+T143</f>
        <v>1</v>
      </c>
      <c r="N143" s="862">
        <f ca="1">IF(I143="n",((IF(COUNT(V143,AA143,AD143,AI143,AJ143,AL143)&lt;5,SUM(V143,AA143,AD143,AI143,AJ143,AL143),SUM(LARGE((V143,AA143,AD143,AI143,AJ143,AL143),{1;2;3;4;5}))))+(IF(COUNT(U143,Y143,AB143,AC143,AG143,AK143)&lt;5,SUM(U143,Y143,AB143,AC143,AG143,AK143),SUM(LARGE((U143,Y143,AB143,AC143,AG143,AK143),{1;2;3;4;5}))))+T143),0)</f>
        <v>1</v>
      </c>
      <c r="O143" s="863">
        <f>IF(J143="j",((IF(COUNT(V143,AA143,AD143,AI143,AJ143,AL143)&lt;5,SUM(V143,AA143,AD143,AI143,AJ143,AL143),SUM(LARGE((V143,AA143,AD143,AI143,AJ143,AL143),{1;2;3;4;5}))))+(IF(COUNT(U143,W143,AB143,AC143,AE143,AK143)&lt;5,SUM(U143,W143,AB143,AC143,AE143,AK143),SUM(LARGE((U143,W143,AB143,AC143,AE143,AK143),{1;2;3;4;5}))))+T143),0)</f>
        <v>0</v>
      </c>
      <c r="P143" s="886" t="str">
        <f t="shared" ca="1" si="66"/>
        <v>001,0</v>
      </c>
      <c r="Q143" s="890">
        <f t="shared" si="67"/>
        <v>175</v>
      </c>
      <c r="R143" s="886" t="str">
        <f t="shared" ca="1" si="68"/>
        <v>0001,0-175</v>
      </c>
      <c r="S143" s="889">
        <f t="shared" ca="1" si="69"/>
        <v>59</v>
      </c>
      <c r="T143" s="847">
        <v>1</v>
      </c>
      <c r="U143" s="75" t="str">
        <f>IFERROR(INDEX('1'!C$300:C$400,MATCH("*"&amp;H143&amp;"*",'1'!B$300:B$400,0)),"  ")</f>
        <v xml:space="preserve">  </v>
      </c>
      <c r="V143" s="199" t="str">
        <f>IFERROR(INDEX('2'!C$300:C$400,MATCH("*"&amp;H143&amp;"*",'2'!B$300:B$400,0)),"  ")</f>
        <v xml:space="preserve">  </v>
      </c>
      <c r="W143" s="199" t="str">
        <f ca="1">IF(I143="",IFERROR(INDEX('3M'!C$300:C$400,MATCH("*"&amp;H143&amp;"*",'3M'!B$300:B$400,0)),"  "),IFERROR(INDEX('3N'!D$300:D$400,MATCH("*"&amp;H143&amp;"*",'3N'!B$300:B$400,0)),"  "))</f>
        <v xml:space="preserve">  </v>
      </c>
      <c r="X143" s="908" t="str">
        <f ca="1">IFERROR(INDEX('3M'!C$300:C$400,MATCH("*"&amp;H143&amp;"*",'3M'!B$300:B$400,0)),"  ")</f>
        <v xml:space="preserve">  </v>
      </c>
      <c r="Y143" s="907" t="str">
        <f ca="1">IFERROR(INDEX('3N'!C$300:C$400,MATCH("*"&amp;H143&amp;"*",'3N'!B$300:B$400,0)),"  ")</f>
        <v xml:space="preserve">  </v>
      </c>
      <c r="Z143" s="440"/>
      <c r="AA143" s="75" t="str">
        <f>IFERROR(INDEX('4'!C$300:C$400,MATCH("*"&amp;H143&amp;"*",'4'!B$300:B$400,0)),"  ")</f>
        <v xml:space="preserve">  </v>
      </c>
      <c r="AB143" s="75" t="str">
        <f>IFERROR(INDEX('5'!C$300:C$400,MATCH("*"&amp;H143&amp;"*",'5'!B$300:B$400,0)),"  ")</f>
        <v xml:space="preserve">  </v>
      </c>
      <c r="AC143" s="75" t="str">
        <f>IFERROR(INDEX('6'!C$300:C$400,MATCH("*"&amp;H143&amp;"*",'6'!B$300:B$400,0)),"  ")</f>
        <v xml:space="preserve">  </v>
      </c>
      <c r="AD143" s="75" t="str">
        <f>IFERROR(INDEX('7'!C$300:C$400,MATCH("*"&amp;H143&amp;"*",'7'!B$300:B$400,0)),"  ")</f>
        <v xml:space="preserve">  </v>
      </c>
      <c r="AE143" s="75" t="str">
        <f>IF(I143="",IFERROR(INDEX('8M'!C$300:C$400,MATCH("*"&amp;H143&amp;"*",'8M'!B$300:B$400,0)),"  "),IFERROR(INDEX('8N'!D$300:D$400,MATCH("*"&amp;H143&amp;"*",'8N'!B$300:B$400,0)),"  "))</f>
        <v xml:space="preserve">  </v>
      </c>
      <c r="AF143" s="908" t="str">
        <f>IFERROR(INDEX('8M'!C$300:C$400,MATCH("*"&amp;H143&amp;"*",'8M'!B$300:B$400,0)),"  ")</f>
        <v xml:space="preserve">  </v>
      </c>
      <c r="AG143" s="907" t="str">
        <f>IFERROR(INDEX('8N'!C$300:C$400,MATCH("*"&amp;H143&amp;"*",'8N'!B$300:B$400,0)),"  ")</f>
        <v xml:space="preserve">  </v>
      </c>
      <c r="AH143" s="440"/>
      <c r="AI143" s="75" t="str">
        <f>IFERROR(INDEX('9'!C$300:C$400,MATCH("*"&amp;H143&amp;"*",'9'!B$300:B$400,0)),"  ")</f>
        <v xml:space="preserve">  </v>
      </c>
      <c r="AJ143" s="830" t="str">
        <f>IFERROR(INDEX('10'!C$300:C$400,MATCH("*"&amp;H143&amp;"*",'10'!B$300:B$400,0)),"  ")</f>
        <v xml:space="preserve">  </v>
      </c>
      <c r="AK143" s="75" t="str">
        <f>IFERROR(INDEX('11'!C$300:C$400,MATCH("*"&amp;H143&amp;"*",'11'!B$300:B$400,0)),"  ")</f>
        <v xml:space="preserve">  </v>
      </c>
      <c r="AL143" s="75" t="str">
        <f>IFERROR(INDEX('12'!C$300:C$400,MATCH("*"&amp;H143&amp;"*",'12'!B$300:B$400,0)),"  ")</f>
        <v xml:space="preserve">  </v>
      </c>
      <c r="AM143" s="26">
        <f t="shared" ca="1" si="70"/>
        <v>0</v>
      </c>
      <c r="AN143" s="579">
        <f t="shared" ca="1" si="60"/>
        <v>0</v>
      </c>
      <c r="AO143" s="580">
        <f t="shared" ca="1" si="71"/>
        <v>0</v>
      </c>
      <c r="AP143" s="27">
        <f t="shared" ca="1" si="72"/>
        <v>0</v>
      </c>
      <c r="AQ143" s="933">
        <f t="shared" si="75"/>
        <v>2.0000000000000001E-4</v>
      </c>
      <c r="AR143" s="933">
        <f t="shared" ca="1" si="76"/>
        <v>1E-4</v>
      </c>
    </row>
    <row r="144" spans="1:44" x14ac:dyDescent="0.2">
      <c r="A144" s="851" t="str">
        <f t="shared" ca="1" si="61"/>
        <v/>
      </c>
      <c r="B144" s="77">
        <f t="shared" si="62"/>
        <v>0</v>
      </c>
      <c r="C144" s="853">
        <f t="shared" ca="1" si="73"/>
        <v>34</v>
      </c>
      <c r="D144" s="76">
        <f t="shared" ca="1" si="63"/>
        <v>10001</v>
      </c>
      <c r="E144" s="855" t="str">
        <f t="shared" ca="1" si="74"/>
        <v/>
      </c>
      <c r="F144" s="899">
        <f t="shared" si="64"/>
        <v>0</v>
      </c>
      <c r="G144" s="897">
        <f t="shared" ca="1" si="65"/>
        <v>134</v>
      </c>
      <c r="H144" s="133" t="s">
        <v>730</v>
      </c>
      <c r="I144" s="38" t="s">
        <v>32</v>
      </c>
      <c r="J144" s="585"/>
      <c r="K144" s="586"/>
      <c r="L144" s="588" t="s">
        <v>720</v>
      </c>
      <c r="M144" s="857">
        <f ca="1">(IF(COUNT(V144,AA144,AD144,AI144,AJ144,AL144)&lt;5,SUM(V144,AA144,AD144,AI144,AJ144,AL144),SUM(LARGE((V144,AA144,AD144,AI144,AJ144,AL144),{1;2;3;4;5}))))+(IF(COUNT(U144,W144,AB144,AC144,AE144,AK144)&lt;5,SUM(U144,W144,AB144,AC144,AE144,AK144),SUM(LARGE((U144,W144,AB144,AC144,AE144,AK144),{1;2;3;4;5}))))+T144</f>
        <v>1</v>
      </c>
      <c r="N144" s="862">
        <f ca="1">IF(I144="n",((IF(COUNT(V144,AA144,AD144,AI144,AJ144,AL144)&lt;5,SUM(V144,AA144,AD144,AI144,AJ144,AL144),SUM(LARGE((V144,AA144,AD144,AI144,AJ144,AL144),{1;2;3;4;5}))))+(IF(COUNT(U144,Y144,AB144,AC144,AG144,AK144)&lt;5,SUM(U144,Y144,AB144,AC144,AG144,AK144),SUM(LARGE((U144,Y144,AB144,AC144,AG144,AK144),{1;2;3;4;5}))))+T144),0)</f>
        <v>1</v>
      </c>
      <c r="O144" s="863">
        <f>IF(J144="j",((IF(COUNT(V144,AA144,AD144,AI144,AJ144,AL144)&lt;5,SUM(V144,AA144,AD144,AI144,AJ144,AL144),SUM(LARGE((V144,AA144,AD144,AI144,AJ144,AL144),{1;2;3;4;5}))))+(IF(COUNT(U144,W144,AB144,AC144,AE144,AK144)&lt;5,SUM(U144,W144,AB144,AC144,AE144,AK144),SUM(LARGE((U144,W144,AB144,AC144,AE144,AK144),{1;2;3;4;5}))))+T144),0)</f>
        <v>0</v>
      </c>
      <c r="P144" s="886" t="str">
        <f t="shared" ca="1" si="66"/>
        <v>001,0</v>
      </c>
      <c r="Q144" s="890">
        <f t="shared" si="67"/>
        <v>171</v>
      </c>
      <c r="R144" s="886" t="str">
        <f t="shared" ca="1" si="68"/>
        <v>0001,0-171</v>
      </c>
      <c r="S144" s="889">
        <f t="shared" ca="1" si="69"/>
        <v>58</v>
      </c>
      <c r="T144" s="847">
        <v>1</v>
      </c>
      <c r="U144" s="75" t="str">
        <f>IFERROR(INDEX('1'!C$300:C$400,MATCH("*"&amp;H144&amp;"*",'1'!B$300:B$400,0)),"  ")</f>
        <v xml:space="preserve">  </v>
      </c>
      <c r="V144" s="199" t="str">
        <f>IFERROR(INDEX('2'!C$300:C$400,MATCH("*"&amp;H144&amp;"*",'2'!B$300:B$400,0)),"  ")</f>
        <v xml:space="preserve">  </v>
      </c>
      <c r="W144" s="199" t="str">
        <f ca="1">IF(I144="",IFERROR(INDEX('3M'!C$300:C$400,MATCH("*"&amp;H144&amp;"*",'3M'!B$300:B$400,0)),"  "),IFERROR(INDEX('3N'!D$300:D$400,MATCH("*"&amp;H144&amp;"*",'3N'!B$300:B$400,0)),"  "))</f>
        <v xml:space="preserve">  </v>
      </c>
      <c r="X144" s="908" t="str">
        <f ca="1">IFERROR(INDEX('3M'!C$300:C$400,MATCH("*"&amp;H144&amp;"*",'3M'!B$300:B$400,0)),"  ")</f>
        <v xml:space="preserve">  </v>
      </c>
      <c r="Y144" s="907" t="str">
        <f ca="1">IFERROR(INDEX('3N'!C$300:C$400,MATCH("*"&amp;H144&amp;"*",'3N'!B$300:B$400,0)),"  ")</f>
        <v xml:space="preserve">  </v>
      </c>
      <c r="Z144" s="440"/>
      <c r="AA144" s="75" t="str">
        <f>IFERROR(INDEX('4'!C$300:C$400,MATCH("*"&amp;H144&amp;"*",'4'!B$300:B$400,0)),"  ")</f>
        <v xml:space="preserve">  </v>
      </c>
      <c r="AB144" s="75" t="str">
        <f>IFERROR(INDEX('5'!C$300:C$400,MATCH("*"&amp;H144&amp;"*",'5'!B$300:B$400,0)),"  ")</f>
        <v xml:space="preserve">  </v>
      </c>
      <c r="AC144" s="75" t="str">
        <f>IFERROR(INDEX('6'!C$300:C$400,MATCH("*"&amp;H144&amp;"*",'6'!B$300:B$400,0)),"  ")</f>
        <v xml:space="preserve">  </v>
      </c>
      <c r="AD144" s="75" t="str">
        <f>IFERROR(INDEX('7'!C$300:C$400,MATCH("*"&amp;H144&amp;"*",'7'!B$300:B$400,0)),"  ")</f>
        <v xml:space="preserve">  </v>
      </c>
      <c r="AE144" s="75" t="str">
        <f>IF(I144="",IFERROR(INDEX('8M'!C$300:C$400,MATCH("*"&amp;H144&amp;"*",'8M'!B$300:B$400,0)),"  "),IFERROR(INDEX('8N'!D$300:D$400,MATCH("*"&amp;H144&amp;"*",'8N'!B$300:B$400,0)),"  "))</f>
        <v xml:space="preserve">  </v>
      </c>
      <c r="AF144" s="908" t="str">
        <f>IFERROR(INDEX('8M'!C$300:C$400,MATCH("*"&amp;H144&amp;"*",'8M'!B$300:B$400,0)),"  ")</f>
        <v xml:space="preserve">  </v>
      </c>
      <c r="AG144" s="907" t="str">
        <f>IFERROR(INDEX('8N'!C$300:C$400,MATCH("*"&amp;H144&amp;"*",'8N'!B$300:B$400,0)),"  ")</f>
        <v xml:space="preserve">  </v>
      </c>
      <c r="AH144" s="440"/>
      <c r="AI144" s="75" t="str">
        <f>IFERROR(INDEX('9'!C$300:C$400,MATCH("*"&amp;H144&amp;"*",'9'!B$300:B$400,0)),"  ")</f>
        <v xml:space="preserve">  </v>
      </c>
      <c r="AJ144" s="830" t="str">
        <f>IFERROR(INDEX('10'!C$300:C$400,MATCH("*"&amp;H144&amp;"*",'10'!B$300:B$400,0)),"  ")</f>
        <v xml:space="preserve">  </v>
      </c>
      <c r="AK144" s="75" t="str">
        <f>IFERROR(INDEX('11'!C$300:C$400,MATCH("*"&amp;H144&amp;"*",'11'!B$300:B$400,0)),"  ")</f>
        <v xml:space="preserve">  </v>
      </c>
      <c r="AL144" s="75" t="str">
        <f>IFERROR(INDEX('12'!C$300:C$400,MATCH("*"&amp;H144&amp;"*",'12'!B$300:B$400,0)),"  ")</f>
        <v xml:space="preserve">  </v>
      </c>
      <c r="AM144" s="26">
        <f t="shared" ca="1" si="70"/>
        <v>0</v>
      </c>
      <c r="AN144" s="579">
        <f t="shared" ca="1" si="60"/>
        <v>0</v>
      </c>
      <c r="AO144" s="580">
        <f t="shared" ca="1" si="71"/>
        <v>0</v>
      </c>
      <c r="AP144" s="27">
        <f t="shared" ca="1" si="72"/>
        <v>0</v>
      </c>
      <c r="AQ144" s="933">
        <f t="shared" si="75"/>
        <v>2.0000000000000001E-4</v>
      </c>
      <c r="AR144" s="933">
        <f t="shared" ca="1" si="76"/>
        <v>1E-4</v>
      </c>
    </row>
    <row r="145" spans="1:44" x14ac:dyDescent="0.2">
      <c r="A145" s="851">
        <f t="shared" ca="1" si="61"/>
        <v>101</v>
      </c>
      <c r="B145" s="77">
        <f t="shared" ca="1" si="62"/>
        <v>10001</v>
      </c>
      <c r="C145" s="853" t="str">
        <f t="shared" ca="1" si="73"/>
        <v/>
      </c>
      <c r="D145" s="76">
        <f t="shared" si="63"/>
        <v>0</v>
      </c>
      <c r="E145" s="855" t="str">
        <f t="shared" ca="1" si="74"/>
        <v/>
      </c>
      <c r="F145" s="899">
        <f t="shared" si="64"/>
        <v>0</v>
      </c>
      <c r="G145" s="897">
        <f t="shared" ca="1" si="65"/>
        <v>134</v>
      </c>
      <c r="H145" s="265" t="s">
        <v>731</v>
      </c>
      <c r="I145" s="38"/>
      <c r="J145" s="585"/>
      <c r="K145" s="586"/>
      <c r="L145" s="587"/>
      <c r="M145" s="857">
        <f ca="1">(IF(COUNT(V145,AA145,AD145,AI145,AJ145,AL145)&lt;5,SUM(V145,AA145,AD145,AI145,AJ145,AL145),SUM(LARGE((V145,AA145,AD145,AI145,AJ145,AL145),{1;2;3;4;5}))))+(IF(COUNT(U145,W145,AB145,AC145,AE145,AK145)&lt;5,SUM(U145,W145,AB145,AC145,AE145,AK145),SUM(LARGE((U145,W145,AB145,AC145,AE145,AK145),{1;2;3;4;5}))))+T145</f>
        <v>1</v>
      </c>
      <c r="N145" s="862">
        <f>IF(I145="n",((IF(COUNT(V145,AA145,AD145,AI145,AJ145,AL145)&lt;5,SUM(V145,AA145,AD145,AI145,AJ145,AL145),SUM(LARGE((V145,AA145,AD145,AI145,AJ145,AL145),{1;2;3;4;5}))))+(IF(COUNT(U145,Y145,AB145,AC145,AG145,AK145)&lt;5,SUM(U145,Y145,AB145,AC145,AG145,AK145),SUM(LARGE((U145,Y145,AB145,AC145,AG145,AK145),{1;2;3;4;5}))))+T145),0)</f>
        <v>0</v>
      </c>
      <c r="O145" s="863">
        <f>IF(J145="j",((IF(COUNT(V145,AA145,AD145,AI145,AJ145,AL145)&lt;5,SUM(V145,AA145,AD145,AI145,AJ145,AL145),SUM(LARGE((V145,AA145,AD145,AI145,AJ145,AL145),{1;2;3;4;5}))))+(IF(COUNT(U145,W145,AB145,AC145,AE145,AK145)&lt;5,SUM(U145,W145,AB145,AC145,AE145,AK145),SUM(LARGE((U145,W145,AB145,AC145,AE145,AK145),{1;2;3;4;5}))))+T145),0)</f>
        <v>0</v>
      </c>
      <c r="P145" s="886" t="str">
        <f t="shared" ca="1" si="66"/>
        <v>001,0</v>
      </c>
      <c r="Q145" s="890">
        <f t="shared" si="67"/>
        <v>140</v>
      </c>
      <c r="R145" s="886" t="str">
        <f t="shared" ca="1" si="68"/>
        <v>0001,0-140</v>
      </c>
      <c r="S145" s="889">
        <f t="shared" ca="1" si="69"/>
        <v>57</v>
      </c>
      <c r="T145" s="847">
        <v>1</v>
      </c>
      <c r="U145" s="75" t="str">
        <f>IFERROR(INDEX('1'!C$300:C$400,MATCH("*"&amp;H145&amp;"*",'1'!B$300:B$400,0)),"  ")</f>
        <v xml:space="preserve">  </v>
      </c>
      <c r="V145" s="199" t="str">
        <f>IFERROR(INDEX('2'!C$300:C$400,MATCH("*"&amp;H145&amp;"*",'2'!B$300:B$400,0)),"  ")</f>
        <v xml:space="preserve">  </v>
      </c>
      <c r="W145" s="199" t="str">
        <f ca="1">IF(I145="",IFERROR(INDEX('3M'!C$300:C$400,MATCH("*"&amp;H145&amp;"*",'3M'!B$300:B$400,0)),"  "),IFERROR(INDEX('3N'!D$300:D$400,MATCH("*"&amp;H145&amp;"*",'3N'!B$300:B$400,0)),"  "))</f>
        <v xml:space="preserve">  </v>
      </c>
      <c r="X145" s="908" t="str">
        <f ca="1">IFERROR(INDEX('3M'!C$300:C$400,MATCH("*"&amp;H145&amp;"*",'3M'!B$300:B$400,0)),"  ")</f>
        <v xml:space="preserve">  </v>
      </c>
      <c r="Y145" s="907" t="str">
        <f ca="1">IFERROR(INDEX('3N'!C$300:C$400,MATCH("*"&amp;H145&amp;"*",'3N'!B$300:B$400,0)),"  ")</f>
        <v xml:space="preserve">  </v>
      </c>
      <c r="Z145" s="440"/>
      <c r="AA145" s="75" t="str">
        <f>IFERROR(INDEX('4'!C$300:C$400,MATCH("*"&amp;H145&amp;"*",'4'!B$300:B$400,0)),"  ")</f>
        <v xml:space="preserve">  </v>
      </c>
      <c r="AB145" s="75" t="str">
        <f>IFERROR(INDEX('5'!C$300:C$400,MATCH("*"&amp;H145&amp;"*",'5'!B$300:B$400,0)),"  ")</f>
        <v xml:space="preserve">  </v>
      </c>
      <c r="AC145" s="75" t="str">
        <f>IFERROR(INDEX('6'!C$300:C$400,MATCH("*"&amp;H145&amp;"*",'6'!B$300:B$400,0)),"  ")</f>
        <v xml:space="preserve">  </v>
      </c>
      <c r="AD145" s="75" t="str">
        <f>IFERROR(INDEX('7'!C$300:C$400,MATCH("*"&amp;H145&amp;"*",'7'!B$300:B$400,0)),"  ")</f>
        <v xml:space="preserve">  </v>
      </c>
      <c r="AE145" s="75" t="str">
        <f>IF(I145="",IFERROR(INDEX('8M'!C$300:C$400,MATCH("*"&amp;H145&amp;"*",'8M'!B$300:B$400,0)),"  "),IFERROR(INDEX('8N'!D$300:D$400,MATCH("*"&amp;H145&amp;"*",'8N'!B$300:B$400,0)),"  "))</f>
        <v xml:space="preserve">  </v>
      </c>
      <c r="AF145" s="908" t="str">
        <f>IFERROR(INDEX('8M'!C$300:C$400,MATCH("*"&amp;H145&amp;"*",'8M'!B$300:B$400,0)),"  ")</f>
        <v xml:space="preserve">  </v>
      </c>
      <c r="AG145" s="907" t="str">
        <f>IFERROR(INDEX('8N'!C$300:C$400,MATCH("*"&amp;H145&amp;"*",'8N'!B$300:B$400,0)),"  ")</f>
        <v xml:space="preserve">  </v>
      </c>
      <c r="AH145" s="440"/>
      <c r="AI145" s="75" t="str">
        <f>IFERROR(INDEX('9'!C$300:C$400,MATCH("*"&amp;H145&amp;"*",'9'!B$300:B$400,0)),"  ")</f>
        <v xml:space="preserve">  </v>
      </c>
      <c r="AJ145" s="830" t="str">
        <f>IFERROR(INDEX('10'!C$300:C$400,MATCH("*"&amp;H145&amp;"*",'10'!B$300:B$400,0)),"  ")</f>
        <v xml:space="preserve">  </v>
      </c>
      <c r="AK145" s="75" t="str">
        <f>IFERROR(INDEX('11'!C$300:C$400,MATCH("*"&amp;H145&amp;"*",'11'!B$300:B$400,0)),"  ")</f>
        <v xml:space="preserve">  </v>
      </c>
      <c r="AL145" s="75" t="str">
        <f>IFERROR(INDEX('12'!C$300:C$400,MATCH("*"&amp;H145&amp;"*",'12'!B$300:B$400,0)),"  ")</f>
        <v xml:space="preserve">  </v>
      </c>
      <c r="AM145" s="26">
        <f t="shared" ca="1" si="70"/>
        <v>0</v>
      </c>
      <c r="AN145" s="579">
        <f t="shared" ca="1" si="60"/>
        <v>0</v>
      </c>
      <c r="AO145" s="580">
        <f t="shared" ca="1" si="71"/>
        <v>0</v>
      </c>
      <c r="AP145" s="27">
        <f t="shared" ca="1" si="72"/>
        <v>0</v>
      </c>
      <c r="AQ145" s="933">
        <f t="shared" si="75"/>
        <v>2.0000000000000001E-4</v>
      </c>
      <c r="AR145" s="933">
        <f t="shared" ca="1" si="76"/>
        <v>1E-4</v>
      </c>
    </row>
    <row r="146" spans="1:44" x14ac:dyDescent="0.2">
      <c r="A146" s="851">
        <f t="shared" ca="1" si="61"/>
        <v>101</v>
      </c>
      <c r="B146" s="77">
        <f t="shared" ca="1" si="62"/>
        <v>10001</v>
      </c>
      <c r="C146" s="853" t="str">
        <f t="shared" ca="1" si="73"/>
        <v/>
      </c>
      <c r="D146" s="76">
        <f t="shared" si="63"/>
        <v>0</v>
      </c>
      <c r="E146" s="855" t="str">
        <f t="shared" ca="1" si="74"/>
        <v/>
      </c>
      <c r="F146" s="899">
        <f t="shared" si="64"/>
        <v>0</v>
      </c>
      <c r="G146" s="897">
        <f t="shared" ca="1" si="65"/>
        <v>134</v>
      </c>
      <c r="H146" s="265" t="s">
        <v>723</v>
      </c>
      <c r="I146" s="38"/>
      <c r="J146" s="585"/>
      <c r="K146" s="586"/>
      <c r="L146" s="587"/>
      <c r="M146" s="857">
        <f ca="1">(IF(COUNT(V146,AA146,AD146,AI146,AJ146,AL146)&lt;5,SUM(V146,AA146,AD146,AI146,AJ146,AL146),SUM(LARGE((V146,AA146,AD146,AI146,AJ146,AL146),{1;2;3;4;5}))))+(IF(COUNT(U146,W146,AB146,AC146,AE146,AK146)&lt;5,SUM(U146,W146,AB146,AC146,AE146,AK146),SUM(LARGE((U146,W146,AB146,AC146,AE146,AK146),{1;2;3;4;5}))))+T146</f>
        <v>1</v>
      </c>
      <c r="N146" s="862">
        <f>IF(I146="n",((IF(COUNT(V146,AA146,AD146,AI146,AJ146,AL146)&lt;5,SUM(V146,AA146,AD146,AI146,AJ146,AL146),SUM(LARGE((V146,AA146,AD146,AI146,AJ146,AL146),{1;2;3;4;5}))))+(IF(COUNT(U146,Y146,AB146,AC146,AG146,AK146)&lt;5,SUM(U146,Y146,AB146,AC146,AG146,AK146),SUM(LARGE((U146,Y146,AB146,AC146,AG146,AK146),{1;2;3;4;5}))))+T146),0)</f>
        <v>0</v>
      </c>
      <c r="O146" s="863">
        <f>IF(J146="j",((IF(COUNT(V146,AA146,AD146,AI146,AJ146,AL146)&lt;5,SUM(V146,AA146,AD146,AI146,AJ146,AL146),SUM(LARGE((V146,AA146,AD146,AI146,AJ146,AL146),{1;2;3;4;5}))))+(IF(COUNT(U146,W146,AB146,AC146,AE146,AK146)&lt;5,SUM(U146,W146,AB146,AC146,AE146,AK146),SUM(LARGE((U146,W146,AB146,AC146,AE146,AK146),{1;2;3;4;5}))))+T146),0)</f>
        <v>0</v>
      </c>
      <c r="P146" s="886" t="str">
        <f t="shared" ca="1" si="66"/>
        <v>001,0</v>
      </c>
      <c r="Q146" s="890">
        <f t="shared" si="67"/>
        <v>138</v>
      </c>
      <c r="R146" s="886" t="str">
        <f t="shared" ca="1" si="68"/>
        <v>0001,0-138</v>
      </c>
      <c r="S146" s="889">
        <f t="shared" ca="1" si="69"/>
        <v>56</v>
      </c>
      <c r="T146" s="847">
        <v>1</v>
      </c>
      <c r="U146" s="75" t="str">
        <f>IFERROR(INDEX('1'!C$300:C$400,MATCH("*"&amp;H146&amp;"*",'1'!B$300:B$400,0)),"  ")</f>
        <v xml:space="preserve">  </v>
      </c>
      <c r="V146" s="199" t="str">
        <f>IFERROR(INDEX('2'!C$300:C$400,MATCH("*"&amp;H146&amp;"*",'2'!B$300:B$400,0)),"  ")</f>
        <v xml:space="preserve">  </v>
      </c>
      <c r="W146" s="199" t="str">
        <f ca="1">IF(I146="",IFERROR(INDEX('3M'!C$300:C$400,MATCH("*"&amp;H146&amp;"*",'3M'!B$300:B$400,0)),"  "),IFERROR(INDEX('3N'!D$300:D$400,MATCH("*"&amp;H146&amp;"*",'3N'!B$300:B$400,0)),"  "))</f>
        <v xml:space="preserve">  </v>
      </c>
      <c r="X146" s="908" t="str">
        <f ca="1">IFERROR(INDEX('3M'!C$300:C$400,MATCH("*"&amp;H146&amp;"*",'3M'!B$300:B$400,0)),"  ")</f>
        <v xml:space="preserve">  </v>
      </c>
      <c r="Y146" s="907" t="str">
        <f ca="1">IFERROR(INDEX('3N'!C$300:C$400,MATCH("*"&amp;H146&amp;"*",'3N'!B$300:B$400,0)),"  ")</f>
        <v xml:space="preserve">  </v>
      </c>
      <c r="Z146" s="440"/>
      <c r="AA146" s="75" t="str">
        <f>IFERROR(INDEX('4'!C$300:C$400,MATCH("*"&amp;H146&amp;"*",'4'!B$300:B$400,0)),"  ")</f>
        <v xml:space="preserve">  </v>
      </c>
      <c r="AB146" s="75" t="str">
        <f>IFERROR(INDEX('5'!C$300:C$400,MATCH("*"&amp;H146&amp;"*",'5'!B$300:B$400,0)),"  ")</f>
        <v xml:space="preserve">  </v>
      </c>
      <c r="AC146" s="75" t="str">
        <f>IFERROR(INDEX('6'!C$300:C$400,MATCH("*"&amp;H146&amp;"*",'6'!B$300:B$400,0)),"  ")</f>
        <v xml:space="preserve">  </v>
      </c>
      <c r="AD146" s="75" t="str">
        <f>IFERROR(INDEX('7'!C$300:C$400,MATCH("*"&amp;H146&amp;"*",'7'!B$300:B$400,0)),"  ")</f>
        <v xml:space="preserve">  </v>
      </c>
      <c r="AE146" s="75" t="str">
        <f>IF(I146="",IFERROR(INDEX('8M'!C$300:C$400,MATCH("*"&amp;H146&amp;"*",'8M'!B$300:B$400,0)),"  "),IFERROR(INDEX('8N'!D$300:D$400,MATCH("*"&amp;H146&amp;"*",'8N'!B$300:B$400,0)),"  "))</f>
        <v xml:space="preserve">  </v>
      </c>
      <c r="AF146" s="908" t="str">
        <f>IFERROR(INDEX('8M'!C$300:C$400,MATCH("*"&amp;H146&amp;"*",'8M'!B$300:B$400,0)),"  ")</f>
        <v xml:space="preserve">  </v>
      </c>
      <c r="AG146" s="907" t="str">
        <f>IFERROR(INDEX('8N'!C$300:C$400,MATCH("*"&amp;H146&amp;"*",'8N'!B$300:B$400,0)),"  ")</f>
        <v xml:space="preserve">  </v>
      </c>
      <c r="AH146" s="440"/>
      <c r="AI146" s="75" t="str">
        <f>IFERROR(INDEX('9'!C$300:C$400,MATCH("*"&amp;H146&amp;"*",'9'!B$300:B$400,0)),"  ")</f>
        <v xml:space="preserve">  </v>
      </c>
      <c r="AJ146" s="830" t="str">
        <f>IFERROR(INDEX('10'!C$300:C$400,MATCH("*"&amp;H146&amp;"*",'10'!B$300:B$400,0)),"  ")</f>
        <v xml:space="preserve">  </v>
      </c>
      <c r="AK146" s="75" t="str">
        <f>IFERROR(INDEX('11'!C$300:C$400,MATCH("*"&amp;H146&amp;"*",'11'!B$300:B$400,0)),"  ")</f>
        <v xml:space="preserve">  </v>
      </c>
      <c r="AL146" s="75" t="str">
        <f>IFERROR(INDEX('12'!C$300:C$400,MATCH("*"&amp;H146&amp;"*",'12'!B$300:B$400,0)),"  ")</f>
        <v xml:space="preserve">  </v>
      </c>
      <c r="AM146" s="26">
        <f t="shared" ca="1" si="70"/>
        <v>0</v>
      </c>
      <c r="AN146" s="579">
        <f t="shared" ca="1" si="60"/>
        <v>0</v>
      </c>
      <c r="AO146" s="580">
        <f t="shared" ca="1" si="71"/>
        <v>0</v>
      </c>
      <c r="AP146" s="27">
        <f t="shared" ca="1" si="72"/>
        <v>0</v>
      </c>
      <c r="AQ146" s="933">
        <f t="shared" si="75"/>
        <v>2.0000000000000001E-4</v>
      </c>
      <c r="AR146" s="933">
        <f t="shared" ca="1" si="76"/>
        <v>1E-4</v>
      </c>
    </row>
    <row r="147" spans="1:44" x14ac:dyDescent="0.2">
      <c r="A147" s="851">
        <f t="shared" ca="1" si="61"/>
        <v>101</v>
      </c>
      <c r="B147" s="77">
        <f t="shared" ca="1" si="62"/>
        <v>10001</v>
      </c>
      <c r="C147" s="853" t="str">
        <f t="shared" ca="1" si="73"/>
        <v/>
      </c>
      <c r="D147" s="76">
        <f t="shared" si="63"/>
        <v>0</v>
      </c>
      <c r="E147" s="855" t="str">
        <f t="shared" ca="1" si="74"/>
        <v/>
      </c>
      <c r="F147" s="899">
        <f t="shared" si="64"/>
        <v>0</v>
      </c>
      <c r="G147" s="897">
        <f t="shared" ca="1" si="65"/>
        <v>134</v>
      </c>
      <c r="H147" s="133" t="s">
        <v>729</v>
      </c>
      <c r="I147" s="38"/>
      <c r="J147" s="585"/>
      <c r="K147" s="586"/>
      <c r="L147" s="587"/>
      <c r="M147" s="857">
        <f ca="1">(IF(COUNT(V147,AA147,AD147,AI147,AJ147,AL147)&lt;5,SUM(V147,AA147,AD147,AI147,AJ147,AL147),SUM(LARGE((V147,AA147,AD147,AI147,AJ147,AL147),{1;2;3;4;5}))))+(IF(COUNT(U147,W147,AB147,AC147,AE147,AK147)&lt;5,SUM(U147,W147,AB147,AC147,AE147,AK147),SUM(LARGE((U147,W147,AB147,AC147,AE147,AK147),{1;2;3;4;5}))))+T147</f>
        <v>1</v>
      </c>
      <c r="N147" s="862">
        <f>IF(I147="n",((IF(COUNT(V147,AA147,AD147,AI147,AJ147,AL147)&lt;5,SUM(V147,AA147,AD147,AI147,AJ147,AL147),SUM(LARGE((V147,AA147,AD147,AI147,AJ147,AL147),{1;2;3;4;5}))))+(IF(COUNT(U147,Y147,AB147,AC147,AG147,AK147)&lt;5,SUM(U147,Y147,AB147,AC147,AG147,AK147),SUM(LARGE((U147,Y147,AB147,AC147,AG147,AK147),{1;2;3;4;5}))))+T147),0)</f>
        <v>0</v>
      </c>
      <c r="O147" s="863">
        <f>IF(J147="j",((IF(COUNT(V147,AA147,AD147,AI147,AJ147,AL147)&lt;5,SUM(V147,AA147,AD147,AI147,AJ147,AL147),SUM(LARGE((V147,AA147,AD147,AI147,AJ147,AL147),{1;2;3;4;5}))))+(IF(COUNT(U147,W147,AB147,AC147,AE147,AK147)&lt;5,SUM(U147,W147,AB147,AC147,AE147,AK147),SUM(LARGE((U147,W147,AB147,AC147,AE147,AK147),{1;2;3;4;5}))))+T147),0)</f>
        <v>0</v>
      </c>
      <c r="P147" s="886" t="str">
        <f t="shared" ca="1" si="66"/>
        <v>001,0</v>
      </c>
      <c r="Q147" s="890">
        <f t="shared" si="67"/>
        <v>120</v>
      </c>
      <c r="R147" s="886" t="str">
        <f t="shared" ca="1" si="68"/>
        <v>0001,0-120</v>
      </c>
      <c r="S147" s="889">
        <f t="shared" ca="1" si="69"/>
        <v>55</v>
      </c>
      <c r="T147" s="847">
        <v>1</v>
      </c>
      <c r="U147" s="75" t="str">
        <f>IFERROR(INDEX('1'!C$300:C$400,MATCH("*"&amp;H147&amp;"*",'1'!B$300:B$400,0)),"  ")</f>
        <v xml:space="preserve">  </v>
      </c>
      <c r="V147" s="199" t="str">
        <f>IFERROR(INDEX('2'!C$300:C$400,MATCH("*"&amp;H147&amp;"*",'2'!B$300:B$400,0)),"  ")</f>
        <v xml:space="preserve">  </v>
      </c>
      <c r="W147" s="199" t="str">
        <f ca="1">IF(I147="",IFERROR(INDEX('3M'!C$300:C$400,MATCH("*"&amp;H147&amp;"*",'3M'!B$300:B$400,0)),"  "),IFERROR(INDEX('3N'!D$300:D$400,MATCH("*"&amp;H147&amp;"*",'3N'!B$300:B$400,0)),"  "))</f>
        <v xml:space="preserve">  </v>
      </c>
      <c r="X147" s="908" t="str">
        <f ca="1">IFERROR(INDEX('3M'!C$300:C$400,MATCH("*"&amp;H147&amp;"*",'3M'!B$300:B$400,0)),"  ")</f>
        <v xml:space="preserve">  </v>
      </c>
      <c r="Y147" s="907" t="str">
        <f ca="1">IFERROR(INDEX('3N'!C$300:C$400,MATCH("*"&amp;H147&amp;"*",'3N'!B$300:B$400,0)),"  ")</f>
        <v xml:space="preserve">  </v>
      </c>
      <c r="Z147" s="440"/>
      <c r="AA147" s="75" t="str">
        <f>IFERROR(INDEX('4'!C$300:C$400,MATCH("*"&amp;H147&amp;"*",'4'!B$300:B$400,0)),"  ")</f>
        <v xml:space="preserve">  </v>
      </c>
      <c r="AB147" s="75" t="str">
        <f>IFERROR(INDEX('5'!C$300:C$400,MATCH("*"&amp;H147&amp;"*",'5'!B$300:B$400,0)),"  ")</f>
        <v xml:space="preserve">  </v>
      </c>
      <c r="AC147" s="75" t="str">
        <f>IFERROR(INDEX('6'!C$300:C$400,MATCH("*"&amp;H147&amp;"*",'6'!B$300:B$400,0)),"  ")</f>
        <v xml:space="preserve">  </v>
      </c>
      <c r="AD147" s="75" t="str">
        <f>IFERROR(INDEX('7'!C$300:C$400,MATCH("*"&amp;H147&amp;"*",'7'!B$300:B$400,0)),"  ")</f>
        <v xml:space="preserve">  </v>
      </c>
      <c r="AE147" s="75" t="str">
        <f>IF(I147="",IFERROR(INDEX('8M'!C$300:C$400,MATCH("*"&amp;H147&amp;"*",'8M'!B$300:B$400,0)),"  "),IFERROR(INDEX('8N'!D$300:D$400,MATCH("*"&amp;H147&amp;"*",'8N'!B$300:B$400,0)),"  "))</f>
        <v xml:space="preserve">  </v>
      </c>
      <c r="AF147" s="908" t="str">
        <f>IFERROR(INDEX('8M'!C$300:C$400,MATCH("*"&amp;H147&amp;"*",'8M'!B$300:B$400,0)),"  ")</f>
        <v xml:space="preserve">  </v>
      </c>
      <c r="AG147" s="907" t="str">
        <f>IFERROR(INDEX('8N'!C$300:C$400,MATCH("*"&amp;H147&amp;"*",'8N'!B$300:B$400,0)),"  ")</f>
        <v xml:space="preserve">  </v>
      </c>
      <c r="AH147" s="440"/>
      <c r="AI147" s="75" t="str">
        <f>IFERROR(INDEX('9'!C$300:C$400,MATCH("*"&amp;H147&amp;"*",'9'!B$300:B$400,0)),"  ")</f>
        <v xml:space="preserve">  </v>
      </c>
      <c r="AJ147" s="830" t="str">
        <f>IFERROR(INDEX('10'!C$300:C$400,MATCH("*"&amp;H147&amp;"*",'10'!B$300:B$400,0)),"  ")</f>
        <v xml:space="preserve">  </v>
      </c>
      <c r="AK147" s="75" t="str">
        <f>IFERROR(INDEX('11'!C$300:C$400,MATCH("*"&amp;H147&amp;"*",'11'!B$300:B$400,0)),"  ")</f>
        <v xml:space="preserve">  </v>
      </c>
      <c r="AL147" s="75" t="str">
        <f>IFERROR(INDEX('12'!C$300:C$400,MATCH("*"&amp;H147&amp;"*",'12'!B$300:B$400,0)),"  ")</f>
        <v xml:space="preserve">  </v>
      </c>
      <c r="AM147" s="26">
        <f t="shared" ca="1" si="70"/>
        <v>0</v>
      </c>
      <c r="AN147" s="579">
        <f t="shared" ca="1" si="60"/>
        <v>0</v>
      </c>
      <c r="AO147" s="580">
        <f t="shared" ca="1" si="71"/>
        <v>0</v>
      </c>
      <c r="AP147" s="27">
        <f t="shared" ca="1" si="72"/>
        <v>0</v>
      </c>
      <c r="AQ147" s="933">
        <f t="shared" si="75"/>
        <v>2.0000000000000001E-4</v>
      </c>
      <c r="AR147" s="933">
        <f t="shared" ca="1" si="76"/>
        <v>1E-4</v>
      </c>
    </row>
    <row r="148" spans="1:44" x14ac:dyDescent="0.2">
      <c r="A148" s="851" t="str">
        <f t="shared" ca="1" si="61"/>
        <v/>
      </c>
      <c r="B148" s="77">
        <f t="shared" si="62"/>
        <v>0</v>
      </c>
      <c r="C148" s="853">
        <f t="shared" ca="1" si="73"/>
        <v>34</v>
      </c>
      <c r="D148" s="76">
        <f t="shared" ca="1" si="63"/>
        <v>10001</v>
      </c>
      <c r="E148" s="855" t="str">
        <f t="shared" ca="1" si="74"/>
        <v/>
      </c>
      <c r="F148" s="899">
        <f t="shared" si="64"/>
        <v>0</v>
      </c>
      <c r="G148" s="897">
        <f t="shared" ca="1" si="65"/>
        <v>134</v>
      </c>
      <c r="H148" s="177" t="s">
        <v>732</v>
      </c>
      <c r="I148" s="38" t="s">
        <v>32</v>
      </c>
      <c r="J148" s="585"/>
      <c r="K148" s="586"/>
      <c r="L148" s="588" t="s">
        <v>720</v>
      </c>
      <c r="M148" s="857">
        <f ca="1">(IF(COUNT(V148,AA148,AD148,AI148,AJ148,AL148)&lt;5,SUM(V148,AA148,AD148,AI148,AJ148,AL148),SUM(LARGE((V148,AA148,AD148,AI148,AJ148,AL148),{1;2;3;4;5}))))+(IF(COUNT(U148,W148,AB148,AC148,AE148,AK148)&lt;5,SUM(U148,W148,AB148,AC148,AE148,AK148),SUM(LARGE((U148,W148,AB148,AC148,AE148,AK148),{1;2;3;4;5}))))+T148</f>
        <v>1</v>
      </c>
      <c r="N148" s="862">
        <f ca="1">IF(I148="n",((IF(COUNT(V148,AA148,AD148,AI148,AJ148,AL148)&lt;5,SUM(V148,AA148,AD148,AI148,AJ148,AL148),SUM(LARGE((V148,AA148,AD148,AI148,AJ148,AL148),{1;2;3;4;5}))))+(IF(COUNT(U148,Y148,AB148,AC148,AG148,AK148)&lt;5,SUM(U148,Y148,AB148,AC148,AG148,AK148),SUM(LARGE((U148,Y148,AB148,AC148,AG148,AK148),{1;2;3;4;5}))))+T148),0)</f>
        <v>1</v>
      </c>
      <c r="O148" s="863">
        <f>IF(J148="j",((IF(COUNT(V148,AA148,AD148,AI148,AJ148,AL148)&lt;5,SUM(V148,AA148,AD148,AI148,AJ148,AL148),SUM(LARGE((V148,AA148,AD148,AI148,AJ148,AL148),{1;2;3;4;5}))))+(IF(COUNT(U148,W148,AB148,AC148,AE148,AK148)&lt;5,SUM(U148,W148,AB148,AC148,AE148,AK148),SUM(LARGE((U148,W148,AB148,AC148,AE148,AK148),{1;2;3;4;5}))))+T148),0)</f>
        <v>0</v>
      </c>
      <c r="P148" s="886" t="str">
        <f t="shared" ca="1" si="66"/>
        <v>001,0</v>
      </c>
      <c r="Q148" s="890">
        <f t="shared" si="67"/>
        <v>115</v>
      </c>
      <c r="R148" s="886" t="str">
        <f t="shared" ca="1" si="68"/>
        <v>0001,0-115</v>
      </c>
      <c r="S148" s="889">
        <f t="shared" ca="1" si="69"/>
        <v>54</v>
      </c>
      <c r="T148" s="847">
        <v>1</v>
      </c>
      <c r="U148" s="75" t="str">
        <f>IFERROR(INDEX('1'!C$300:C$400,MATCH("*"&amp;H148&amp;"*",'1'!B$300:B$400,0)),"  ")</f>
        <v xml:space="preserve">  </v>
      </c>
      <c r="V148" s="199" t="str">
        <f>IFERROR(INDEX('2'!C$300:C$400,MATCH("*"&amp;H148&amp;"*",'2'!B$300:B$400,0)),"  ")</f>
        <v xml:space="preserve">  </v>
      </c>
      <c r="W148" s="199" t="str">
        <f ca="1">IF(I148="",IFERROR(INDEX('3M'!C$300:C$400,MATCH("*"&amp;H148&amp;"*",'3M'!B$300:B$400,0)),"  "),IFERROR(INDEX('3N'!D$300:D$400,MATCH("*"&amp;H148&amp;"*",'3N'!B$300:B$400,0)),"  "))</f>
        <v xml:space="preserve">  </v>
      </c>
      <c r="X148" s="908" t="str">
        <f ca="1">IFERROR(INDEX('3M'!C$300:C$400,MATCH("*"&amp;H148&amp;"*",'3M'!B$300:B$400,0)),"  ")</f>
        <v xml:space="preserve">  </v>
      </c>
      <c r="Y148" s="907" t="str">
        <f ca="1">IFERROR(INDEX('3N'!C$300:C$400,MATCH("*"&amp;H148&amp;"*",'3N'!B$300:B$400,0)),"  ")</f>
        <v xml:space="preserve">  </v>
      </c>
      <c r="Z148" s="440"/>
      <c r="AA148" s="75" t="str">
        <f>IFERROR(INDEX('4'!C$300:C$400,MATCH("*"&amp;H148&amp;"*",'4'!B$300:B$400,0)),"  ")</f>
        <v xml:space="preserve">  </v>
      </c>
      <c r="AB148" s="75" t="str">
        <f>IFERROR(INDEX('5'!C$300:C$400,MATCH("*"&amp;H148&amp;"*",'5'!B$300:B$400,0)),"  ")</f>
        <v xml:space="preserve">  </v>
      </c>
      <c r="AC148" s="75" t="str">
        <f>IFERROR(INDEX('6'!C$300:C$400,MATCH("*"&amp;H148&amp;"*",'6'!B$300:B$400,0)),"  ")</f>
        <v xml:space="preserve">  </v>
      </c>
      <c r="AD148" s="75" t="str">
        <f>IFERROR(INDEX('7'!C$300:C$400,MATCH("*"&amp;H148&amp;"*",'7'!B$300:B$400,0)),"  ")</f>
        <v xml:space="preserve">  </v>
      </c>
      <c r="AE148" s="75" t="str">
        <f>IF(I148="",IFERROR(INDEX('8M'!C$300:C$400,MATCH("*"&amp;H148&amp;"*",'8M'!B$300:B$400,0)),"  "),IFERROR(INDEX('8N'!D$300:D$400,MATCH("*"&amp;H148&amp;"*",'8N'!B$300:B$400,0)),"  "))</f>
        <v xml:space="preserve">  </v>
      </c>
      <c r="AF148" s="908" t="str">
        <f>IFERROR(INDEX('8M'!C$300:C$400,MATCH("*"&amp;H148&amp;"*",'8M'!B$300:B$400,0)),"  ")</f>
        <v xml:space="preserve">  </v>
      </c>
      <c r="AG148" s="907" t="str">
        <f>IFERROR(INDEX('8N'!C$300:C$400,MATCH("*"&amp;H148&amp;"*",'8N'!B$300:B$400,0)),"  ")</f>
        <v xml:space="preserve">  </v>
      </c>
      <c r="AH148" s="440"/>
      <c r="AI148" s="75" t="str">
        <f>IFERROR(INDEX('9'!C$300:C$400,MATCH("*"&amp;H148&amp;"*",'9'!B$300:B$400,0)),"  ")</f>
        <v xml:space="preserve">  </v>
      </c>
      <c r="AJ148" s="830" t="str">
        <f>IFERROR(INDEX('10'!C$300:C$400,MATCH("*"&amp;H148&amp;"*",'10'!B$300:B$400,0)),"  ")</f>
        <v xml:space="preserve">  </v>
      </c>
      <c r="AK148" s="75" t="str">
        <f>IFERROR(INDEX('11'!C$300:C$400,MATCH("*"&amp;H148&amp;"*",'11'!B$300:B$400,0)),"  ")</f>
        <v xml:space="preserve">  </v>
      </c>
      <c r="AL148" s="75" t="str">
        <f>IFERROR(INDEX('12'!C$300:C$400,MATCH("*"&amp;H148&amp;"*",'12'!B$300:B$400,0)),"  ")</f>
        <v xml:space="preserve">  </v>
      </c>
      <c r="AM148" s="26">
        <f t="shared" ca="1" si="70"/>
        <v>0</v>
      </c>
      <c r="AN148" s="579">
        <f t="shared" ca="1" si="60"/>
        <v>0</v>
      </c>
      <c r="AO148" s="580">
        <f t="shared" ca="1" si="71"/>
        <v>0</v>
      </c>
      <c r="AP148" s="27">
        <f t="shared" ca="1" si="72"/>
        <v>0</v>
      </c>
      <c r="AQ148" s="933">
        <f t="shared" si="75"/>
        <v>2.0000000000000001E-4</v>
      </c>
      <c r="AR148" s="933">
        <f t="shared" ca="1" si="76"/>
        <v>1E-4</v>
      </c>
    </row>
    <row r="149" spans="1:44" x14ac:dyDescent="0.2">
      <c r="A149" s="851" t="str">
        <f t="shared" ca="1" si="61"/>
        <v/>
      </c>
      <c r="B149" s="77">
        <f t="shared" si="62"/>
        <v>0</v>
      </c>
      <c r="C149" s="853">
        <f t="shared" ca="1" si="73"/>
        <v>34</v>
      </c>
      <c r="D149" s="76">
        <f t="shared" ca="1" si="63"/>
        <v>10001</v>
      </c>
      <c r="E149" s="855" t="str">
        <f t="shared" ca="1" si="74"/>
        <v/>
      </c>
      <c r="F149" s="899">
        <f t="shared" si="64"/>
        <v>0</v>
      </c>
      <c r="G149" s="897">
        <f t="shared" ca="1" si="65"/>
        <v>134</v>
      </c>
      <c r="H149" s="133" t="s">
        <v>641</v>
      </c>
      <c r="I149" s="38" t="s">
        <v>32</v>
      </c>
      <c r="J149" s="585"/>
      <c r="K149" s="586"/>
      <c r="L149" s="587"/>
      <c r="M149" s="857">
        <f ca="1">(IF(COUNT(V149,AA149,AD149,AI149,AJ149,AL149)&lt;5,SUM(V149,AA149,AD149,AI149,AJ149,AL149),SUM(LARGE((V149,AA149,AD149,AI149,AJ149,AL149),{1;2;3;4;5}))))+(IF(COUNT(U149,W149,AB149,AC149,AE149,AK149)&lt;5,SUM(U149,W149,AB149,AC149,AE149,AK149),SUM(LARGE((U149,W149,AB149,AC149,AE149,AK149),{1;2;3;4;5}))))+T149</f>
        <v>1</v>
      </c>
      <c r="N149" s="862">
        <f ca="1">IF(I149="n",((IF(COUNT(V149,AA149,AD149,AI149,AJ149,AL149)&lt;5,SUM(V149,AA149,AD149,AI149,AJ149,AL149),SUM(LARGE((V149,AA149,AD149,AI149,AJ149,AL149),{1;2;3;4;5}))))+(IF(COUNT(U149,Y149,AB149,AC149,AG149,AK149)&lt;5,SUM(U149,Y149,AB149,AC149,AG149,AK149),SUM(LARGE((U149,Y149,AB149,AC149,AG149,AK149),{1;2;3;4;5}))))+T149),0)</f>
        <v>1</v>
      </c>
      <c r="O149" s="863">
        <f>IF(J149="j",((IF(COUNT(V149,AA149,AD149,AI149,AJ149,AL149)&lt;5,SUM(V149,AA149,AD149,AI149,AJ149,AL149),SUM(LARGE((V149,AA149,AD149,AI149,AJ149,AL149),{1;2;3;4;5}))))+(IF(COUNT(U149,W149,AB149,AC149,AE149,AK149)&lt;5,SUM(U149,W149,AB149,AC149,AE149,AK149),SUM(LARGE((U149,W149,AB149,AC149,AE149,AK149),{1;2;3;4;5}))))+T149),0)</f>
        <v>0</v>
      </c>
      <c r="P149" s="886" t="str">
        <f t="shared" ca="1" si="66"/>
        <v>001,0</v>
      </c>
      <c r="Q149" s="890">
        <f t="shared" si="67"/>
        <v>112</v>
      </c>
      <c r="R149" s="886" t="str">
        <f t="shared" ca="1" si="68"/>
        <v>0001,0-112</v>
      </c>
      <c r="S149" s="889">
        <f t="shared" ca="1" si="69"/>
        <v>53</v>
      </c>
      <c r="T149" s="847">
        <v>1</v>
      </c>
      <c r="U149" s="75" t="str">
        <f>IFERROR(INDEX('1'!C$300:C$400,MATCH("*"&amp;H149&amp;"*",'1'!B$300:B$400,0)),"  ")</f>
        <v xml:space="preserve">  </v>
      </c>
      <c r="V149" s="199" t="str">
        <f>IFERROR(INDEX('2'!C$300:C$400,MATCH("*"&amp;H149&amp;"*",'2'!B$300:B$400,0)),"  ")</f>
        <v xml:space="preserve">  </v>
      </c>
      <c r="W149" s="199" t="str">
        <f ca="1">IF(I149="",IFERROR(INDEX('3M'!C$300:C$400,MATCH("*"&amp;H149&amp;"*",'3M'!B$300:B$400,0)),"  "),IFERROR(INDEX('3N'!D$300:D$400,MATCH("*"&amp;H149&amp;"*",'3N'!B$300:B$400,0)),"  "))</f>
        <v xml:space="preserve">  </v>
      </c>
      <c r="X149" s="908" t="str">
        <f ca="1">IFERROR(INDEX('3M'!C$300:C$400,MATCH("*"&amp;H149&amp;"*",'3M'!B$300:B$400,0)),"  ")</f>
        <v xml:space="preserve">  </v>
      </c>
      <c r="Y149" s="907" t="str">
        <f ca="1">IFERROR(INDEX('3N'!C$300:C$400,MATCH("*"&amp;H149&amp;"*",'3N'!B$300:B$400,0)),"  ")</f>
        <v xml:space="preserve">  </v>
      </c>
      <c r="Z149" s="440"/>
      <c r="AA149" s="75" t="str">
        <f>IFERROR(INDEX('4'!C$300:C$400,MATCH("*"&amp;H149&amp;"*",'4'!B$300:B$400,0)),"  ")</f>
        <v xml:space="preserve">  </v>
      </c>
      <c r="AB149" s="75" t="str">
        <f>IFERROR(INDEX('5'!C$300:C$400,MATCH("*"&amp;H149&amp;"*",'5'!B$300:B$400,0)),"  ")</f>
        <v xml:space="preserve">  </v>
      </c>
      <c r="AC149" s="75" t="str">
        <f>IFERROR(INDEX('6'!C$300:C$400,MATCH("*"&amp;H149&amp;"*",'6'!B$300:B$400,0)),"  ")</f>
        <v xml:space="preserve">  </v>
      </c>
      <c r="AD149" s="75" t="str">
        <f>IFERROR(INDEX('7'!C$300:C$400,MATCH("*"&amp;H149&amp;"*",'7'!B$300:B$400,0)),"  ")</f>
        <v xml:space="preserve">  </v>
      </c>
      <c r="AE149" s="75" t="str">
        <f>IF(I149="",IFERROR(INDEX('8M'!C$300:C$400,MATCH("*"&amp;H149&amp;"*",'8M'!B$300:B$400,0)),"  "),IFERROR(INDEX('8N'!D$300:D$400,MATCH("*"&amp;H149&amp;"*",'8N'!B$300:B$400,0)),"  "))</f>
        <v xml:space="preserve">  </v>
      </c>
      <c r="AF149" s="908" t="str">
        <f>IFERROR(INDEX('8M'!C$300:C$400,MATCH("*"&amp;H149&amp;"*",'8M'!B$300:B$400,0)),"  ")</f>
        <v xml:space="preserve">  </v>
      </c>
      <c r="AG149" s="907" t="str">
        <f>IFERROR(INDEX('8N'!C$300:C$400,MATCH("*"&amp;H149&amp;"*",'8N'!B$300:B$400,0)),"  ")</f>
        <v xml:space="preserve">  </v>
      </c>
      <c r="AH149" s="440"/>
      <c r="AI149" s="75" t="str">
        <f>IFERROR(INDEX('9'!C$300:C$400,MATCH("*"&amp;H149&amp;"*",'9'!B$300:B$400,0)),"  ")</f>
        <v xml:space="preserve">  </v>
      </c>
      <c r="AJ149" s="830" t="str">
        <f>IFERROR(INDEX('10'!C$300:C$400,MATCH("*"&amp;H149&amp;"*",'10'!B$300:B$400,0)),"  ")</f>
        <v xml:space="preserve">  </v>
      </c>
      <c r="AK149" s="75" t="str">
        <f>IFERROR(INDEX('11'!C$300:C$400,MATCH("*"&amp;H149&amp;"*",'11'!B$300:B$400,0)),"  ")</f>
        <v xml:space="preserve">  </v>
      </c>
      <c r="AL149" s="75" t="str">
        <f>IFERROR(INDEX('12'!C$300:C$400,MATCH("*"&amp;H149&amp;"*",'12'!B$300:B$400,0)),"  ")</f>
        <v xml:space="preserve">  </v>
      </c>
      <c r="AM149" s="26">
        <f t="shared" ca="1" si="70"/>
        <v>0</v>
      </c>
      <c r="AN149" s="579">
        <f t="shared" ca="1" si="60"/>
        <v>0</v>
      </c>
      <c r="AO149" s="580">
        <f t="shared" ca="1" si="71"/>
        <v>0</v>
      </c>
      <c r="AP149" s="27">
        <f t="shared" ca="1" si="72"/>
        <v>0</v>
      </c>
      <c r="AQ149" s="933">
        <f t="shared" si="75"/>
        <v>2.0000000000000001E-4</v>
      </c>
      <c r="AR149" s="933">
        <f t="shared" ca="1" si="76"/>
        <v>1E-4</v>
      </c>
    </row>
    <row r="150" spans="1:44" x14ac:dyDescent="0.2">
      <c r="A150" s="851">
        <f t="shared" ca="1" si="61"/>
        <v>101</v>
      </c>
      <c r="B150" s="77">
        <f t="shared" ca="1" si="62"/>
        <v>10001</v>
      </c>
      <c r="C150" s="853" t="str">
        <f t="shared" ca="1" si="73"/>
        <v/>
      </c>
      <c r="D150" s="76">
        <f t="shared" si="63"/>
        <v>0</v>
      </c>
      <c r="E150" s="855" t="str">
        <f t="shared" ca="1" si="74"/>
        <v/>
      </c>
      <c r="F150" s="899">
        <f t="shared" si="64"/>
        <v>0</v>
      </c>
      <c r="G150" s="897">
        <f t="shared" ca="1" si="65"/>
        <v>134</v>
      </c>
      <c r="H150" s="133" t="s">
        <v>221</v>
      </c>
      <c r="I150" s="38"/>
      <c r="J150" s="585"/>
      <c r="K150" s="586" t="s">
        <v>718</v>
      </c>
      <c r="L150" s="587"/>
      <c r="M150" s="857">
        <f ca="1">(IF(COUNT(V150,AA150,AD150,AI150,AJ150,AL150)&lt;5,SUM(V150,AA150,AD150,AI150,AJ150,AL150),SUM(LARGE((V150,AA150,AD150,AI150,AJ150,AL150),{1;2;3;4;5}))))+(IF(COUNT(U150,W150,AB150,AC150,AE150,AK150)&lt;5,SUM(U150,W150,AB150,AC150,AE150,AK150),SUM(LARGE((U150,W150,AB150,AC150,AE150,AK150),{1;2;3;4;5}))))+T150</f>
        <v>1</v>
      </c>
      <c r="N150" s="862">
        <f>IF(I150="n",((IF(COUNT(V150,AA150,AD150,AI150,AJ150,AL150)&lt;5,SUM(V150,AA150,AD150,AI150,AJ150,AL150),SUM(LARGE((V150,AA150,AD150,AI150,AJ150,AL150),{1;2;3;4;5}))))+(IF(COUNT(U150,Y150,AB150,AC150,AG150,AK150)&lt;5,SUM(U150,Y150,AB150,AC150,AG150,AK150),SUM(LARGE((U150,Y150,AB150,AC150,AG150,AK150),{1;2;3;4;5}))))+T150),0)</f>
        <v>0</v>
      </c>
      <c r="O150" s="863">
        <f>IF(J150="j",((IF(COUNT(V150,AA150,AD150,AI150,AJ150,AL150)&lt;5,SUM(V150,AA150,AD150,AI150,AJ150,AL150),SUM(LARGE((V150,AA150,AD150,AI150,AJ150,AL150),{1;2;3;4;5}))))+(IF(COUNT(U150,W150,AB150,AC150,AE150,AK150)&lt;5,SUM(U150,W150,AB150,AC150,AE150,AK150),SUM(LARGE((U150,W150,AB150,AC150,AE150,AK150),{1;2;3;4;5}))))+T150),0)</f>
        <v>0</v>
      </c>
      <c r="P150" s="886" t="str">
        <f t="shared" ca="1" si="66"/>
        <v>001,0</v>
      </c>
      <c r="Q150" s="890">
        <f t="shared" si="67"/>
        <v>103</v>
      </c>
      <c r="R150" s="886" t="str">
        <f t="shared" ca="1" si="68"/>
        <v>0001,0-103</v>
      </c>
      <c r="S150" s="889">
        <f t="shared" ca="1" si="69"/>
        <v>52</v>
      </c>
      <c r="T150" s="847">
        <v>1</v>
      </c>
      <c r="U150" s="75" t="str">
        <f>IFERROR(INDEX('1'!C$300:C$400,MATCH("*"&amp;H150&amp;"*",'1'!B$300:B$400,0)),"  ")</f>
        <v xml:space="preserve">  </v>
      </c>
      <c r="V150" s="199" t="str">
        <f>IFERROR(INDEX('2'!C$300:C$400,MATCH("*"&amp;H150&amp;"*",'2'!B$300:B$400,0)),"  ")</f>
        <v xml:space="preserve">  </v>
      </c>
      <c r="W150" s="199" t="str">
        <f ca="1">IF(I150="",IFERROR(INDEX('3M'!C$300:C$400,MATCH("*"&amp;H150&amp;"*",'3M'!B$300:B$400,0)),"  "),IFERROR(INDEX('3N'!D$300:D$400,MATCH("*"&amp;H150&amp;"*",'3N'!B$300:B$400,0)),"  "))</f>
        <v xml:space="preserve">  </v>
      </c>
      <c r="X150" s="908" t="str">
        <f ca="1">IFERROR(INDEX('3M'!C$300:C$400,MATCH("*"&amp;H150&amp;"*",'3M'!B$300:B$400,0)),"  ")</f>
        <v xml:space="preserve">  </v>
      </c>
      <c r="Y150" s="907" t="str">
        <f ca="1">IFERROR(INDEX('3N'!C$300:C$400,MATCH("*"&amp;H150&amp;"*",'3N'!B$300:B$400,0)),"  ")</f>
        <v xml:space="preserve">  </v>
      </c>
      <c r="Z150" s="440"/>
      <c r="AA150" s="75" t="str">
        <f>IFERROR(INDEX('4'!C$300:C$400,MATCH("*"&amp;H150&amp;"*",'4'!B$300:B$400,0)),"  ")</f>
        <v xml:space="preserve">  </v>
      </c>
      <c r="AB150" s="75" t="str">
        <f>IFERROR(INDEX('5'!C$300:C$400,MATCH("*"&amp;H150&amp;"*",'5'!B$300:B$400,0)),"  ")</f>
        <v xml:space="preserve">  </v>
      </c>
      <c r="AC150" s="75" t="str">
        <f>IFERROR(INDEX('6'!C$300:C$400,MATCH("*"&amp;H150&amp;"*",'6'!B$300:B$400,0)),"  ")</f>
        <v xml:space="preserve">  </v>
      </c>
      <c r="AD150" s="75" t="str">
        <f>IFERROR(INDEX('7'!C$300:C$400,MATCH("*"&amp;H150&amp;"*",'7'!B$300:B$400,0)),"  ")</f>
        <v xml:space="preserve">  </v>
      </c>
      <c r="AE150" s="75" t="str">
        <f>IF(I150="",IFERROR(INDEX('8M'!C$300:C$400,MATCH("*"&amp;H150&amp;"*",'8M'!B$300:B$400,0)),"  "),IFERROR(INDEX('8N'!D$300:D$400,MATCH("*"&amp;H150&amp;"*",'8N'!B$300:B$400,0)),"  "))</f>
        <v xml:space="preserve">  </v>
      </c>
      <c r="AF150" s="908" t="str">
        <f>IFERROR(INDEX('8M'!C$300:C$400,MATCH("*"&amp;H150&amp;"*",'8M'!B$300:B$400,0)),"  ")</f>
        <v xml:space="preserve">  </v>
      </c>
      <c r="AG150" s="907" t="str">
        <f>IFERROR(INDEX('8N'!C$300:C$400,MATCH("*"&amp;H150&amp;"*",'8N'!B$300:B$400,0)),"  ")</f>
        <v xml:space="preserve">  </v>
      </c>
      <c r="AH150" s="440"/>
      <c r="AI150" s="75" t="str">
        <f>IFERROR(INDEX('9'!C$300:C$400,MATCH("*"&amp;H150&amp;"*",'9'!B$300:B$400,0)),"  ")</f>
        <v xml:space="preserve">  </v>
      </c>
      <c r="AJ150" s="830" t="str">
        <f>IFERROR(INDEX('10'!C$300:C$400,MATCH("*"&amp;H150&amp;"*",'10'!B$300:B$400,0)),"  ")</f>
        <v xml:space="preserve">  </v>
      </c>
      <c r="AK150" s="75" t="str">
        <f>IFERROR(INDEX('11'!C$300:C$400,MATCH("*"&amp;H150&amp;"*",'11'!B$300:B$400,0)),"  ")</f>
        <v xml:space="preserve">  </v>
      </c>
      <c r="AL150" s="75" t="str">
        <f>IFERROR(INDEX('12'!C$300:C$400,MATCH("*"&amp;H150&amp;"*",'12'!B$300:B$400,0)),"  ")</f>
        <v xml:space="preserve">  </v>
      </c>
      <c r="AM150" s="26">
        <f t="shared" ca="1" si="70"/>
        <v>0</v>
      </c>
      <c r="AN150" s="579">
        <f t="shared" ca="1" si="60"/>
        <v>0</v>
      </c>
      <c r="AO150" s="580">
        <f t="shared" ca="1" si="71"/>
        <v>0</v>
      </c>
      <c r="AP150" s="27">
        <f t="shared" ca="1" si="72"/>
        <v>0</v>
      </c>
      <c r="AQ150" s="933">
        <f t="shared" si="75"/>
        <v>2.0000000000000001E-4</v>
      </c>
      <c r="AR150" s="933">
        <f t="shared" ca="1" si="76"/>
        <v>1E-4</v>
      </c>
    </row>
    <row r="151" spans="1:44" x14ac:dyDescent="0.2">
      <c r="A151" s="851">
        <f t="shared" ca="1" si="61"/>
        <v>101</v>
      </c>
      <c r="B151" s="77">
        <f t="shared" ca="1" si="62"/>
        <v>10001</v>
      </c>
      <c r="C151" s="853" t="str">
        <f t="shared" ca="1" si="73"/>
        <v/>
      </c>
      <c r="D151" s="76">
        <f t="shared" si="63"/>
        <v>0</v>
      </c>
      <c r="E151" s="855" t="str">
        <f t="shared" ca="1" si="74"/>
        <v/>
      </c>
      <c r="F151" s="899">
        <f t="shared" si="64"/>
        <v>0</v>
      </c>
      <c r="G151" s="897">
        <f t="shared" ca="1" si="65"/>
        <v>134</v>
      </c>
      <c r="H151" s="133" t="s">
        <v>50</v>
      </c>
      <c r="I151" s="38"/>
      <c r="J151" s="585"/>
      <c r="K151" s="586"/>
      <c r="L151" s="587"/>
      <c r="M151" s="857">
        <f ca="1">(IF(COUNT(V151,AA151,AD151,AI151,AJ151,AL151)&lt;5,SUM(V151,AA151,AD151,AI151,AJ151,AL151),SUM(LARGE((V151,AA151,AD151,AI151,AJ151,AL151),{1;2;3;4;5}))))+(IF(COUNT(U151,W151,AB151,AC151,AE151,AK151)&lt;5,SUM(U151,W151,AB151,AC151,AE151,AK151),SUM(LARGE((U151,W151,AB151,AC151,AE151,AK151),{1;2;3;4;5}))))+T151</f>
        <v>1</v>
      </c>
      <c r="N151" s="862">
        <f>IF(I151="n",((IF(COUNT(V151,AA151,AD151,AI151,AJ151,AL151)&lt;5,SUM(V151,AA151,AD151,AI151,AJ151,AL151),SUM(LARGE((V151,AA151,AD151,AI151,AJ151,AL151),{1;2;3;4;5}))))+(IF(COUNT(U151,Y151,AB151,AC151,AG151,AK151)&lt;5,SUM(U151,Y151,AB151,AC151,AG151,AK151),SUM(LARGE((U151,Y151,AB151,AC151,AG151,AK151),{1;2;3;4;5}))))+T151),0)</f>
        <v>0</v>
      </c>
      <c r="O151" s="863">
        <f>IF(J151="j",((IF(COUNT(V151,AA151,AD151,AI151,AJ151,AL151)&lt;5,SUM(V151,AA151,AD151,AI151,AJ151,AL151),SUM(LARGE((V151,AA151,AD151,AI151,AJ151,AL151),{1;2;3;4;5}))))+(IF(COUNT(U151,W151,AB151,AC151,AE151,AK151)&lt;5,SUM(U151,W151,AB151,AC151,AE151,AK151),SUM(LARGE((U151,W151,AB151,AC151,AE151,AK151),{1;2;3;4;5}))))+T151),0)</f>
        <v>0</v>
      </c>
      <c r="P151" s="886" t="str">
        <f t="shared" ca="1" si="66"/>
        <v>001,0</v>
      </c>
      <c r="Q151" s="890">
        <f t="shared" si="67"/>
        <v>79</v>
      </c>
      <c r="R151" s="886" t="str">
        <f t="shared" ca="1" si="68"/>
        <v>0001,0-079</v>
      </c>
      <c r="S151" s="889">
        <f t="shared" ca="1" si="69"/>
        <v>51</v>
      </c>
      <c r="T151" s="847">
        <v>1</v>
      </c>
      <c r="U151" s="75" t="str">
        <f>IFERROR(INDEX('1'!C$300:C$400,MATCH("*"&amp;H151&amp;"*",'1'!B$300:B$400,0)),"  ")</f>
        <v xml:space="preserve">  </v>
      </c>
      <c r="V151" s="199" t="str">
        <f>IFERROR(INDEX('2'!C$300:C$400,MATCH("*"&amp;H151&amp;"*",'2'!B$300:B$400,0)),"  ")</f>
        <v xml:space="preserve">  </v>
      </c>
      <c r="W151" s="199" t="str">
        <f ca="1">IF(I151="",IFERROR(INDEX('3M'!C$300:C$400,MATCH("*"&amp;H151&amp;"*",'3M'!B$300:B$400,0)),"  "),IFERROR(INDEX('3N'!D$300:D$400,MATCH("*"&amp;H151&amp;"*",'3N'!B$300:B$400,0)),"  "))</f>
        <v xml:space="preserve">  </v>
      </c>
      <c r="X151" s="908" t="str">
        <f ca="1">IFERROR(INDEX('3M'!C$300:C$400,MATCH("*"&amp;H151&amp;"*",'3M'!B$300:B$400,0)),"  ")</f>
        <v xml:space="preserve">  </v>
      </c>
      <c r="Y151" s="907" t="str">
        <f ca="1">IFERROR(INDEX('3N'!C$300:C$400,MATCH("*"&amp;H151&amp;"*",'3N'!B$300:B$400,0)),"  ")</f>
        <v xml:space="preserve">  </v>
      </c>
      <c r="Z151" s="440"/>
      <c r="AA151" s="75" t="str">
        <f>IFERROR(INDEX('4'!C$300:C$400,MATCH("*"&amp;H151&amp;"*",'4'!B$300:B$400,0)),"  ")</f>
        <v xml:space="preserve">  </v>
      </c>
      <c r="AB151" s="75" t="str">
        <f>IFERROR(INDEX('5'!C$300:C$400,MATCH("*"&amp;H151&amp;"*",'5'!B$300:B$400,0)),"  ")</f>
        <v xml:space="preserve">  </v>
      </c>
      <c r="AC151" s="75" t="str">
        <f>IFERROR(INDEX('6'!C$300:C$400,MATCH("*"&amp;H151&amp;"*",'6'!B$300:B$400,0)),"  ")</f>
        <v xml:space="preserve">  </v>
      </c>
      <c r="AD151" s="75" t="str">
        <f>IFERROR(INDEX('7'!C$300:C$400,MATCH("*"&amp;H151&amp;"*",'7'!B$300:B$400,0)),"  ")</f>
        <v xml:space="preserve">  </v>
      </c>
      <c r="AE151" s="75" t="str">
        <f>IF(I151="",IFERROR(INDEX('8M'!C$300:C$400,MATCH("*"&amp;H151&amp;"*",'8M'!B$300:B$400,0)),"  "),IFERROR(INDEX('8N'!D$300:D$400,MATCH("*"&amp;H151&amp;"*",'8N'!B$300:B$400,0)),"  "))</f>
        <v xml:space="preserve">  </v>
      </c>
      <c r="AF151" s="908" t="str">
        <f>IFERROR(INDEX('8M'!C$300:C$400,MATCH("*"&amp;H151&amp;"*",'8M'!B$300:B$400,0)),"  ")</f>
        <v xml:space="preserve">  </v>
      </c>
      <c r="AG151" s="907" t="str">
        <f>IFERROR(INDEX('8N'!C$300:C$400,MATCH("*"&amp;H151&amp;"*",'8N'!B$300:B$400,0)),"  ")</f>
        <v xml:space="preserve">  </v>
      </c>
      <c r="AH151" s="440"/>
      <c r="AI151" s="75" t="str">
        <f>IFERROR(INDEX('9'!C$300:C$400,MATCH("*"&amp;H151&amp;"*",'9'!B$300:B$400,0)),"  ")</f>
        <v xml:space="preserve">  </v>
      </c>
      <c r="AJ151" s="830" t="str">
        <f>IFERROR(INDEX('10'!C$300:C$400,MATCH("*"&amp;H151&amp;"*",'10'!B$300:B$400,0)),"  ")</f>
        <v xml:space="preserve">  </v>
      </c>
      <c r="AK151" s="75" t="str">
        <f>IFERROR(INDEX('11'!C$300:C$400,MATCH("*"&amp;H151&amp;"*",'11'!B$300:B$400,0)),"  ")</f>
        <v xml:space="preserve">  </v>
      </c>
      <c r="AL151" s="75" t="str">
        <f>IFERROR(INDEX('12'!C$300:C$400,MATCH("*"&amp;H151&amp;"*",'12'!B$300:B$400,0)),"  ")</f>
        <v xml:space="preserve">  </v>
      </c>
      <c r="AM151" s="26">
        <f t="shared" ca="1" si="70"/>
        <v>0</v>
      </c>
      <c r="AN151" s="579">
        <f t="shared" ca="1" si="60"/>
        <v>0</v>
      </c>
      <c r="AO151" s="580">
        <f t="shared" ca="1" si="71"/>
        <v>0</v>
      </c>
      <c r="AP151" s="27">
        <f t="shared" ca="1" si="72"/>
        <v>0</v>
      </c>
      <c r="AQ151" s="933">
        <f t="shared" si="75"/>
        <v>2.0000000000000001E-4</v>
      </c>
      <c r="AR151" s="933">
        <f t="shared" ca="1" si="76"/>
        <v>1E-4</v>
      </c>
    </row>
    <row r="152" spans="1:44" x14ac:dyDescent="0.2">
      <c r="A152" s="851">
        <f t="shared" ca="1" si="61"/>
        <v>101</v>
      </c>
      <c r="B152" s="77">
        <f t="shared" ca="1" si="62"/>
        <v>10001</v>
      </c>
      <c r="C152" s="853" t="str">
        <f t="shared" ca="1" si="73"/>
        <v/>
      </c>
      <c r="D152" s="76">
        <f t="shared" si="63"/>
        <v>0</v>
      </c>
      <c r="E152" s="855" t="str">
        <f t="shared" ca="1" si="74"/>
        <v/>
      </c>
      <c r="F152" s="899">
        <f t="shared" si="64"/>
        <v>0</v>
      </c>
      <c r="G152" s="897">
        <f t="shared" ca="1" si="65"/>
        <v>134</v>
      </c>
      <c r="H152" s="133" t="s">
        <v>78</v>
      </c>
      <c r="I152" s="38"/>
      <c r="J152" s="585"/>
      <c r="K152" s="586"/>
      <c r="L152" s="587"/>
      <c r="M152" s="857">
        <f ca="1">(IF(COUNT(V152,AA152,AD152,AI152,AJ152,AL152)&lt;5,SUM(V152,AA152,AD152,AI152,AJ152,AL152),SUM(LARGE((V152,AA152,AD152,AI152,AJ152,AL152),{1;2;3;4;5}))))+(IF(COUNT(U152,W152,AB152,AC152,AE152,AK152)&lt;5,SUM(U152,W152,AB152,AC152,AE152,AK152),SUM(LARGE((U152,W152,AB152,AC152,AE152,AK152),{1;2;3;4;5}))))+T152</f>
        <v>1</v>
      </c>
      <c r="N152" s="862">
        <f>IF(I152="n",((IF(COUNT(V152,AA152,AD152,AI152,AJ152,AL152)&lt;5,SUM(V152,AA152,AD152,AI152,AJ152,AL152),SUM(LARGE((V152,AA152,AD152,AI152,AJ152,AL152),{1;2;3;4;5}))))+(IF(COUNT(U152,Y152,AB152,AC152,AG152,AK152)&lt;5,SUM(U152,Y152,AB152,AC152,AG152,AK152),SUM(LARGE((U152,Y152,AB152,AC152,AG152,AK152),{1;2;3;4;5}))))+T152),0)</f>
        <v>0</v>
      </c>
      <c r="O152" s="863">
        <f>IF(J152="j",((IF(COUNT(V152,AA152,AD152,AI152,AJ152,AL152)&lt;5,SUM(V152,AA152,AD152,AI152,AJ152,AL152),SUM(LARGE((V152,AA152,AD152,AI152,AJ152,AL152),{1;2;3;4;5}))))+(IF(COUNT(U152,W152,AB152,AC152,AE152,AK152)&lt;5,SUM(U152,W152,AB152,AC152,AE152,AK152),SUM(LARGE((U152,W152,AB152,AC152,AE152,AK152),{1;2;3;4;5}))))+T152),0)</f>
        <v>0</v>
      </c>
      <c r="P152" s="886" t="str">
        <f t="shared" ca="1" si="66"/>
        <v>001,0</v>
      </c>
      <c r="Q152" s="890">
        <f t="shared" si="67"/>
        <v>74</v>
      </c>
      <c r="R152" s="886" t="str">
        <f t="shared" ca="1" si="68"/>
        <v>0001,0-074</v>
      </c>
      <c r="S152" s="889">
        <f t="shared" ca="1" si="69"/>
        <v>50</v>
      </c>
      <c r="T152" s="847">
        <v>1</v>
      </c>
      <c r="U152" s="75" t="str">
        <f>IFERROR(INDEX('1'!C$300:C$400,MATCH("*"&amp;H152&amp;"*",'1'!B$300:B$400,0)),"  ")</f>
        <v xml:space="preserve">  </v>
      </c>
      <c r="V152" s="199" t="str">
        <f>IFERROR(INDEX('2'!C$300:C$400,MATCH("*"&amp;H152&amp;"*",'2'!B$300:B$400,0)),"  ")</f>
        <v xml:space="preserve">  </v>
      </c>
      <c r="W152" s="199" t="str">
        <f ca="1">IF(I152="",IFERROR(INDEX('3M'!C$300:C$400,MATCH("*"&amp;H152&amp;"*",'3M'!B$300:B$400,0)),"  "),IFERROR(INDEX('3N'!D$300:D$400,MATCH("*"&amp;H152&amp;"*",'3N'!B$300:B$400,0)),"  "))</f>
        <v xml:space="preserve">  </v>
      </c>
      <c r="X152" s="908" t="str">
        <f ca="1">IFERROR(INDEX('3M'!C$300:C$400,MATCH("*"&amp;H152&amp;"*",'3M'!B$300:B$400,0)),"  ")</f>
        <v xml:space="preserve">  </v>
      </c>
      <c r="Y152" s="907" t="str">
        <f ca="1">IFERROR(INDEX('3N'!C$300:C$400,MATCH("*"&amp;H152&amp;"*",'3N'!B$300:B$400,0)),"  ")</f>
        <v xml:space="preserve">  </v>
      </c>
      <c r="Z152" s="440"/>
      <c r="AA152" s="75" t="str">
        <f>IFERROR(INDEX('4'!C$300:C$400,MATCH("*"&amp;H152&amp;"*",'4'!B$300:B$400,0)),"  ")</f>
        <v xml:space="preserve">  </v>
      </c>
      <c r="AB152" s="75" t="str">
        <f>IFERROR(INDEX('5'!C$300:C$400,MATCH("*"&amp;H152&amp;"*",'5'!B$300:B$400,0)),"  ")</f>
        <v xml:space="preserve">  </v>
      </c>
      <c r="AC152" s="75" t="str">
        <f>IFERROR(INDEX('6'!C$300:C$400,MATCH("*"&amp;H152&amp;"*",'6'!B$300:B$400,0)),"  ")</f>
        <v xml:space="preserve">  </v>
      </c>
      <c r="AD152" s="75" t="str">
        <f>IFERROR(INDEX('7'!C$300:C$400,MATCH("*"&amp;H152&amp;"*",'7'!B$300:B$400,0)),"  ")</f>
        <v xml:space="preserve">  </v>
      </c>
      <c r="AE152" s="75" t="str">
        <f>IF(I152="",IFERROR(INDEX('8M'!C$300:C$400,MATCH("*"&amp;H152&amp;"*",'8M'!B$300:B$400,0)),"  "),IFERROR(INDEX('8N'!D$300:D$400,MATCH("*"&amp;H152&amp;"*",'8N'!B$300:B$400,0)),"  "))</f>
        <v xml:space="preserve">  </v>
      </c>
      <c r="AF152" s="908" t="str">
        <f>IFERROR(INDEX('8M'!C$300:C$400,MATCH("*"&amp;H152&amp;"*",'8M'!B$300:B$400,0)),"  ")</f>
        <v xml:space="preserve">  </v>
      </c>
      <c r="AG152" s="907" t="str">
        <f>IFERROR(INDEX('8N'!C$300:C$400,MATCH("*"&amp;H152&amp;"*",'8N'!B$300:B$400,0)),"  ")</f>
        <v xml:space="preserve">  </v>
      </c>
      <c r="AH152" s="440"/>
      <c r="AI152" s="75" t="str">
        <f>IFERROR(INDEX('9'!C$300:C$400,MATCH("*"&amp;H152&amp;"*",'9'!B$300:B$400,0)),"  ")</f>
        <v xml:space="preserve">  </v>
      </c>
      <c r="AJ152" s="830" t="str">
        <f>IFERROR(INDEX('10'!C$300:C$400,MATCH("*"&amp;H152&amp;"*",'10'!B$300:B$400,0)),"  ")</f>
        <v xml:space="preserve">  </v>
      </c>
      <c r="AK152" s="75" t="str">
        <f>IFERROR(INDEX('11'!C$300:C$400,MATCH("*"&amp;H152&amp;"*",'11'!B$300:B$400,0)),"  ")</f>
        <v xml:space="preserve">  </v>
      </c>
      <c r="AL152" s="75" t="str">
        <f>IFERROR(INDEX('12'!C$300:C$400,MATCH("*"&amp;H152&amp;"*",'12'!B$300:B$400,0)),"  ")</f>
        <v xml:space="preserve">  </v>
      </c>
      <c r="AM152" s="26">
        <f t="shared" ca="1" si="70"/>
        <v>0</v>
      </c>
      <c r="AN152" s="579">
        <f t="shared" ca="1" si="60"/>
        <v>0</v>
      </c>
      <c r="AO152" s="580">
        <f t="shared" ca="1" si="71"/>
        <v>0</v>
      </c>
      <c r="AP152" s="27">
        <f t="shared" ca="1" si="72"/>
        <v>0</v>
      </c>
      <c r="AQ152" s="933">
        <f t="shared" si="75"/>
        <v>2.0000000000000001E-4</v>
      </c>
      <c r="AR152" s="933">
        <f t="shared" ca="1" si="76"/>
        <v>1E-4</v>
      </c>
    </row>
    <row r="153" spans="1:44" x14ac:dyDescent="0.2">
      <c r="A153" s="851" t="str">
        <f t="shared" ca="1" si="61"/>
        <v/>
      </c>
      <c r="B153" s="77">
        <f t="shared" si="62"/>
        <v>0</v>
      </c>
      <c r="C153" s="853">
        <f t="shared" ca="1" si="73"/>
        <v>34</v>
      </c>
      <c r="D153" s="76">
        <f t="shared" ca="1" si="63"/>
        <v>10001</v>
      </c>
      <c r="E153" s="855" t="str">
        <f t="shared" ca="1" si="74"/>
        <v/>
      </c>
      <c r="F153" s="899">
        <f t="shared" si="64"/>
        <v>0</v>
      </c>
      <c r="G153" s="897">
        <f t="shared" ca="1" si="65"/>
        <v>134</v>
      </c>
      <c r="H153" s="133" t="s">
        <v>49</v>
      </c>
      <c r="I153" s="38" t="s">
        <v>32</v>
      </c>
      <c r="J153" s="585"/>
      <c r="K153" s="586"/>
      <c r="L153" s="587"/>
      <c r="M153" s="857">
        <f ca="1">(IF(COUNT(V153,AA153,AD153,AI153,AJ153,AL153)&lt;5,SUM(V153,AA153,AD153,AI153,AJ153,AL153),SUM(LARGE((V153,AA153,AD153,AI153,AJ153,AL153),{1;2;3;4;5}))))+(IF(COUNT(U153,W153,AB153,AC153,AE153,AK153)&lt;5,SUM(U153,W153,AB153,AC153,AE153,AK153),SUM(LARGE((U153,W153,AB153,AC153,AE153,AK153),{1;2;3;4;5}))))+T153</f>
        <v>1</v>
      </c>
      <c r="N153" s="862">
        <f ca="1">IF(I153="n",((IF(COUNT(V153,AA153,AD153,AI153,AJ153,AL153)&lt;5,SUM(V153,AA153,AD153,AI153,AJ153,AL153),SUM(LARGE((V153,AA153,AD153,AI153,AJ153,AL153),{1;2;3;4;5}))))+(IF(COUNT(U153,Y153,AB153,AC153,AG153,AK153)&lt;5,SUM(U153,Y153,AB153,AC153,AG153,AK153),SUM(LARGE((U153,Y153,AB153,AC153,AG153,AK153),{1;2;3;4;5}))))+T153),0)</f>
        <v>1</v>
      </c>
      <c r="O153" s="863">
        <f>IF(J153="j",((IF(COUNT(V153,AA153,AD153,AI153,AJ153,AL153)&lt;5,SUM(V153,AA153,AD153,AI153,AJ153,AL153),SUM(LARGE((V153,AA153,AD153,AI153,AJ153,AL153),{1;2;3;4;5}))))+(IF(COUNT(U153,W153,AB153,AC153,AE153,AK153)&lt;5,SUM(U153,W153,AB153,AC153,AE153,AK153),SUM(LARGE((U153,W153,AB153,AC153,AE153,AK153),{1;2;3;4;5}))))+T153),0)</f>
        <v>0</v>
      </c>
      <c r="P153" s="886" t="str">
        <f t="shared" ca="1" si="66"/>
        <v>001,0</v>
      </c>
      <c r="Q153" s="890">
        <f t="shared" si="67"/>
        <v>69</v>
      </c>
      <c r="R153" s="886" t="str">
        <f t="shared" ca="1" si="68"/>
        <v>0001,0-069</v>
      </c>
      <c r="S153" s="889">
        <f t="shared" ca="1" si="69"/>
        <v>49</v>
      </c>
      <c r="T153" s="847">
        <v>1</v>
      </c>
      <c r="U153" s="75" t="str">
        <f>IFERROR(INDEX('1'!C$300:C$400,MATCH("*"&amp;H153&amp;"*",'1'!B$300:B$400,0)),"  ")</f>
        <v xml:space="preserve">  </v>
      </c>
      <c r="V153" s="199" t="str">
        <f>IFERROR(INDEX('2'!C$300:C$400,MATCH("*"&amp;H153&amp;"*",'2'!B$300:B$400,0)),"  ")</f>
        <v xml:space="preserve">  </v>
      </c>
      <c r="W153" s="199" t="str">
        <f ca="1">IF(I153="",IFERROR(INDEX('3M'!C$300:C$400,MATCH("*"&amp;H153&amp;"*",'3M'!B$300:B$400,0)),"  "),IFERROR(INDEX('3N'!D$300:D$400,MATCH("*"&amp;H153&amp;"*",'3N'!B$300:B$400,0)),"  "))</f>
        <v xml:space="preserve">  </v>
      </c>
      <c r="X153" s="908" t="str">
        <f ca="1">IFERROR(INDEX('3M'!C$300:C$400,MATCH("*"&amp;H153&amp;"*",'3M'!B$300:B$400,0)),"  ")</f>
        <v xml:space="preserve">  </v>
      </c>
      <c r="Y153" s="907" t="str">
        <f ca="1">IFERROR(INDEX('3N'!C$300:C$400,MATCH("*"&amp;H153&amp;"*",'3N'!B$300:B$400,0)),"  ")</f>
        <v xml:space="preserve">  </v>
      </c>
      <c r="Z153" s="440"/>
      <c r="AA153" s="75" t="str">
        <f>IFERROR(INDEX('4'!C$300:C$400,MATCH("*"&amp;H153&amp;"*",'4'!B$300:B$400,0)),"  ")</f>
        <v xml:space="preserve">  </v>
      </c>
      <c r="AB153" s="75" t="str">
        <f>IFERROR(INDEX('5'!C$300:C$400,MATCH("*"&amp;H153&amp;"*",'5'!B$300:B$400,0)),"  ")</f>
        <v xml:space="preserve">  </v>
      </c>
      <c r="AC153" s="75" t="str">
        <f>IFERROR(INDEX('6'!C$300:C$400,MATCH("*"&amp;H153&amp;"*",'6'!B$300:B$400,0)),"  ")</f>
        <v xml:space="preserve">  </v>
      </c>
      <c r="AD153" s="75" t="str">
        <f>IFERROR(INDEX('7'!C$300:C$400,MATCH("*"&amp;H153&amp;"*",'7'!B$300:B$400,0)),"  ")</f>
        <v xml:space="preserve">  </v>
      </c>
      <c r="AE153" s="75" t="str">
        <f>IF(I153="",IFERROR(INDEX('8M'!C$300:C$400,MATCH("*"&amp;H153&amp;"*",'8M'!B$300:B$400,0)),"  "),IFERROR(INDEX('8N'!D$300:D$400,MATCH("*"&amp;H153&amp;"*",'8N'!B$300:B$400,0)),"  "))</f>
        <v xml:space="preserve">  </v>
      </c>
      <c r="AF153" s="908" t="str">
        <f>IFERROR(INDEX('8M'!C$300:C$400,MATCH("*"&amp;H153&amp;"*",'8M'!B$300:B$400,0)),"  ")</f>
        <v xml:space="preserve">  </v>
      </c>
      <c r="AG153" s="907" t="str">
        <f>IFERROR(INDEX('8N'!C$300:C$400,MATCH("*"&amp;H153&amp;"*",'8N'!B$300:B$400,0)),"  ")</f>
        <v xml:space="preserve">  </v>
      </c>
      <c r="AH153" s="440"/>
      <c r="AI153" s="75" t="str">
        <f>IFERROR(INDEX('9'!C$300:C$400,MATCH("*"&amp;H153&amp;"*",'9'!B$300:B$400,0)),"  ")</f>
        <v xml:space="preserve">  </v>
      </c>
      <c r="AJ153" s="830" t="str">
        <f>IFERROR(INDEX('10'!C$300:C$400,MATCH("*"&amp;H153&amp;"*",'10'!B$300:B$400,0)),"  ")</f>
        <v xml:space="preserve">  </v>
      </c>
      <c r="AK153" s="75" t="str">
        <f>IFERROR(INDEX('11'!C$300:C$400,MATCH("*"&amp;H153&amp;"*",'11'!B$300:B$400,0)),"  ")</f>
        <v xml:space="preserve">  </v>
      </c>
      <c r="AL153" s="75" t="str">
        <f>IFERROR(INDEX('12'!C$300:C$400,MATCH("*"&amp;H153&amp;"*",'12'!B$300:B$400,0)),"  ")</f>
        <v xml:space="preserve">  </v>
      </c>
      <c r="AM153" s="26">
        <f t="shared" ca="1" si="70"/>
        <v>0</v>
      </c>
      <c r="AN153" s="579">
        <f t="shared" ca="1" si="60"/>
        <v>0</v>
      </c>
      <c r="AO153" s="580">
        <f t="shared" ca="1" si="71"/>
        <v>0</v>
      </c>
      <c r="AP153" s="27">
        <f t="shared" ca="1" si="72"/>
        <v>0</v>
      </c>
      <c r="AQ153" s="933">
        <f t="shared" si="75"/>
        <v>2.0000000000000001E-4</v>
      </c>
      <c r="AR153" s="933">
        <f t="shared" ca="1" si="76"/>
        <v>1E-4</v>
      </c>
    </row>
    <row r="154" spans="1:44" x14ac:dyDescent="0.2">
      <c r="A154" s="851" t="str">
        <f t="shared" ca="1" si="61"/>
        <v/>
      </c>
      <c r="B154" s="77">
        <f t="shared" si="62"/>
        <v>0</v>
      </c>
      <c r="C154" s="853">
        <f t="shared" ca="1" si="73"/>
        <v>34</v>
      </c>
      <c r="D154" s="76">
        <f t="shared" ca="1" si="63"/>
        <v>10001</v>
      </c>
      <c r="E154" s="855" t="str">
        <f t="shared" ca="1" si="74"/>
        <v/>
      </c>
      <c r="F154" s="899">
        <f t="shared" si="64"/>
        <v>0</v>
      </c>
      <c r="G154" s="897">
        <f t="shared" ca="1" si="65"/>
        <v>134</v>
      </c>
      <c r="H154" s="133" t="s">
        <v>725</v>
      </c>
      <c r="I154" s="38" t="s">
        <v>32</v>
      </c>
      <c r="J154" s="585"/>
      <c r="K154" s="586"/>
      <c r="L154" s="587"/>
      <c r="M154" s="857">
        <f ca="1">(IF(COUNT(V154,AA154,AD154,AI154,AJ154,AL154)&lt;5,SUM(V154,AA154,AD154,AI154,AJ154,AL154),SUM(LARGE((V154,AA154,AD154,AI154,AJ154,AL154),{1;2;3;4;5}))))+(IF(COUNT(U154,W154,AB154,AC154,AE154,AK154)&lt;5,SUM(U154,W154,AB154,AC154,AE154,AK154),SUM(LARGE((U154,W154,AB154,AC154,AE154,AK154),{1;2;3;4;5}))))+T154</f>
        <v>1</v>
      </c>
      <c r="N154" s="862">
        <f ca="1">IF(I154="n",((IF(COUNT(V154,AA154,AD154,AI154,AJ154,AL154)&lt;5,SUM(V154,AA154,AD154,AI154,AJ154,AL154),SUM(LARGE((V154,AA154,AD154,AI154,AJ154,AL154),{1;2;3;4;5}))))+(IF(COUNT(U154,Y154,AB154,AC154,AG154,AK154)&lt;5,SUM(U154,Y154,AB154,AC154,AG154,AK154),SUM(LARGE((U154,Y154,AB154,AC154,AG154,AK154),{1;2;3;4;5}))))+T154),0)</f>
        <v>1</v>
      </c>
      <c r="O154" s="863">
        <f>IF(J154="j",((IF(COUNT(V154,AA154,AD154,AI154,AJ154,AL154)&lt;5,SUM(V154,AA154,AD154,AI154,AJ154,AL154),SUM(LARGE((V154,AA154,AD154,AI154,AJ154,AL154),{1;2;3;4;5}))))+(IF(COUNT(U154,W154,AB154,AC154,AE154,AK154)&lt;5,SUM(U154,W154,AB154,AC154,AE154,AK154),SUM(LARGE((U154,W154,AB154,AC154,AE154,AK154),{1;2;3;4;5}))))+T154),0)</f>
        <v>0</v>
      </c>
      <c r="P154" s="886" t="str">
        <f t="shared" ca="1" si="66"/>
        <v>001,0</v>
      </c>
      <c r="Q154" s="890">
        <f t="shared" si="67"/>
        <v>53</v>
      </c>
      <c r="R154" s="886" t="str">
        <f t="shared" ca="1" si="68"/>
        <v>0001,0-053</v>
      </c>
      <c r="S154" s="889">
        <f t="shared" ca="1" si="69"/>
        <v>48</v>
      </c>
      <c r="T154" s="847">
        <v>1</v>
      </c>
      <c r="U154" s="75" t="str">
        <f>IFERROR(INDEX('1'!C$300:C$400,MATCH("*"&amp;H154&amp;"*",'1'!B$300:B$400,0)),"  ")</f>
        <v xml:space="preserve">  </v>
      </c>
      <c r="V154" s="199" t="str">
        <f>IFERROR(INDEX('2'!C$300:C$400,MATCH("*"&amp;H154&amp;"*",'2'!B$300:B$400,0)),"  ")</f>
        <v xml:space="preserve">  </v>
      </c>
      <c r="W154" s="199" t="str">
        <f ca="1">IF(I154="",IFERROR(INDEX('3M'!C$300:C$400,MATCH("*"&amp;H154&amp;"*",'3M'!B$300:B$400,0)),"  "),IFERROR(INDEX('3N'!D$300:D$400,MATCH("*"&amp;H154&amp;"*",'3N'!B$300:B$400,0)),"  "))</f>
        <v xml:space="preserve">  </v>
      </c>
      <c r="X154" s="908" t="str">
        <f ca="1">IFERROR(INDEX('3M'!C$300:C$400,MATCH("*"&amp;H154&amp;"*",'3M'!B$300:B$400,0)),"  ")</f>
        <v xml:space="preserve">  </v>
      </c>
      <c r="Y154" s="907" t="str">
        <f ca="1">IFERROR(INDEX('3N'!C$300:C$400,MATCH("*"&amp;H154&amp;"*",'3N'!B$300:B$400,0)),"  ")</f>
        <v xml:space="preserve">  </v>
      </c>
      <c r="Z154" s="440"/>
      <c r="AA154" s="75" t="str">
        <f>IFERROR(INDEX('4'!C$300:C$400,MATCH("*"&amp;H154&amp;"*",'4'!B$300:B$400,0)),"  ")</f>
        <v xml:space="preserve">  </v>
      </c>
      <c r="AB154" s="75" t="str">
        <f>IFERROR(INDEX('5'!C$300:C$400,MATCH("*"&amp;H154&amp;"*",'5'!B$300:B$400,0)),"  ")</f>
        <v xml:space="preserve">  </v>
      </c>
      <c r="AC154" s="75" t="str">
        <f>IFERROR(INDEX('6'!C$300:C$400,MATCH("*"&amp;H154&amp;"*",'6'!B$300:B$400,0)),"  ")</f>
        <v xml:space="preserve">  </v>
      </c>
      <c r="AD154" s="75" t="str">
        <f>IFERROR(INDEX('7'!C$300:C$400,MATCH("*"&amp;H154&amp;"*",'7'!B$300:B$400,0)),"  ")</f>
        <v xml:space="preserve">  </v>
      </c>
      <c r="AE154" s="75" t="str">
        <f>IF(I154="",IFERROR(INDEX('8M'!C$300:C$400,MATCH("*"&amp;H154&amp;"*",'8M'!B$300:B$400,0)),"  "),IFERROR(INDEX('8N'!D$300:D$400,MATCH("*"&amp;H154&amp;"*",'8N'!B$300:B$400,0)),"  "))</f>
        <v xml:space="preserve">  </v>
      </c>
      <c r="AF154" s="908" t="str">
        <f>IFERROR(INDEX('8M'!C$300:C$400,MATCH("*"&amp;H154&amp;"*",'8M'!B$300:B$400,0)),"  ")</f>
        <v xml:space="preserve">  </v>
      </c>
      <c r="AG154" s="907" t="str">
        <f>IFERROR(INDEX('8N'!C$300:C$400,MATCH("*"&amp;H154&amp;"*",'8N'!B$300:B$400,0)),"  ")</f>
        <v xml:space="preserve">  </v>
      </c>
      <c r="AH154" s="440"/>
      <c r="AI154" s="75" t="str">
        <f>IFERROR(INDEX('9'!C$300:C$400,MATCH("*"&amp;H154&amp;"*",'9'!B$300:B$400,0)),"  ")</f>
        <v xml:space="preserve">  </v>
      </c>
      <c r="AJ154" s="830" t="str">
        <f>IFERROR(INDEX('10'!C$300:C$400,MATCH("*"&amp;H154&amp;"*",'10'!B$300:B$400,0)),"  ")</f>
        <v xml:space="preserve">  </v>
      </c>
      <c r="AK154" s="75" t="str">
        <f>IFERROR(INDEX('11'!C$300:C$400,MATCH("*"&amp;H154&amp;"*",'11'!B$300:B$400,0)),"  ")</f>
        <v xml:space="preserve">  </v>
      </c>
      <c r="AL154" s="75" t="str">
        <f>IFERROR(INDEX('12'!C$300:C$400,MATCH("*"&amp;H154&amp;"*",'12'!B$300:B$400,0)),"  ")</f>
        <v xml:space="preserve">  </v>
      </c>
      <c r="AM154" s="26">
        <f t="shared" ca="1" si="70"/>
        <v>0</v>
      </c>
      <c r="AN154" s="579">
        <f t="shared" ca="1" si="60"/>
        <v>0</v>
      </c>
      <c r="AO154" s="580">
        <f t="shared" ca="1" si="71"/>
        <v>0</v>
      </c>
      <c r="AP154" s="27">
        <f t="shared" ca="1" si="72"/>
        <v>0</v>
      </c>
      <c r="AQ154" s="933">
        <f t="shared" si="75"/>
        <v>2.0000000000000001E-4</v>
      </c>
      <c r="AR154" s="933">
        <f t="shared" ca="1" si="76"/>
        <v>1E-4</v>
      </c>
    </row>
    <row r="155" spans="1:44" x14ac:dyDescent="0.2">
      <c r="A155" s="851" t="str">
        <f t="shared" ca="1" si="61"/>
        <v/>
      </c>
      <c r="B155" s="77">
        <f t="shared" si="62"/>
        <v>0</v>
      </c>
      <c r="C155" s="853">
        <f t="shared" ca="1" si="73"/>
        <v>34</v>
      </c>
      <c r="D155" s="76">
        <f t="shared" ca="1" si="63"/>
        <v>10001</v>
      </c>
      <c r="E155" s="855" t="str">
        <f t="shared" ca="1" si="74"/>
        <v/>
      </c>
      <c r="F155" s="899">
        <f t="shared" si="64"/>
        <v>0</v>
      </c>
      <c r="G155" s="897">
        <f t="shared" ca="1" si="65"/>
        <v>134</v>
      </c>
      <c r="H155" s="133" t="s">
        <v>87</v>
      </c>
      <c r="I155" s="38" t="s">
        <v>32</v>
      </c>
      <c r="J155" s="585"/>
      <c r="K155" s="586" t="s">
        <v>718</v>
      </c>
      <c r="L155" s="587"/>
      <c r="M155" s="857">
        <f ca="1">(IF(COUNT(V155,AA155,AD155,AI155,AJ155,AL155)&lt;5,SUM(V155,AA155,AD155,AI155,AJ155,AL155),SUM(LARGE((V155,AA155,AD155,AI155,AJ155,AL155),{1;2;3;4;5}))))+(IF(COUNT(U155,W155,AB155,AC155,AE155,AK155)&lt;5,SUM(U155,W155,AB155,AC155,AE155,AK155),SUM(LARGE((U155,W155,AB155,AC155,AE155,AK155),{1;2;3;4;5}))))+T155</f>
        <v>1</v>
      </c>
      <c r="N155" s="862">
        <f ca="1">IF(I155="n",((IF(COUNT(V155,AA155,AD155,AI155,AJ155,AL155)&lt;5,SUM(V155,AA155,AD155,AI155,AJ155,AL155),SUM(LARGE((V155,AA155,AD155,AI155,AJ155,AL155),{1;2;3;4;5}))))+(IF(COUNT(U155,Y155,AB155,AC155,AG155,AK155)&lt;5,SUM(U155,Y155,AB155,AC155,AG155,AK155),SUM(LARGE((U155,Y155,AB155,AC155,AG155,AK155),{1;2;3;4;5}))))+T155),0)</f>
        <v>1</v>
      </c>
      <c r="O155" s="863">
        <f>IF(J155="j",((IF(COUNT(V155,AA155,AD155,AI155,AJ155,AL155)&lt;5,SUM(V155,AA155,AD155,AI155,AJ155,AL155),SUM(LARGE((V155,AA155,AD155,AI155,AJ155,AL155),{1;2;3;4;5}))))+(IF(COUNT(U155,W155,AB155,AC155,AE155,AK155)&lt;5,SUM(U155,W155,AB155,AC155,AE155,AK155),SUM(LARGE((U155,W155,AB155,AC155,AE155,AK155),{1;2;3;4;5}))))+T155),0)</f>
        <v>0</v>
      </c>
      <c r="P155" s="886" t="str">
        <f t="shared" ca="1" si="66"/>
        <v>001,0</v>
      </c>
      <c r="Q155" s="890">
        <f t="shared" si="67"/>
        <v>46</v>
      </c>
      <c r="R155" s="886" t="str">
        <f t="shared" ca="1" si="68"/>
        <v>0001,0-046</v>
      </c>
      <c r="S155" s="889">
        <f t="shared" ca="1" si="69"/>
        <v>47</v>
      </c>
      <c r="T155" s="847">
        <v>1</v>
      </c>
      <c r="U155" s="75" t="str">
        <f>IFERROR(INDEX('1'!C$300:C$400,MATCH("*"&amp;H155&amp;"*",'1'!B$300:B$400,0)),"  ")</f>
        <v xml:space="preserve">  </v>
      </c>
      <c r="V155" s="199" t="str">
        <f>IFERROR(INDEX('2'!C$300:C$400,MATCH("*"&amp;H155&amp;"*",'2'!B$300:B$400,0)),"  ")</f>
        <v xml:space="preserve">  </v>
      </c>
      <c r="W155" s="199" t="str">
        <f ca="1">IF(I155="",IFERROR(INDEX('3M'!C$300:C$400,MATCH("*"&amp;H155&amp;"*",'3M'!B$300:B$400,0)),"  "),IFERROR(INDEX('3N'!D$300:D$400,MATCH("*"&amp;H155&amp;"*",'3N'!B$300:B$400,0)),"  "))</f>
        <v xml:space="preserve">  </v>
      </c>
      <c r="X155" s="908" t="str">
        <f ca="1">IFERROR(INDEX('3M'!C$300:C$400,MATCH("*"&amp;H155&amp;"*",'3M'!B$300:B$400,0)),"  ")</f>
        <v xml:space="preserve">  </v>
      </c>
      <c r="Y155" s="907" t="str">
        <f ca="1">IFERROR(INDEX('3N'!C$300:C$400,MATCH("*"&amp;H155&amp;"*",'3N'!B$300:B$400,0)),"  ")</f>
        <v xml:space="preserve">  </v>
      </c>
      <c r="Z155" s="440"/>
      <c r="AA155" s="75" t="str">
        <f>IFERROR(INDEX('4'!C$300:C$400,MATCH("*"&amp;H155&amp;"*",'4'!B$300:B$400,0)),"  ")</f>
        <v xml:space="preserve">  </v>
      </c>
      <c r="AB155" s="75" t="str">
        <f>IFERROR(INDEX('5'!C$300:C$400,MATCH("*"&amp;H155&amp;"*",'5'!B$300:B$400,0)),"  ")</f>
        <v xml:space="preserve">  </v>
      </c>
      <c r="AC155" s="75" t="str">
        <f>IFERROR(INDEX('6'!C$300:C$400,MATCH("*"&amp;H155&amp;"*",'6'!B$300:B$400,0)),"  ")</f>
        <v xml:space="preserve">  </v>
      </c>
      <c r="AD155" s="75" t="str">
        <f>IFERROR(INDEX('7'!C$300:C$400,MATCH("*"&amp;H155&amp;"*",'7'!B$300:B$400,0)),"  ")</f>
        <v xml:space="preserve">  </v>
      </c>
      <c r="AE155" s="75" t="str">
        <f>IF(I155="",IFERROR(INDEX('8M'!C$300:C$400,MATCH("*"&amp;H155&amp;"*",'8M'!B$300:B$400,0)),"  "),IFERROR(INDEX('8N'!D$300:D$400,MATCH("*"&amp;H155&amp;"*",'8N'!B$300:B$400,0)),"  "))</f>
        <v xml:space="preserve">  </v>
      </c>
      <c r="AF155" s="908" t="str">
        <f>IFERROR(INDEX('8M'!C$300:C$400,MATCH("*"&amp;H155&amp;"*",'8M'!B$300:B$400,0)),"  ")</f>
        <v xml:space="preserve">  </v>
      </c>
      <c r="AG155" s="907" t="str">
        <f>IFERROR(INDEX('8N'!C$300:C$400,MATCH("*"&amp;H155&amp;"*",'8N'!B$300:B$400,0)),"  ")</f>
        <v xml:space="preserve">  </v>
      </c>
      <c r="AH155" s="440"/>
      <c r="AI155" s="75" t="str">
        <f>IFERROR(INDEX('9'!C$300:C$400,MATCH("*"&amp;H155&amp;"*",'9'!B$300:B$400,0)),"  ")</f>
        <v xml:space="preserve">  </v>
      </c>
      <c r="AJ155" s="830" t="str">
        <f>IFERROR(INDEX('10'!C$300:C$400,MATCH("*"&amp;H155&amp;"*",'10'!B$300:B$400,0)),"  ")</f>
        <v xml:space="preserve">  </v>
      </c>
      <c r="AK155" s="75" t="str">
        <f>IFERROR(INDEX('11'!C$300:C$400,MATCH("*"&amp;H155&amp;"*",'11'!B$300:B$400,0)),"  ")</f>
        <v xml:space="preserve">  </v>
      </c>
      <c r="AL155" s="75" t="str">
        <f>IFERROR(INDEX('12'!C$300:C$400,MATCH("*"&amp;H155&amp;"*",'12'!B$300:B$400,0)),"  ")</f>
        <v xml:space="preserve">  </v>
      </c>
      <c r="AM155" s="26">
        <f t="shared" ca="1" si="70"/>
        <v>0</v>
      </c>
      <c r="AN155" s="579">
        <f t="shared" ca="1" si="60"/>
        <v>0</v>
      </c>
      <c r="AO155" s="580">
        <f t="shared" ca="1" si="71"/>
        <v>0</v>
      </c>
      <c r="AP155" s="27">
        <f t="shared" ca="1" si="72"/>
        <v>0</v>
      </c>
      <c r="AQ155" s="933">
        <f t="shared" si="75"/>
        <v>2.0000000000000001E-4</v>
      </c>
      <c r="AR155" s="933">
        <f t="shared" ca="1" si="76"/>
        <v>1E-4</v>
      </c>
    </row>
    <row r="156" spans="1:44" x14ac:dyDescent="0.2">
      <c r="A156" s="851">
        <f t="shared" ca="1" si="61"/>
        <v>101</v>
      </c>
      <c r="B156" s="77">
        <f t="shared" ca="1" si="62"/>
        <v>10001</v>
      </c>
      <c r="C156" s="853" t="str">
        <f t="shared" ca="1" si="73"/>
        <v/>
      </c>
      <c r="D156" s="76">
        <f t="shared" si="63"/>
        <v>0</v>
      </c>
      <c r="E156" s="855" t="str">
        <f t="shared" ca="1" si="74"/>
        <v/>
      </c>
      <c r="F156" s="899">
        <f t="shared" si="64"/>
        <v>0</v>
      </c>
      <c r="G156" s="897">
        <f t="shared" ca="1" si="65"/>
        <v>134</v>
      </c>
      <c r="H156" s="133" t="s">
        <v>76</v>
      </c>
      <c r="I156" s="38"/>
      <c r="J156" s="585"/>
      <c r="K156" s="586" t="s">
        <v>718</v>
      </c>
      <c r="L156" s="587"/>
      <c r="M156" s="857">
        <f ca="1">(IF(COUNT(V156,AA156,AD156,AI156,AJ156,AL156)&lt;5,SUM(V156,AA156,AD156,AI156,AJ156,AL156),SUM(LARGE((V156,AA156,AD156,AI156,AJ156,AL156),{1;2;3;4;5}))))+(IF(COUNT(U156,W156,AB156,AC156,AE156,AK156)&lt;5,SUM(U156,W156,AB156,AC156,AE156,AK156),SUM(LARGE((U156,W156,AB156,AC156,AE156,AK156),{1;2;3;4;5}))))+T156</f>
        <v>1</v>
      </c>
      <c r="N156" s="862">
        <f>IF(I156="n",((IF(COUNT(V156,AA156,AD156,AI156,AJ156,AL156)&lt;5,SUM(V156,AA156,AD156,AI156,AJ156,AL156),SUM(LARGE((V156,AA156,AD156,AI156,AJ156,AL156),{1;2;3;4;5}))))+(IF(COUNT(U156,Y156,AB156,AC156,AG156,AK156)&lt;5,SUM(U156,Y156,AB156,AC156,AG156,AK156),SUM(LARGE((U156,Y156,AB156,AC156,AG156,AK156),{1;2;3;4;5}))))+T156),0)</f>
        <v>0</v>
      </c>
      <c r="O156" s="863">
        <f>IF(J156="j",((IF(COUNT(V156,AA156,AD156,AI156,AJ156,AL156)&lt;5,SUM(V156,AA156,AD156,AI156,AJ156,AL156),SUM(LARGE((V156,AA156,AD156,AI156,AJ156,AL156),{1;2;3;4;5}))))+(IF(COUNT(U156,W156,AB156,AC156,AE156,AK156)&lt;5,SUM(U156,W156,AB156,AC156,AE156,AK156),SUM(LARGE((U156,W156,AB156,AC156,AE156,AK156),{1;2;3;4;5}))))+T156),0)</f>
        <v>0</v>
      </c>
      <c r="P156" s="886" t="str">
        <f t="shared" ca="1" si="66"/>
        <v>001,0</v>
      </c>
      <c r="Q156" s="890">
        <f t="shared" si="67"/>
        <v>23</v>
      </c>
      <c r="R156" s="886" t="str">
        <f t="shared" ca="1" si="68"/>
        <v>0001,0-023</v>
      </c>
      <c r="S156" s="889">
        <f t="shared" ca="1" si="69"/>
        <v>46</v>
      </c>
      <c r="T156" s="847">
        <v>1</v>
      </c>
      <c r="U156" s="75" t="str">
        <f>IFERROR(INDEX('1'!C$300:C$400,MATCH("*"&amp;H156&amp;"*",'1'!B$300:B$400,0)),"  ")</f>
        <v xml:space="preserve">  </v>
      </c>
      <c r="V156" s="199" t="str">
        <f>IFERROR(INDEX('2'!C$300:C$400,MATCH("*"&amp;H156&amp;"*",'2'!B$300:B$400,0)),"  ")</f>
        <v xml:space="preserve">  </v>
      </c>
      <c r="W156" s="199" t="str">
        <f ca="1">IF(I156="",IFERROR(INDEX('3M'!C$300:C$400,MATCH("*"&amp;H156&amp;"*",'3M'!B$300:B$400,0)),"  "),IFERROR(INDEX('3N'!D$300:D$400,MATCH("*"&amp;H156&amp;"*",'3N'!B$300:B$400,0)),"  "))</f>
        <v xml:space="preserve">  </v>
      </c>
      <c r="X156" s="908" t="str">
        <f ca="1">IFERROR(INDEX('3M'!C$300:C$400,MATCH("*"&amp;H156&amp;"*",'3M'!B$300:B$400,0)),"  ")</f>
        <v xml:space="preserve">  </v>
      </c>
      <c r="Y156" s="907" t="str">
        <f ca="1">IFERROR(INDEX('3N'!C$300:C$400,MATCH("*"&amp;H156&amp;"*",'3N'!B$300:B$400,0)),"  ")</f>
        <v xml:space="preserve">  </v>
      </c>
      <c r="Z156" s="440"/>
      <c r="AA156" s="75" t="str">
        <f>IFERROR(INDEX('4'!C$300:C$400,MATCH("*"&amp;H156&amp;"*",'4'!B$300:B$400,0)),"  ")</f>
        <v xml:space="preserve">  </v>
      </c>
      <c r="AB156" s="75" t="str">
        <f>IFERROR(INDEX('5'!C$300:C$400,MATCH("*"&amp;H156&amp;"*",'5'!B$300:B$400,0)),"  ")</f>
        <v xml:space="preserve">  </v>
      </c>
      <c r="AC156" s="75" t="str">
        <f>IFERROR(INDEX('6'!C$300:C$400,MATCH("*"&amp;H156&amp;"*",'6'!B$300:B$400,0)),"  ")</f>
        <v xml:space="preserve">  </v>
      </c>
      <c r="AD156" s="75" t="str">
        <f>IFERROR(INDEX('7'!C$300:C$400,MATCH("*"&amp;H156&amp;"*",'7'!B$300:B$400,0)),"  ")</f>
        <v xml:space="preserve">  </v>
      </c>
      <c r="AE156" s="75" t="str">
        <f>IF(I156="",IFERROR(INDEX('8M'!C$300:C$400,MATCH("*"&amp;H156&amp;"*",'8M'!B$300:B$400,0)),"  "),IFERROR(INDEX('8N'!D$300:D$400,MATCH("*"&amp;H156&amp;"*",'8N'!B$300:B$400,0)),"  "))</f>
        <v xml:space="preserve">  </v>
      </c>
      <c r="AF156" s="908" t="str">
        <f>IFERROR(INDEX('8M'!C$300:C$400,MATCH("*"&amp;H156&amp;"*",'8M'!B$300:B$400,0)),"  ")</f>
        <v xml:space="preserve">  </v>
      </c>
      <c r="AG156" s="907" t="str">
        <f>IFERROR(INDEX('8N'!C$300:C$400,MATCH("*"&amp;H156&amp;"*",'8N'!B$300:B$400,0)),"  ")</f>
        <v xml:space="preserve">  </v>
      </c>
      <c r="AH156" s="440"/>
      <c r="AI156" s="75" t="str">
        <f>IFERROR(INDEX('9'!C$300:C$400,MATCH("*"&amp;H156&amp;"*",'9'!B$300:B$400,0)),"  ")</f>
        <v xml:space="preserve">  </v>
      </c>
      <c r="AJ156" s="830" t="str">
        <f>IFERROR(INDEX('10'!C$300:C$400,MATCH("*"&amp;H156&amp;"*",'10'!B$300:B$400,0)),"  ")</f>
        <v xml:space="preserve">  </v>
      </c>
      <c r="AK156" s="75" t="str">
        <f>IFERROR(INDEX('11'!C$300:C$400,MATCH("*"&amp;H156&amp;"*",'11'!B$300:B$400,0)),"  ")</f>
        <v xml:space="preserve">  </v>
      </c>
      <c r="AL156" s="75" t="str">
        <f>IFERROR(INDEX('12'!C$300:C$400,MATCH("*"&amp;H156&amp;"*",'12'!B$300:B$400,0)),"  ")</f>
        <v xml:space="preserve">  </v>
      </c>
      <c r="AM156" s="26">
        <f t="shared" ca="1" si="70"/>
        <v>0</v>
      </c>
      <c r="AN156" s="579">
        <f t="shared" ca="1" si="60"/>
        <v>0</v>
      </c>
      <c r="AO156" s="580">
        <f t="shared" ca="1" si="71"/>
        <v>0</v>
      </c>
      <c r="AP156" s="27">
        <f t="shared" ca="1" si="72"/>
        <v>0</v>
      </c>
      <c r="AQ156" s="933">
        <f t="shared" si="75"/>
        <v>2.0000000000000001E-4</v>
      </c>
      <c r="AR156" s="933">
        <f t="shared" ca="1" si="76"/>
        <v>1E-4</v>
      </c>
    </row>
    <row r="157" spans="1:44" x14ac:dyDescent="0.2">
      <c r="A157" s="851">
        <f t="shared" ca="1" si="61"/>
        <v>101</v>
      </c>
      <c r="B157" s="77">
        <f t="shared" ca="1" si="62"/>
        <v>10001</v>
      </c>
      <c r="C157" s="853" t="str">
        <f t="shared" ca="1" si="73"/>
        <v/>
      </c>
      <c r="D157" s="76">
        <f t="shared" si="63"/>
        <v>0</v>
      </c>
      <c r="E157" s="855" t="str">
        <f t="shared" ca="1" si="74"/>
        <v/>
      </c>
      <c r="F157" s="899">
        <f t="shared" si="64"/>
        <v>0</v>
      </c>
      <c r="G157" s="897">
        <f t="shared" ca="1" si="65"/>
        <v>134</v>
      </c>
      <c r="H157" s="133" t="s">
        <v>88</v>
      </c>
      <c r="I157" s="38"/>
      <c r="J157" s="585"/>
      <c r="K157" s="586"/>
      <c r="L157" s="587"/>
      <c r="M157" s="857">
        <f ca="1">(IF(COUNT(V157,AA157,AD157,AI157,AJ157,AL157)&lt;5,SUM(V157,AA157,AD157,AI157,AJ157,AL157),SUM(LARGE((V157,AA157,AD157,AI157,AJ157,AL157),{1;2;3;4;5}))))+(IF(COUNT(U157,W157,AB157,AC157,AE157,AK157)&lt;5,SUM(U157,W157,AB157,AC157,AE157,AK157),SUM(LARGE((U157,W157,AB157,AC157,AE157,AK157),{1;2;3;4;5}))))+T157</f>
        <v>1</v>
      </c>
      <c r="N157" s="862">
        <f>IF(I157="n",((IF(COUNT(V157,AA157,AD157,AI157,AJ157,AL157)&lt;5,SUM(V157,AA157,AD157,AI157,AJ157,AL157),SUM(LARGE((V157,AA157,AD157,AI157,AJ157,AL157),{1;2;3;4;5}))))+(IF(COUNT(U157,Y157,AB157,AC157,AG157,AK157)&lt;5,SUM(U157,Y157,AB157,AC157,AG157,AK157),SUM(LARGE((U157,Y157,AB157,AC157,AG157,AK157),{1;2;3;4;5}))))+T157),0)</f>
        <v>0</v>
      </c>
      <c r="O157" s="863">
        <f>IF(J157="j",((IF(COUNT(V157,AA157,AD157,AI157,AJ157,AL157)&lt;5,SUM(V157,AA157,AD157,AI157,AJ157,AL157),SUM(LARGE((V157,AA157,AD157,AI157,AJ157,AL157),{1;2;3;4;5}))))+(IF(COUNT(U157,W157,AB157,AC157,AE157,AK157)&lt;5,SUM(U157,W157,AB157,AC157,AE157,AK157),SUM(LARGE((U157,W157,AB157,AC157,AE157,AK157),{1;2;3;4;5}))))+T157),0)</f>
        <v>0</v>
      </c>
      <c r="P157" s="886" t="str">
        <f t="shared" ca="1" si="66"/>
        <v>001,0</v>
      </c>
      <c r="Q157" s="890">
        <f t="shared" si="67"/>
        <v>14</v>
      </c>
      <c r="R157" s="886" t="str">
        <f t="shared" ca="1" si="68"/>
        <v>0001,0-014</v>
      </c>
      <c r="S157" s="889">
        <f t="shared" ca="1" si="69"/>
        <v>45</v>
      </c>
      <c r="T157" s="847">
        <v>1</v>
      </c>
      <c r="U157" s="75" t="str">
        <f>IFERROR(INDEX('1'!C$300:C$400,MATCH("*"&amp;H157&amp;"*",'1'!B$300:B$400,0)),"  ")</f>
        <v xml:space="preserve">  </v>
      </c>
      <c r="V157" s="199" t="str">
        <f>IFERROR(INDEX('2'!C$300:C$400,MATCH("*"&amp;H157&amp;"*",'2'!B$300:B$400,0)),"  ")</f>
        <v xml:space="preserve">  </v>
      </c>
      <c r="W157" s="199" t="str">
        <f ca="1">IF(I157="",IFERROR(INDEX('3M'!C$300:C$400,MATCH("*"&amp;H157&amp;"*",'3M'!B$300:B$400,0)),"  "),IFERROR(INDEX('3N'!D$300:D$400,MATCH("*"&amp;H157&amp;"*",'3N'!B$300:B$400,0)),"  "))</f>
        <v xml:space="preserve">  </v>
      </c>
      <c r="X157" s="908" t="str">
        <f ca="1">IFERROR(INDEX('3M'!C$300:C$400,MATCH("*"&amp;H157&amp;"*",'3M'!B$300:B$400,0)),"  ")</f>
        <v xml:space="preserve">  </v>
      </c>
      <c r="Y157" s="907" t="str">
        <f ca="1">IFERROR(INDEX('3N'!C$300:C$400,MATCH("*"&amp;H157&amp;"*",'3N'!B$300:B$400,0)),"  ")</f>
        <v xml:space="preserve">  </v>
      </c>
      <c r="Z157" s="440"/>
      <c r="AA157" s="75" t="str">
        <f>IFERROR(INDEX('4'!C$300:C$400,MATCH("*"&amp;H157&amp;"*",'4'!B$300:B$400,0)),"  ")</f>
        <v xml:space="preserve">  </v>
      </c>
      <c r="AB157" s="75" t="str">
        <f>IFERROR(INDEX('5'!C$300:C$400,MATCH("*"&amp;H157&amp;"*",'5'!B$300:B$400,0)),"  ")</f>
        <v xml:space="preserve">  </v>
      </c>
      <c r="AC157" s="75" t="str">
        <f>IFERROR(INDEX('6'!C$300:C$400,MATCH("*"&amp;H157&amp;"*",'6'!B$300:B$400,0)),"  ")</f>
        <v xml:space="preserve">  </v>
      </c>
      <c r="AD157" s="75" t="str">
        <f>IFERROR(INDEX('7'!C$300:C$400,MATCH("*"&amp;H157&amp;"*",'7'!B$300:B$400,0)),"  ")</f>
        <v xml:space="preserve">  </v>
      </c>
      <c r="AE157" s="75" t="str">
        <f>IF(I157="",IFERROR(INDEX('8M'!C$300:C$400,MATCH("*"&amp;H157&amp;"*",'8M'!B$300:B$400,0)),"  "),IFERROR(INDEX('8N'!D$300:D$400,MATCH("*"&amp;H157&amp;"*",'8N'!B$300:B$400,0)),"  "))</f>
        <v xml:space="preserve">  </v>
      </c>
      <c r="AF157" s="908" t="str">
        <f>IFERROR(INDEX('8M'!C$300:C$400,MATCH("*"&amp;H157&amp;"*",'8M'!B$300:B$400,0)),"  ")</f>
        <v xml:space="preserve">  </v>
      </c>
      <c r="AG157" s="907" t="str">
        <f>IFERROR(INDEX('8N'!C$300:C$400,MATCH("*"&amp;H157&amp;"*",'8N'!B$300:B$400,0)),"  ")</f>
        <v xml:space="preserve">  </v>
      </c>
      <c r="AH157" s="440"/>
      <c r="AI157" s="75" t="str">
        <f>IFERROR(INDEX('9'!C$300:C$400,MATCH("*"&amp;H157&amp;"*",'9'!B$300:B$400,0)),"  ")</f>
        <v xml:space="preserve">  </v>
      </c>
      <c r="AJ157" s="830" t="str">
        <f>IFERROR(INDEX('10'!C$300:C$400,MATCH("*"&amp;H157&amp;"*",'10'!B$300:B$400,0)),"  ")</f>
        <v xml:space="preserve">  </v>
      </c>
      <c r="AK157" s="75" t="str">
        <f>IFERROR(INDEX('11'!C$300:C$400,MATCH("*"&amp;H157&amp;"*",'11'!B$300:B$400,0)),"  ")</f>
        <v xml:space="preserve">  </v>
      </c>
      <c r="AL157" s="75" t="str">
        <f>IFERROR(INDEX('12'!C$300:C$400,MATCH("*"&amp;H157&amp;"*",'12'!B$300:B$400,0)),"  ")</f>
        <v xml:space="preserve">  </v>
      </c>
      <c r="AM157" s="26">
        <f t="shared" ca="1" si="70"/>
        <v>0</v>
      </c>
      <c r="AN157" s="579">
        <f t="shared" ca="1" si="60"/>
        <v>0</v>
      </c>
      <c r="AO157" s="580">
        <f t="shared" ca="1" si="71"/>
        <v>0</v>
      </c>
      <c r="AP157" s="27">
        <f t="shared" ca="1" si="72"/>
        <v>0</v>
      </c>
      <c r="AQ157" s="933">
        <f t="shared" si="75"/>
        <v>2.0000000000000001E-4</v>
      </c>
      <c r="AR157" s="933">
        <f t="shared" ca="1" si="76"/>
        <v>1E-4</v>
      </c>
    </row>
    <row r="158" spans="1:44" x14ac:dyDescent="0.2">
      <c r="A158" s="851">
        <f t="shared" ca="1" si="61"/>
        <v>101</v>
      </c>
      <c r="B158" s="77">
        <f t="shared" ca="1" si="62"/>
        <v>10001</v>
      </c>
      <c r="C158" s="853" t="str">
        <f t="shared" ca="1" si="73"/>
        <v/>
      </c>
      <c r="D158" s="76">
        <f t="shared" si="63"/>
        <v>0</v>
      </c>
      <c r="E158" s="855" t="str">
        <f t="shared" ca="1" si="74"/>
        <v/>
      </c>
      <c r="F158" s="899">
        <f t="shared" si="64"/>
        <v>0</v>
      </c>
      <c r="G158" s="897">
        <f t="shared" ref="G158:G201" ca="1" si="77">IF(M158=0,"",RANK(M158,$M$9:$M$201,0))</f>
        <v>134</v>
      </c>
      <c r="H158" s="593" t="s">
        <v>72</v>
      </c>
      <c r="I158" s="38"/>
      <c r="J158" s="585"/>
      <c r="K158" s="586"/>
      <c r="L158" s="587"/>
      <c r="M158" s="857">
        <f ca="1">(IF(COUNT(V158,AA158,AD158,AI158,AJ158,AL158)&lt;5,SUM(V158,AA158,AD158,AI158,AJ158,AL158),SUM(LARGE((V158,AA158,AD158,AI158,AJ158,AL158),{1;2;3;4;5}))))+(IF(COUNT(U158,W158,AB158,AC158,AE158,AK158)&lt;5,SUM(U158,W158,AB158,AC158,AE158,AK158),SUM(LARGE((U158,W158,AB158,AC158,AE158,AK158),{1;2;3;4;5}))))+T158</f>
        <v>1</v>
      </c>
      <c r="N158" s="862">
        <f>IF(I158="n",((IF(COUNT(V158,AA158,AD158,AI158,AJ158,AL158)&lt;5,SUM(V158,AA158,AD158,AI158,AJ158,AL158),SUM(LARGE((V158,AA158,AD158,AI158,AJ158,AL158),{1;2;3;4;5}))))+(IF(COUNT(U158,Y158,AB158,AC158,AG158,AK158)&lt;5,SUM(U158,Y158,AB158,AC158,AG158,AK158),SUM(LARGE((U158,Y158,AB158,AC158,AG158,AK158),{1;2;3;4;5}))))+T158),0)</f>
        <v>0</v>
      </c>
      <c r="O158" s="863">
        <f>IF(J158="j",((IF(COUNT(V158,AA158,AD158,AI158,AJ158,AL158)&lt;5,SUM(V158,AA158,AD158,AI158,AJ158,AL158),SUM(LARGE((V158,AA158,AD158,AI158,AJ158,AL158),{1;2;3;4;5}))))+(IF(COUNT(U158,W158,AB158,AC158,AE158,AK158)&lt;5,SUM(U158,W158,AB158,AC158,AE158,AK158),SUM(LARGE((U158,W158,AB158,AC158,AE158,AK158),{1;2;3;4;5}))))+T158),0)</f>
        <v>0</v>
      </c>
      <c r="P158" s="886" t="str">
        <f t="shared" ca="1" si="66"/>
        <v>001,0</v>
      </c>
      <c r="Q158" s="890">
        <f t="shared" si="67"/>
        <v>8</v>
      </c>
      <c r="R158" s="886" t="str">
        <f t="shared" ca="1" si="68"/>
        <v>0001,0-008</v>
      </c>
      <c r="S158" s="889">
        <f t="shared" ca="1" si="69"/>
        <v>44</v>
      </c>
      <c r="T158" s="847">
        <v>1</v>
      </c>
      <c r="U158" s="75" t="str">
        <f>IFERROR(INDEX('1'!C$300:C$400,MATCH("*"&amp;H158&amp;"*",'1'!B$300:B$400,0)),"  ")</f>
        <v xml:space="preserve">  </v>
      </c>
      <c r="V158" s="199" t="str">
        <f>IFERROR(INDEX('2'!C$300:C$400,MATCH("*"&amp;H158&amp;"*",'2'!B$300:B$400,0)),"  ")</f>
        <v xml:space="preserve">  </v>
      </c>
      <c r="W158" s="199" t="str">
        <f ca="1">IF(I158="",IFERROR(INDEX('3M'!C$300:C$400,MATCH("*"&amp;H158&amp;"*",'3M'!B$300:B$400,0)),"  "),IFERROR(INDEX('3N'!D$300:D$400,MATCH("*"&amp;H158&amp;"*",'3N'!B$300:B$400,0)),"  "))</f>
        <v xml:space="preserve">  </v>
      </c>
      <c r="X158" s="908" t="str">
        <f ca="1">IFERROR(INDEX('3M'!C$300:C$400,MATCH("*"&amp;H158&amp;"*",'3M'!B$300:B$400,0)),"  ")</f>
        <v xml:space="preserve">  </v>
      </c>
      <c r="Y158" s="907" t="str">
        <f ca="1">IFERROR(INDEX('3N'!C$300:C$400,MATCH("*"&amp;H158&amp;"*",'3N'!B$300:B$400,0)),"  ")</f>
        <v xml:space="preserve">  </v>
      </c>
      <c r="Z158" s="440"/>
      <c r="AA158" s="75" t="str">
        <f>IFERROR(INDEX('4'!C$300:C$400,MATCH("*"&amp;H158&amp;"*",'4'!B$300:B$400,0)),"  ")</f>
        <v xml:space="preserve">  </v>
      </c>
      <c r="AB158" s="75" t="str">
        <f>IFERROR(INDEX('5'!C$300:C$400,MATCH("*"&amp;H158&amp;"*",'5'!B$300:B$400,0)),"  ")</f>
        <v xml:space="preserve">  </v>
      </c>
      <c r="AC158" s="75" t="str">
        <f>IFERROR(INDEX('6'!C$300:C$400,MATCH("*"&amp;H158&amp;"*",'6'!B$300:B$400,0)),"  ")</f>
        <v xml:space="preserve">  </v>
      </c>
      <c r="AD158" s="75" t="str">
        <f>IFERROR(INDEX('7'!C$300:C$400,MATCH("*"&amp;H158&amp;"*",'7'!B$300:B$400,0)),"  ")</f>
        <v xml:space="preserve">  </v>
      </c>
      <c r="AE158" s="75" t="str">
        <f>IF(I158="",IFERROR(INDEX('8M'!C$300:C$400,MATCH("*"&amp;H158&amp;"*",'8M'!B$300:B$400,0)),"  "),IFERROR(INDEX('8N'!D$300:D$400,MATCH("*"&amp;H158&amp;"*",'8N'!B$300:B$400,0)),"  "))</f>
        <v xml:space="preserve">  </v>
      </c>
      <c r="AF158" s="908" t="str">
        <f>IFERROR(INDEX('8M'!C$300:C$400,MATCH("*"&amp;H158&amp;"*",'8M'!B$300:B$400,0)),"  ")</f>
        <v xml:space="preserve">  </v>
      </c>
      <c r="AG158" s="907" t="str">
        <f>IFERROR(INDEX('8N'!C$300:C$400,MATCH("*"&amp;H158&amp;"*",'8N'!B$300:B$400,0)),"  ")</f>
        <v xml:space="preserve">  </v>
      </c>
      <c r="AH158" s="440"/>
      <c r="AI158" s="75" t="str">
        <f>IFERROR(INDEX('9'!C$300:C$400,MATCH("*"&amp;H158&amp;"*",'9'!B$300:B$400,0)),"  ")</f>
        <v xml:space="preserve">  </v>
      </c>
      <c r="AJ158" s="830" t="str">
        <f>IFERROR(INDEX('10'!C$300:C$400,MATCH("*"&amp;H158&amp;"*",'10'!B$300:B$400,0)),"  ")</f>
        <v xml:space="preserve">  </v>
      </c>
      <c r="AK158" s="75" t="str">
        <f>IFERROR(INDEX('11'!C$300:C$400,MATCH("*"&amp;H158&amp;"*",'11'!B$300:B$400,0)),"  ")</f>
        <v xml:space="preserve">  </v>
      </c>
      <c r="AL158" s="75" t="str">
        <f>IFERROR(INDEX('12'!C$300:C$400,MATCH("*"&amp;H158&amp;"*",'12'!B$300:B$400,0)),"  ")</f>
        <v xml:space="preserve">  </v>
      </c>
      <c r="AM158" s="26">
        <f t="shared" ca="1" si="70"/>
        <v>0</v>
      </c>
      <c r="AN158" s="579">
        <f t="shared" ref="AN158:AN189" ca="1" si="78">COUNTIF(V158,"&gt;=97")+COUNTIF(AA158,"&gt;=97")+COUNTIF(AI158,"&gt;=97")+COUNTIF(AJ158,"&gt;=97")+COUNTIF(AD158,"&gt;=97")+COUNTIF(AL158,"&gt;=97")+COUNTIF(U158,"&gt;=146")+COUNTIF(AE158,"&gt;=146")+COUNTIF(W158,"&gt;=146")+COUNTIF(AB158,"&gt;=146")+COUNTIF(AC158,"&gt;=146")+COUNTIF(AK158,"&gt;=146")+IF((I158="n"),(COUNTIF(AE158,"=83")+COUNTIF(AE158,"=93")+COUNTIF(AE158,"=105")+COUNTIF(W158,"=83")+COUNTIF(W158,"=93")+COUNTIF(W158,"=105")))+IF((J158="j"),(COUNTIF(AE158,"=33")+COUNTIF(AE158,"=42")+COUNTIF(AE158,"=53")+COUNTIF(W158,"=33")+COUNTIF(W158,"=42")+COUNTIF(W158,"=53")))</f>
        <v>0</v>
      </c>
      <c r="AO158" s="580">
        <f t="shared" ca="1" si="71"/>
        <v>0</v>
      </c>
      <c r="AP158" s="27">
        <f t="shared" ca="1" si="72"/>
        <v>0</v>
      </c>
      <c r="AQ158" s="933">
        <f t="shared" si="75"/>
        <v>2.0000000000000001E-4</v>
      </c>
      <c r="AR158" s="933">
        <f t="shared" ca="1" si="76"/>
        <v>1E-4</v>
      </c>
    </row>
    <row r="159" spans="1:44" hidden="1" x14ac:dyDescent="0.2">
      <c r="A159" s="851" t="str">
        <f t="shared" ca="1" si="61"/>
        <v/>
      </c>
      <c r="B159" s="77">
        <f t="shared" si="62"/>
        <v>0</v>
      </c>
      <c r="C159" s="853" t="str">
        <f t="shared" ca="1" si="73"/>
        <v/>
      </c>
      <c r="D159" s="76">
        <f t="shared" ca="1" si="63"/>
        <v>10000</v>
      </c>
      <c r="E159" s="855" t="str">
        <f t="shared" ca="1" si="74"/>
        <v/>
      </c>
      <c r="F159" s="899">
        <f t="shared" si="64"/>
        <v>0</v>
      </c>
      <c r="G159" s="897" t="str">
        <f t="shared" ca="1" si="77"/>
        <v/>
      </c>
      <c r="H159" s="133" t="s">
        <v>624</v>
      </c>
      <c r="I159" s="38" t="s">
        <v>32</v>
      </c>
      <c r="J159" s="585"/>
      <c r="K159" s="586"/>
      <c r="L159" s="588" t="s">
        <v>720</v>
      </c>
      <c r="M159" s="857">
        <f ca="1">(IF(COUNT(V159,AA159,AD159,AI159,AJ159,AL159)&lt;5,SUM(V159,AA159,AD159,AI159,AJ159,AL159),SUM(LARGE((V159,AA159,AD159,AI159,AJ159,AL159),{1;2;3;4;5}))))+(IF(COUNT(U159,W159,AB159,AC159,AE159,AK159)&lt;5,SUM(U159,W159,AB159,AC159,AE159,AK159),SUM(LARGE((U159,W159,AB159,AC159,AE159,AK159),{1;2;3;4;5}))))+T159</f>
        <v>0</v>
      </c>
      <c r="N159" s="862">
        <f ca="1">IF(I159="n",((IF(COUNT(V159,AA159,AD159,AI159,AJ159,AL159)&lt;5,SUM(V159,AA159,AD159,AI159,AJ159,AL159),SUM(LARGE((V159,AA159,AD159,AI159,AJ159,AL159),{1;2;3;4;5}))))+(IF(COUNT(U159,Y159,AB159,AC159,AG159,AK159)&lt;5,SUM(U159,Y159,AB159,AC159,AG159,AK159),SUM(LARGE((U159,Y159,AB159,AC159,AG159,AK159),{1;2;3;4;5}))))+T159),0)</f>
        <v>0</v>
      </c>
      <c r="O159" s="863">
        <f>IF(J159="j",((IF(COUNT(V159,AA159,AD159,AI159,AJ159,AL159)&lt;5,SUM(V159,AA159,AD159,AI159,AJ159,AL159),SUM(LARGE((V159,AA159,AD159,AI159,AJ159,AL159),{1;2;3;4;5}))))+(IF(COUNT(U159,W159,AB159,AC159,AE159,AK159)&lt;5,SUM(U159,W159,AB159,AC159,AE159,AK159),SUM(LARGE((U159,W159,AB159,AC159,AE159,AK159),{1;2;3;4;5}))))+T159),0)</f>
        <v>0</v>
      </c>
      <c r="P159" s="886" t="str">
        <f t="shared" ca="1" si="66"/>
        <v>000,0</v>
      </c>
      <c r="Q159" s="890">
        <f t="shared" si="67"/>
        <v>192</v>
      </c>
      <c r="R159" s="886" t="str">
        <f t="shared" ca="1" si="68"/>
        <v>0000,0-192</v>
      </c>
      <c r="S159" s="889">
        <f t="shared" ca="1" si="69"/>
        <v>43</v>
      </c>
      <c r="T159" s="847"/>
      <c r="U159" s="75" t="str">
        <f>IFERROR(INDEX('1'!C$300:C$400,MATCH("*"&amp;H159&amp;"*",'1'!B$300:B$400,0)),"  ")</f>
        <v xml:space="preserve">  </v>
      </c>
      <c r="V159" s="199" t="str">
        <f>IFERROR(INDEX('2'!C$300:C$400,MATCH("*"&amp;H159&amp;"*",'2'!B$300:B$400,0)),"  ")</f>
        <v xml:space="preserve">  </v>
      </c>
      <c r="W159" s="199" t="str">
        <f ca="1">IF(I159="",IFERROR(INDEX('3M'!C$300:C$400,MATCH("*"&amp;H159&amp;"*",'3M'!B$300:B$400,0)),"  "),IFERROR(INDEX('3N'!D$300:D$400,MATCH("*"&amp;H159&amp;"*",'3N'!B$300:B$400,0)),"  "))</f>
        <v xml:space="preserve">  </v>
      </c>
      <c r="X159" s="908" t="str">
        <f ca="1">IFERROR(INDEX('3M'!C$300:C$400,MATCH("*"&amp;H159&amp;"*",'3M'!B$300:B$400,0)),"  ")</f>
        <v xml:space="preserve">  </v>
      </c>
      <c r="Y159" s="907" t="str">
        <f ca="1">IFERROR(INDEX('3N'!C$300:C$400,MATCH("*"&amp;H159&amp;"*",'3N'!B$300:B$400,0)),"  ")</f>
        <v xml:space="preserve">  </v>
      </c>
      <c r="Z159" s="440"/>
      <c r="AA159" s="75" t="str">
        <f>IFERROR(INDEX('4'!C$300:C$400,MATCH("*"&amp;H159&amp;"*",'4'!B$300:B$400,0)),"  ")</f>
        <v xml:space="preserve">  </v>
      </c>
      <c r="AB159" s="75" t="str">
        <f>IFERROR(INDEX('5'!C$300:C$400,MATCH("*"&amp;H159&amp;"*",'5'!B$300:B$400,0)),"  ")</f>
        <v xml:space="preserve">  </v>
      </c>
      <c r="AC159" s="75" t="str">
        <f>IFERROR(INDEX('6'!C$300:C$400,MATCH("*"&amp;H159&amp;"*",'6'!B$300:B$400,0)),"  ")</f>
        <v xml:space="preserve">  </v>
      </c>
      <c r="AD159" s="75" t="str">
        <f>IFERROR(INDEX('7'!C$300:C$400,MATCH("*"&amp;H159&amp;"*",'7'!B$300:B$400,0)),"  ")</f>
        <v xml:space="preserve">  </v>
      </c>
      <c r="AE159" s="75" t="str">
        <f>IF(I159="",IFERROR(INDEX('8M'!C$300:C$400,MATCH("*"&amp;H159&amp;"*",'8M'!B$300:B$400,0)),"  "),IFERROR(INDEX('8N'!D$300:D$400,MATCH("*"&amp;H159&amp;"*",'8N'!B$300:B$400,0)),"  "))</f>
        <v xml:space="preserve">  </v>
      </c>
      <c r="AF159" s="908" t="str">
        <f>IFERROR(INDEX('8M'!C$300:C$400,MATCH("*"&amp;H159&amp;"*",'8M'!B$300:B$400,0)),"  ")</f>
        <v xml:space="preserve">  </v>
      </c>
      <c r="AG159" s="907" t="str">
        <f>IFERROR(INDEX('8N'!C$300:C$400,MATCH("*"&amp;H159&amp;"*",'8N'!B$300:B$400,0)),"  ")</f>
        <v xml:space="preserve">  </v>
      </c>
      <c r="AH159" s="440"/>
      <c r="AI159" s="75" t="str">
        <f>IFERROR(INDEX('9'!C$300:C$400,MATCH("*"&amp;H159&amp;"*",'9'!B$300:B$400,0)),"  ")</f>
        <v xml:space="preserve">  </v>
      </c>
      <c r="AJ159" s="830" t="str">
        <f>IFERROR(INDEX('10'!C$300:C$400,MATCH("*"&amp;H159&amp;"*",'10'!B$300:B$400,0)),"  ")</f>
        <v xml:space="preserve">  </v>
      </c>
      <c r="AK159" s="75" t="str">
        <f>IFERROR(INDEX('11'!C$300:C$400,MATCH("*"&amp;H159&amp;"*",'11'!B$300:B$400,0)),"  ")</f>
        <v xml:space="preserve">  </v>
      </c>
      <c r="AL159" s="75" t="str">
        <f>IFERROR(INDEX('12'!C$300:C$400,MATCH("*"&amp;H159&amp;"*",'12'!B$300:B$400,0)),"  ")</f>
        <v xml:space="preserve">  </v>
      </c>
      <c r="AM159" s="26">
        <f t="shared" ca="1" si="70"/>
        <v>0</v>
      </c>
      <c r="AN159" s="579">
        <f t="shared" ca="1" si="78"/>
        <v>0</v>
      </c>
      <c r="AO159" s="580">
        <f t="shared" ca="1" si="71"/>
        <v>0</v>
      </c>
      <c r="AP159" s="27">
        <f t="shared" ca="1" si="72"/>
        <v>0</v>
      </c>
      <c r="AQ159" s="933">
        <f t="shared" si="75"/>
        <v>2.0000000000000001E-4</v>
      </c>
      <c r="AR159" s="933">
        <f t="shared" ca="1" si="76"/>
        <v>1E-4</v>
      </c>
    </row>
    <row r="160" spans="1:44" hidden="1" x14ac:dyDescent="0.2">
      <c r="A160" s="851" t="str">
        <f t="shared" ca="1" si="61"/>
        <v/>
      </c>
      <c r="B160" s="77">
        <f t="shared" si="62"/>
        <v>0</v>
      </c>
      <c r="C160" s="853" t="str">
        <f t="shared" ca="1" si="73"/>
        <v/>
      </c>
      <c r="D160" s="76">
        <f t="shared" ca="1" si="63"/>
        <v>10000</v>
      </c>
      <c r="E160" s="855" t="str">
        <f t="shared" ca="1" si="74"/>
        <v/>
      </c>
      <c r="F160" s="899">
        <f t="shared" si="64"/>
        <v>0</v>
      </c>
      <c r="G160" s="897" t="str">
        <f t="shared" ca="1" si="77"/>
        <v/>
      </c>
      <c r="H160" s="133" t="s">
        <v>306</v>
      </c>
      <c r="I160" s="38" t="s">
        <v>32</v>
      </c>
      <c r="J160" s="585"/>
      <c r="K160" s="586"/>
      <c r="L160" s="587"/>
      <c r="M160" s="857">
        <f ca="1">(IF(COUNT(V160,AA160,AD160,AI160,AJ160,AL160)&lt;5,SUM(V160,AA160,AD160,AI160,AJ160,AL160),SUM(LARGE((V160,AA160,AD160,AI160,AJ160,AL160),{1;2;3;4;5}))))+(IF(COUNT(U160,W160,AB160,AC160,AE160,AK160)&lt;5,SUM(U160,W160,AB160,AC160,AE160,AK160),SUM(LARGE((U160,W160,AB160,AC160,AE160,AK160),{1;2;3;4;5}))))+T160</f>
        <v>0</v>
      </c>
      <c r="N160" s="862">
        <f ca="1">IF(I160="n",((IF(COUNT(V160,AA160,AD160,AI160,AJ160,AL160)&lt;5,SUM(V160,AA160,AD160,AI160,AJ160,AL160),SUM(LARGE((V160,AA160,AD160,AI160,AJ160,AL160),{1;2;3;4;5}))))+(IF(COUNT(U160,Y160,AB160,AC160,AG160,AK160)&lt;5,SUM(U160,Y160,AB160,AC160,AG160,AK160),SUM(LARGE((U160,Y160,AB160,AC160,AG160,AK160),{1;2;3;4;5}))))+T160),0)</f>
        <v>0</v>
      </c>
      <c r="O160" s="863">
        <f>IF(J160="j",((IF(COUNT(V160,AA160,AD160,AI160,AJ160,AL160)&lt;5,SUM(V160,AA160,AD160,AI160,AJ160,AL160),SUM(LARGE((V160,AA160,AD160,AI160,AJ160,AL160),{1;2;3;4;5}))))+(IF(COUNT(U160,W160,AB160,AC160,AE160,AK160)&lt;5,SUM(U160,W160,AB160,AC160,AE160,AK160),SUM(LARGE((U160,W160,AB160,AC160,AE160,AK160),{1;2;3;4;5}))))+T160),0)</f>
        <v>0</v>
      </c>
      <c r="P160" s="886" t="str">
        <f t="shared" ca="1" si="66"/>
        <v>000,0</v>
      </c>
      <c r="Q160" s="890">
        <f t="shared" si="67"/>
        <v>188</v>
      </c>
      <c r="R160" s="886" t="str">
        <f t="shared" ca="1" si="68"/>
        <v>0000,0-188</v>
      </c>
      <c r="S160" s="889">
        <f t="shared" ca="1" si="69"/>
        <v>42</v>
      </c>
      <c r="T160" s="847"/>
      <c r="U160" s="75" t="str">
        <f>IFERROR(INDEX('1'!C$300:C$400,MATCH("*"&amp;H160&amp;"*",'1'!B$300:B$400,0)),"  ")</f>
        <v xml:space="preserve">  </v>
      </c>
      <c r="V160" s="199" t="str">
        <f>IFERROR(INDEX('2'!C$300:C$400,MATCH("*"&amp;H160&amp;"*",'2'!B$300:B$400,0)),"  ")</f>
        <v xml:space="preserve">  </v>
      </c>
      <c r="W160" s="199" t="str">
        <f ca="1">IF(I160="",IFERROR(INDEX('3M'!C$300:C$400,MATCH("*"&amp;H160&amp;"*",'3M'!B$300:B$400,0)),"  "),IFERROR(INDEX('3N'!D$300:D$400,MATCH("*"&amp;H160&amp;"*",'3N'!B$300:B$400,0)),"  "))</f>
        <v xml:space="preserve">  </v>
      </c>
      <c r="X160" s="908" t="str">
        <f ca="1">IFERROR(INDEX('3M'!C$300:C$400,MATCH("*"&amp;H160&amp;"*",'3M'!B$300:B$400,0)),"  ")</f>
        <v xml:space="preserve">  </v>
      </c>
      <c r="Y160" s="907" t="str">
        <f ca="1">IFERROR(INDEX('3N'!C$300:C$400,MATCH("*"&amp;H160&amp;"*",'3N'!B$300:B$400,0)),"  ")</f>
        <v xml:space="preserve">  </v>
      </c>
      <c r="Z160" s="440"/>
      <c r="AA160" s="75" t="str">
        <f>IFERROR(INDEX('4'!C$300:C$400,MATCH("*"&amp;H160&amp;"*",'4'!B$300:B$400,0)),"  ")</f>
        <v xml:space="preserve">  </v>
      </c>
      <c r="AB160" s="75" t="str">
        <f>IFERROR(INDEX('5'!C$300:C$400,MATCH("*"&amp;H160&amp;"*",'5'!B$300:B$400,0)),"  ")</f>
        <v xml:space="preserve">  </v>
      </c>
      <c r="AC160" s="75" t="str">
        <f>IFERROR(INDEX('6'!C$300:C$400,MATCH("*"&amp;H160&amp;"*",'6'!B$300:B$400,0)),"  ")</f>
        <v xml:space="preserve">  </v>
      </c>
      <c r="AD160" s="75" t="str">
        <f>IFERROR(INDEX('7'!C$300:C$400,MATCH("*"&amp;H160&amp;"*",'7'!B$300:B$400,0)),"  ")</f>
        <v xml:space="preserve">  </v>
      </c>
      <c r="AE160" s="75" t="str">
        <f>IF(I160="",IFERROR(INDEX('8M'!C$300:C$400,MATCH("*"&amp;H160&amp;"*",'8M'!B$300:B$400,0)),"  "),IFERROR(INDEX('8N'!D$300:D$400,MATCH("*"&amp;H160&amp;"*",'8N'!B$300:B$400,0)),"  "))</f>
        <v xml:space="preserve">  </v>
      </c>
      <c r="AF160" s="908" t="str">
        <f>IFERROR(INDEX('8M'!C$300:C$400,MATCH("*"&amp;H160&amp;"*",'8M'!B$300:B$400,0)),"  ")</f>
        <v xml:space="preserve">  </v>
      </c>
      <c r="AG160" s="907" t="str">
        <f>IFERROR(INDEX('8N'!C$300:C$400,MATCH("*"&amp;H160&amp;"*",'8N'!B$300:B$400,0)),"  ")</f>
        <v xml:space="preserve">  </v>
      </c>
      <c r="AH160" s="440"/>
      <c r="AI160" s="75" t="str">
        <f>IFERROR(INDEX('9'!C$300:C$400,MATCH("*"&amp;H160&amp;"*",'9'!B$300:B$400,0)),"  ")</f>
        <v xml:space="preserve">  </v>
      </c>
      <c r="AJ160" s="830" t="str">
        <f>IFERROR(INDEX('10'!C$300:C$400,MATCH("*"&amp;H160&amp;"*",'10'!B$300:B$400,0)),"  ")</f>
        <v xml:space="preserve">  </v>
      </c>
      <c r="AK160" s="75" t="str">
        <f>IFERROR(INDEX('11'!C$300:C$400,MATCH("*"&amp;H160&amp;"*",'11'!B$300:B$400,0)),"  ")</f>
        <v xml:space="preserve">  </v>
      </c>
      <c r="AL160" s="75" t="str">
        <f>IFERROR(INDEX('12'!C$300:C$400,MATCH("*"&amp;H160&amp;"*",'12'!B$300:B$400,0)),"  ")</f>
        <v xml:space="preserve">  </v>
      </c>
      <c r="AM160" s="26">
        <f t="shared" ca="1" si="70"/>
        <v>0</v>
      </c>
      <c r="AN160" s="579">
        <f t="shared" ca="1" si="78"/>
        <v>0</v>
      </c>
      <c r="AO160" s="580">
        <f t="shared" ca="1" si="71"/>
        <v>0</v>
      </c>
      <c r="AP160" s="27">
        <f t="shared" ca="1" si="72"/>
        <v>0</v>
      </c>
      <c r="AQ160" s="933">
        <f t="shared" si="75"/>
        <v>2.0000000000000001E-4</v>
      </c>
      <c r="AR160" s="933">
        <f t="shared" ca="1" si="76"/>
        <v>1E-4</v>
      </c>
    </row>
    <row r="161" spans="1:44" hidden="1" x14ac:dyDescent="0.2">
      <c r="A161" s="851" t="str">
        <f t="shared" ca="1" si="61"/>
        <v/>
      </c>
      <c r="B161" s="77">
        <f t="shared" ca="1" si="62"/>
        <v>10000</v>
      </c>
      <c r="C161" s="853" t="str">
        <f t="shared" ca="1" si="73"/>
        <v/>
      </c>
      <c r="D161" s="76">
        <f t="shared" si="63"/>
        <v>0</v>
      </c>
      <c r="E161" s="855" t="str">
        <f t="shared" ca="1" si="74"/>
        <v/>
      </c>
      <c r="F161" s="899">
        <f t="shared" ca="1" si="64"/>
        <v>10000</v>
      </c>
      <c r="G161" s="897" t="str">
        <f t="shared" ca="1" si="77"/>
        <v/>
      </c>
      <c r="H161" s="133" t="s">
        <v>642</v>
      </c>
      <c r="I161" s="38"/>
      <c r="J161" s="589" t="s">
        <v>45</v>
      </c>
      <c r="K161" s="586"/>
      <c r="L161" s="587"/>
      <c r="M161" s="857">
        <f ca="1">(IF(COUNT(V161,AA161,AD161,AI161,AJ161,AL161)&lt;5,SUM(V161,AA161,AD161,AI161,AJ161,AL161),SUM(LARGE((V161,AA161,AD161,AI161,AJ161,AL161),{1;2;3;4;5}))))+(IF(COUNT(U161,W161,AB161,AC161,AE161,AK161)&lt;5,SUM(U161,W161,AB161,AC161,AE161,AK161),SUM(LARGE((U161,W161,AB161,AC161,AE161,AK161),{1;2;3;4;5}))))+T161</f>
        <v>0</v>
      </c>
      <c r="N161" s="862">
        <f>IF(I161="n",((IF(COUNT(V161,AA161,AD161,AI161,AJ161,AL161)&lt;5,SUM(V161,AA161,AD161,AI161,AJ161,AL161),SUM(LARGE((V161,AA161,AD161,AI161,AJ161,AL161),{1;2;3;4;5}))))+(IF(COUNT(U161,Y161,AB161,AC161,AG161,AK161)&lt;5,SUM(U161,Y161,AB161,AC161,AG161,AK161),SUM(LARGE((U161,Y161,AB161,AC161,AG161,AK161),{1;2;3;4;5}))))+T161),0)</f>
        <v>0</v>
      </c>
      <c r="O161" s="863">
        <f ca="1">IF(J161="j",((IF(COUNT(V161,AA161,AD161,AI161,AJ161,AL161)&lt;5,SUM(V161,AA161,AD161,AI161,AJ161,AL161),SUM(LARGE((V161,AA161,AD161,AI161,AJ161,AL161),{1;2;3;4;5}))))+(IF(COUNT(U161,W161,AB161,AC161,AE161,AK161)&lt;5,SUM(U161,W161,AB161,AC161,AE161,AK161),SUM(LARGE((U161,W161,AB161,AC161,AE161,AK161),{1;2;3;4;5}))))+T161),0)</f>
        <v>0</v>
      </c>
      <c r="P161" s="886" t="str">
        <f t="shared" ca="1" si="66"/>
        <v>000,0</v>
      </c>
      <c r="Q161" s="890">
        <f t="shared" si="67"/>
        <v>184</v>
      </c>
      <c r="R161" s="886" t="str">
        <f t="shared" ca="1" si="68"/>
        <v>0000,0-184</v>
      </c>
      <c r="S161" s="889">
        <f t="shared" ca="1" si="69"/>
        <v>41</v>
      </c>
      <c r="T161" s="847"/>
      <c r="U161" s="75" t="str">
        <f>IFERROR(INDEX('1'!C$300:C$400,MATCH("*"&amp;H161&amp;"*",'1'!B$300:B$400,0)),"  ")</f>
        <v xml:space="preserve">  </v>
      </c>
      <c r="V161" s="199" t="str">
        <f>IFERROR(INDEX('2'!C$300:C$400,MATCH("*"&amp;H161&amp;"*",'2'!B$300:B$400,0)),"  ")</f>
        <v xml:space="preserve">  </v>
      </c>
      <c r="W161" s="199" t="str">
        <f ca="1">IF(I161="",IFERROR(INDEX('3M'!C$300:C$400,MATCH("*"&amp;H161&amp;"*",'3M'!B$300:B$400,0)),"  "),IFERROR(INDEX('3N'!D$300:D$400,MATCH("*"&amp;H161&amp;"*",'3N'!B$300:B$400,0)),"  "))</f>
        <v xml:space="preserve">  </v>
      </c>
      <c r="X161" s="908" t="str">
        <f ca="1">IFERROR(INDEX('3M'!C$300:C$400,MATCH("*"&amp;H161&amp;"*",'3M'!B$300:B$400,0)),"  ")</f>
        <v xml:space="preserve">  </v>
      </c>
      <c r="Y161" s="907" t="str">
        <f ca="1">IFERROR(INDEX('3N'!C$300:C$400,MATCH("*"&amp;H161&amp;"*",'3N'!B$300:B$400,0)),"  ")</f>
        <v xml:space="preserve">  </v>
      </c>
      <c r="Z161" s="440"/>
      <c r="AA161" s="75" t="str">
        <f>IFERROR(INDEX('4'!C$300:C$400,MATCH("*"&amp;H161&amp;"*",'4'!B$300:B$400,0)),"  ")</f>
        <v xml:space="preserve">  </v>
      </c>
      <c r="AB161" s="75" t="str">
        <f>IFERROR(INDEX('5'!C$300:C$400,MATCH("*"&amp;H161&amp;"*",'5'!B$300:B$400,0)),"  ")</f>
        <v xml:space="preserve">  </v>
      </c>
      <c r="AC161" s="75" t="str">
        <f>IFERROR(INDEX('6'!C$300:C$400,MATCH("*"&amp;H161&amp;"*",'6'!B$300:B$400,0)),"  ")</f>
        <v xml:space="preserve">  </v>
      </c>
      <c r="AD161" s="75" t="str">
        <f>IFERROR(INDEX('7'!C$300:C$400,MATCH("*"&amp;H161&amp;"*",'7'!B$300:B$400,0)),"  ")</f>
        <v xml:space="preserve">  </v>
      </c>
      <c r="AE161" s="75" t="str">
        <f>IF(I161="",IFERROR(INDEX('8M'!C$300:C$400,MATCH("*"&amp;H161&amp;"*",'8M'!B$300:B$400,0)),"  "),IFERROR(INDEX('8N'!D$300:D$400,MATCH("*"&amp;H161&amp;"*",'8N'!B$300:B$400,0)),"  "))</f>
        <v xml:space="preserve">  </v>
      </c>
      <c r="AF161" s="908" t="str">
        <f>IFERROR(INDEX('8M'!C$300:C$400,MATCH("*"&amp;H161&amp;"*",'8M'!B$300:B$400,0)),"  ")</f>
        <v xml:space="preserve">  </v>
      </c>
      <c r="AG161" s="907" t="str">
        <f>IFERROR(INDEX('8N'!C$300:C$400,MATCH("*"&amp;H161&amp;"*",'8N'!B$300:B$400,0)),"  ")</f>
        <v xml:space="preserve">  </v>
      </c>
      <c r="AH161" s="440"/>
      <c r="AI161" s="75" t="str">
        <f>IFERROR(INDEX('9'!C$300:C$400,MATCH("*"&amp;H161&amp;"*",'9'!B$300:B$400,0)),"  ")</f>
        <v xml:space="preserve">  </v>
      </c>
      <c r="AJ161" s="830" t="str">
        <f>IFERROR(INDEX('10'!C$300:C$400,MATCH("*"&amp;H161&amp;"*",'10'!B$300:B$400,0)),"  ")</f>
        <v xml:space="preserve">  </v>
      </c>
      <c r="AK161" s="75" t="str">
        <f>IFERROR(INDEX('11'!C$300:C$400,MATCH("*"&amp;H161&amp;"*",'11'!B$300:B$400,0)),"  ")</f>
        <v xml:space="preserve">  </v>
      </c>
      <c r="AL161" s="75" t="str">
        <f>IFERROR(INDEX('12'!C$300:C$400,MATCH("*"&amp;H161&amp;"*",'12'!B$300:B$400,0)),"  ")</f>
        <v xml:space="preserve">  </v>
      </c>
      <c r="AM161" s="26">
        <f t="shared" ca="1" si="70"/>
        <v>0</v>
      </c>
      <c r="AN161" s="579">
        <f t="shared" ca="1" si="78"/>
        <v>0</v>
      </c>
      <c r="AO161" s="580">
        <f t="shared" ca="1" si="71"/>
        <v>0</v>
      </c>
      <c r="AP161" s="27">
        <f t="shared" ca="1" si="72"/>
        <v>0</v>
      </c>
      <c r="AQ161" s="933">
        <f t="shared" si="75"/>
        <v>2.0000000000000001E-4</v>
      </c>
      <c r="AR161" s="933">
        <f t="shared" ca="1" si="76"/>
        <v>1E-4</v>
      </c>
    </row>
    <row r="162" spans="1:44" hidden="1" x14ac:dyDescent="0.2">
      <c r="A162" s="851" t="str">
        <f t="shared" ca="1" si="61"/>
        <v/>
      </c>
      <c r="B162" s="77">
        <f t="shared" ca="1" si="62"/>
        <v>10000</v>
      </c>
      <c r="C162" s="853" t="str">
        <f t="shared" ca="1" si="73"/>
        <v/>
      </c>
      <c r="D162" s="76">
        <f t="shared" si="63"/>
        <v>0</v>
      </c>
      <c r="E162" s="855" t="str">
        <f t="shared" ca="1" si="74"/>
        <v/>
      </c>
      <c r="F162" s="899">
        <f t="shared" si="64"/>
        <v>0</v>
      </c>
      <c r="G162" s="897" t="str">
        <f t="shared" ca="1" si="77"/>
        <v/>
      </c>
      <c r="H162" s="133" t="s">
        <v>634</v>
      </c>
      <c r="I162" s="38"/>
      <c r="J162" s="585"/>
      <c r="K162" s="586"/>
      <c r="L162" s="587"/>
      <c r="M162" s="857">
        <f ca="1">(IF(COUNT(V162,AA162,AD162,AI162,AJ162,AL162)&lt;5,SUM(V162,AA162,AD162,AI162,AJ162,AL162),SUM(LARGE((V162,AA162,AD162,AI162,AJ162,AL162),{1;2;3;4;5}))))+(IF(COUNT(U162,W162,AB162,AC162,AE162,AK162)&lt;5,SUM(U162,W162,AB162,AC162,AE162,AK162),SUM(LARGE((U162,W162,AB162,AC162,AE162,AK162),{1;2;3;4;5}))))+T162</f>
        <v>0</v>
      </c>
      <c r="N162" s="862">
        <f>IF(I162="n",((IF(COUNT(V162,AA162,AD162,AI162,AJ162,AL162)&lt;5,SUM(V162,AA162,AD162,AI162,AJ162,AL162),SUM(LARGE((V162,AA162,AD162,AI162,AJ162,AL162),{1;2;3;4;5}))))+(IF(COUNT(U162,Y162,AB162,AC162,AG162,AK162)&lt;5,SUM(U162,Y162,AB162,AC162,AG162,AK162),SUM(LARGE((U162,Y162,AB162,AC162,AG162,AK162),{1;2;3;4;5}))))+T162),0)</f>
        <v>0</v>
      </c>
      <c r="O162" s="863">
        <f>IF(J162="j",((IF(COUNT(V162,AA162,AD162,AI162,AJ162,AL162)&lt;5,SUM(V162,AA162,AD162,AI162,AJ162,AL162),SUM(LARGE((V162,AA162,AD162,AI162,AJ162,AL162),{1;2;3;4;5}))))+(IF(COUNT(U162,W162,AB162,AC162,AE162,AK162)&lt;5,SUM(U162,W162,AB162,AC162,AE162,AK162),SUM(LARGE((U162,W162,AB162,AC162,AE162,AK162),{1;2;3;4;5}))))+T162),0)</f>
        <v>0</v>
      </c>
      <c r="P162" s="886" t="str">
        <f t="shared" ca="1" si="66"/>
        <v>000,0</v>
      </c>
      <c r="Q162" s="890">
        <f t="shared" si="67"/>
        <v>181</v>
      </c>
      <c r="R162" s="886" t="str">
        <f t="shared" ca="1" si="68"/>
        <v>0000,0-181</v>
      </c>
      <c r="S162" s="889">
        <f t="shared" ca="1" si="69"/>
        <v>40</v>
      </c>
      <c r="T162" s="847"/>
      <c r="U162" s="75" t="str">
        <f>IFERROR(INDEX('1'!C$300:C$400,MATCH("*"&amp;H162&amp;"*",'1'!B$300:B$400,0)),"  ")</f>
        <v xml:space="preserve">  </v>
      </c>
      <c r="V162" s="199" t="str">
        <f>IFERROR(INDEX('2'!C$300:C$400,MATCH("*"&amp;H162&amp;"*",'2'!B$300:B$400,0)),"  ")</f>
        <v xml:space="preserve">  </v>
      </c>
      <c r="W162" s="199" t="str">
        <f ca="1">IF(I162="",IFERROR(INDEX('3M'!C$300:C$400,MATCH("*"&amp;H162&amp;"*",'3M'!B$300:B$400,0)),"  "),IFERROR(INDEX('3N'!D$300:D$400,MATCH("*"&amp;H162&amp;"*",'3N'!B$300:B$400,0)),"  "))</f>
        <v xml:space="preserve">  </v>
      </c>
      <c r="X162" s="908" t="str">
        <f ca="1">IFERROR(INDEX('3M'!C$300:C$400,MATCH("*"&amp;H162&amp;"*",'3M'!B$300:B$400,0)),"  ")</f>
        <v xml:space="preserve">  </v>
      </c>
      <c r="Y162" s="907" t="str">
        <f ca="1">IFERROR(INDEX('3N'!C$300:C$400,MATCH("*"&amp;H162&amp;"*",'3N'!B$300:B$400,0)),"  ")</f>
        <v xml:space="preserve">  </v>
      </c>
      <c r="Z162" s="440"/>
      <c r="AA162" s="75" t="str">
        <f>IFERROR(INDEX('4'!C$300:C$400,MATCH("*"&amp;H162&amp;"*",'4'!B$300:B$400,0)),"  ")</f>
        <v xml:space="preserve">  </v>
      </c>
      <c r="AB162" s="75" t="str">
        <f>IFERROR(INDEX('5'!C$300:C$400,MATCH("*"&amp;H162&amp;"*",'5'!B$300:B$400,0)),"  ")</f>
        <v xml:space="preserve">  </v>
      </c>
      <c r="AC162" s="75" t="str">
        <f>IFERROR(INDEX('6'!C$300:C$400,MATCH("*"&amp;H162&amp;"*",'6'!B$300:B$400,0)),"  ")</f>
        <v xml:space="preserve">  </v>
      </c>
      <c r="AD162" s="75" t="str">
        <f>IFERROR(INDEX('7'!C$300:C$400,MATCH("*"&amp;H162&amp;"*",'7'!B$300:B$400,0)),"  ")</f>
        <v xml:space="preserve">  </v>
      </c>
      <c r="AE162" s="75" t="str">
        <f>IF(I162="",IFERROR(INDEX('8M'!C$300:C$400,MATCH("*"&amp;H162&amp;"*",'8M'!B$300:B$400,0)),"  "),IFERROR(INDEX('8N'!D$300:D$400,MATCH("*"&amp;H162&amp;"*",'8N'!B$300:B$400,0)),"  "))</f>
        <v xml:space="preserve">  </v>
      </c>
      <c r="AF162" s="908" t="str">
        <f>IFERROR(INDEX('8M'!C$300:C$400,MATCH("*"&amp;H162&amp;"*",'8M'!B$300:B$400,0)),"  ")</f>
        <v xml:space="preserve">  </v>
      </c>
      <c r="AG162" s="907" t="str">
        <f>IFERROR(INDEX('8N'!C$300:C$400,MATCH("*"&amp;H162&amp;"*",'8N'!B$300:B$400,0)),"  ")</f>
        <v xml:space="preserve">  </v>
      </c>
      <c r="AH162" s="440"/>
      <c r="AI162" s="75" t="str">
        <f>IFERROR(INDEX('9'!C$300:C$400,MATCH("*"&amp;H162&amp;"*",'9'!B$300:B$400,0)),"  ")</f>
        <v xml:space="preserve">  </v>
      </c>
      <c r="AJ162" s="830" t="str">
        <f>IFERROR(INDEX('10'!C$300:C$400,MATCH("*"&amp;H162&amp;"*",'10'!B$300:B$400,0)),"  ")</f>
        <v xml:space="preserve">  </v>
      </c>
      <c r="AK162" s="75" t="str">
        <f>IFERROR(INDEX('11'!C$300:C$400,MATCH("*"&amp;H162&amp;"*",'11'!B$300:B$400,0)),"  ")</f>
        <v xml:space="preserve">  </v>
      </c>
      <c r="AL162" s="75" t="str">
        <f>IFERROR(INDEX('12'!C$300:C$400,MATCH("*"&amp;H162&amp;"*",'12'!B$300:B$400,0)),"  ")</f>
        <v xml:space="preserve">  </v>
      </c>
      <c r="AM162" s="26">
        <f t="shared" ca="1" si="70"/>
        <v>0</v>
      </c>
      <c r="AN162" s="579">
        <f t="shared" ca="1" si="78"/>
        <v>0</v>
      </c>
      <c r="AO162" s="580">
        <f t="shared" ca="1" si="71"/>
        <v>0</v>
      </c>
      <c r="AP162" s="27">
        <f t="shared" ca="1" si="72"/>
        <v>0</v>
      </c>
      <c r="AQ162" s="933">
        <f t="shared" si="75"/>
        <v>2.0000000000000001E-4</v>
      </c>
      <c r="AR162" s="933">
        <f t="shared" ca="1" si="76"/>
        <v>1E-4</v>
      </c>
    </row>
    <row r="163" spans="1:44" hidden="1" x14ac:dyDescent="0.2">
      <c r="A163" s="851" t="str">
        <f t="shared" ca="1" si="61"/>
        <v/>
      </c>
      <c r="B163" s="77">
        <f t="shared" si="62"/>
        <v>0</v>
      </c>
      <c r="C163" s="853" t="str">
        <f t="shared" ca="1" si="73"/>
        <v/>
      </c>
      <c r="D163" s="76">
        <f t="shared" ca="1" si="63"/>
        <v>10000</v>
      </c>
      <c r="E163" s="855" t="str">
        <f t="shared" ca="1" si="74"/>
        <v/>
      </c>
      <c r="F163" s="899">
        <f t="shared" ca="1" si="64"/>
        <v>10000</v>
      </c>
      <c r="G163" s="897" t="str">
        <f t="shared" ca="1" si="77"/>
        <v/>
      </c>
      <c r="H163" s="133" t="s">
        <v>162</v>
      </c>
      <c r="I163" s="38" t="s">
        <v>32</v>
      </c>
      <c r="J163" s="589" t="s">
        <v>45</v>
      </c>
      <c r="K163" s="586"/>
      <c r="L163" s="587"/>
      <c r="M163" s="857">
        <f ca="1">(IF(COUNT(V163,AA163,AD163,AI163,AJ163,AL163)&lt;5,SUM(V163,AA163,AD163,AI163,AJ163,AL163),SUM(LARGE((V163,AA163,AD163,AI163,AJ163,AL163),{1;2;3;4;5}))))+(IF(COUNT(U163,W163,AB163,AC163,AE163,AK163)&lt;5,SUM(U163,W163,AB163,AC163,AE163,AK163),SUM(LARGE((U163,W163,AB163,AC163,AE163,AK163),{1;2;3;4;5}))))+T163</f>
        <v>0</v>
      </c>
      <c r="N163" s="862">
        <f ca="1">IF(I163="n",((IF(COUNT(V163,AA163,AD163,AI163,AJ163,AL163)&lt;5,SUM(V163,AA163,AD163,AI163,AJ163,AL163),SUM(LARGE((V163,AA163,AD163,AI163,AJ163,AL163),{1;2;3;4;5}))))+(IF(COUNT(U163,Y163,AB163,AC163,AG163,AK163)&lt;5,SUM(U163,Y163,AB163,AC163,AG163,AK163),SUM(LARGE((U163,Y163,AB163,AC163,AG163,AK163),{1;2;3;4;5}))))+T163),0)</f>
        <v>0</v>
      </c>
      <c r="O163" s="863">
        <f ca="1">IF(J163="j",((IF(COUNT(V163,AA163,AD163,AI163,AJ163,AL163)&lt;5,SUM(V163,AA163,AD163,AI163,AJ163,AL163),SUM(LARGE((V163,AA163,AD163,AI163,AJ163,AL163),{1;2;3;4;5}))))+(IF(COUNT(U163,W163,AB163,AC163,AE163,AK163)&lt;5,SUM(U163,W163,AB163,AC163,AE163,AK163),SUM(LARGE((U163,W163,AB163,AC163,AE163,AK163),{1;2;3;4;5}))))+T163),0)</f>
        <v>0</v>
      </c>
      <c r="P163" s="886" t="str">
        <f t="shared" ca="1" si="66"/>
        <v>000,0</v>
      </c>
      <c r="Q163" s="890">
        <f t="shared" si="67"/>
        <v>176</v>
      </c>
      <c r="R163" s="886" t="str">
        <f t="shared" ca="1" si="68"/>
        <v>0000,0-176</v>
      </c>
      <c r="S163" s="889">
        <f t="shared" ca="1" si="69"/>
        <v>39</v>
      </c>
      <c r="T163" s="847"/>
      <c r="U163" s="75" t="str">
        <f>IFERROR(INDEX('1'!C$300:C$400,MATCH("*"&amp;H163&amp;"*",'1'!B$300:B$400,0)),"  ")</f>
        <v xml:space="preserve">  </v>
      </c>
      <c r="V163" s="199" t="str">
        <f>IFERROR(INDEX('2'!C$300:C$400,MATCH("*"&amp;H163&amp;"*",'2'!B$300:B$400,0)),"  ")</f>
        <v xml:space="preserve">  </v>
      </c>
      <c r="W163" s="199" t="str">
        <f ca="1">IF(I163="",IFERROR(INDEX('3M'!C$300:C$400,MATCH("*"&amp;H163&amp;"*",'3M'!B$300:B$400,0)),"  "),IFERROR(INDEX('3N'!D$300:D$400,MATCH("*"&amp;H163&amp;"*",'3N'!B$300:B$400,0)),"  "))</f>
        <v xml:space="preserve">  </v>
      </c>
      <c r="X163" s="908" t="str">
        <f ca="1">IFERROR(INDEX('3M'!C$300:C$400,MATCH("*"&amp;H163&amp;"*",'3M'!B$300:B$400,0)),"  ")</f>
        <v xml:space="preserve">  </v>
      </c>
      <c r="Y163" s="907" t="str">
        <f ca="1">IFERROR(INDEX('3N'!C$300:C$400,MATCH("*"&amp;H163&amp;"*",'3N'!B$300:B$400,0)),"  ")</f>
        <v xml:space="preserve">  </v>
      </c>
      <c r="Z163" s="440"/>
      <c r="AA163" s="75" t="str">
        <f>IFERROR(INDEX('4'!C$300:C$400,MATCH("*"&amp;H163&amp;"*",'4'!B$300:B$400,0)),"  ")</f>
        <v xml:space="preserve">  </v>
      </c>
      <c r="AB163" s="75" t="str">
        <f>IFERROR(INDEX('5'!C$300:C$400,MATCH("*"&amp;H163&amp;"*",'5'!B$300:B$400,0)),"  ")</f>
        <v xml:space="preserve">  </v>
      </c>
      <c r="AC163" s="75" t="str">
        <f>IFERROR(INDEX('6'!C$300:C$400,MATCH("*"&amp;H163&amp;"*",'6'!B$300:B$400,0)),"  ")</f>
        <v xml:space="preserve">  </v>
      </c>
      <c r="AD163" s="75" t="str">
        <f>IFERROR(INDEX('7'!C$300:C$400,MATCH("*"&amp;H163&amp;"*",'7'!B$300:B$400,0)),"  ")</f>
        <v xml:space="preserve">  </v>
      </c>
      <c r="AE163" s="75" t="str">
        <f>IF(I163="",IFERROR(INDEX('8M'!C$300:C$400,MATCH("*"&amp;H163&amp;"*",'8M'!B$300:B$400,0)),"  "),IFERROR(INDEX('8N'!D$300:D$400,MATCH("*"&amp;H163&amp;"*",'8N'!B$300:B$400,0)),"  "))</f>
        <v xml:space="preserve">  </v>
      </c>
      <c r="AF163" s="908" t="str">
        <f>IFERROR(INDEX('8M'!C$300:C$400,MATCH("*"&amp;H163&amp;"*",'8M'!B$300:B$400,0)),"  ")</f>
        <v xml:space="preserve">  </v>
      </c>
      <c r="AG163" s="907" t="str">
        <f>IFERROR(INDEX('8N'!C$300:C$400,MATCH("*"&amp;H163&amp;"*",'8N'!B$300:B$400,0)),"  ")</f>
        <v xml:space="preserve">  </v>
      </c>
      <c r="AH163" s="440"/>
      <c r="AI163" s="75" t="str">
        <f>IFERROR(INDEX('9'!C$300:C$400,MATCH("*"&amp;H163&amp;"*",'9'!B$300:B$400,0)),"  ")</f>
        <v xml:space="preserve">  </v>
      </c>
      <c r="AJ163" s="830" t="str">
        <f>IFERROR(INDEX('10'!C$300:C$400,MATCH("*"&amp;H163&amp;"*",'10'!B$300:B$400,0)),"  ")</f>
        <v xml:space="preserve">  </v>
      </c>
      <c r="AK163" s="75" t="str">
        <f>IFERROR(INDEX('11'!C$300:C$400,MATCH("*"&amp;H163&amp;"*",'11'!B$300:B$400,0)),"  ")</f>
        <v xml:space="preserve">  </v>
      </c>
      <c r="AL163" s="75" t="str">
        <f>IFERROR(INDEX('12'!C$300:C$400,MATCH("*"&amp;H163&amp;"*",'12'!B$300:B$400,0)),"  ")</f>
        <v xml:space="preserve">  </v>
      </c>
      <c r="AM163" s="26">
        <f t="shared" ca="1" si="70"/>
        <v>0</v>
      </c>
      <c r="AN163" s="579">
        <f t="shared" ca="1" si="78"/>
        <v>0</v>
      </c>
      <c r="AO163" s="580">
        <f t="shared" ca="1" si="71"/>
        <v>0</v>
      </c>
      <c r="AP163" s="27">
        <f t="shared" ca="1" si="72"/>
        <v>0</v>
      </c>
      <c r="AQ163" s="933">
        <f t="shared" si="75"/>
        <v>2.0000000000000001E-4</v>
      </c>
      <c r="AR163" s="933">
        <f t="shared" ca="1" si="76"/>
        <v>1E-4</v>
      </c>
    </row>
    <row r="164" spans="1:44" hidden="1" x14ac:dyDescent="0.2">
      <c r="A164" s="851" t="str">
        <f t="shared" ca="1" si="61"/>
        <v/>
      </c>
      <c r="B164" s="77">
        <f t="shared" si="62"/>
        <v>0</v>
      </c>
      <c r="C164" s="853" t="str">
        <f t="shared" ca="1" si="73"/>
        <v/>
      </c>
      <c r="D164" s="76">
        <f t="shared" ca="1" si="63"/>
        <v>10000</v>
      </c>
      <c r="E164" s="855" t="str">
        <f t="shared" ca="1" si="74"/>
        <v/>
      </c>
      <c r="F164" s="899">
        <f t="shared" si="64"/>
        <v>0</v>
      </c>
      <c r="G164" s="897" t="str">
        <f t="shared" ca="1" si="77"/>
        <v/>
      </c>
      <c r="H164" s="133" t="s">
        <v>629</v>
      </c>
      <c r="I164" s="38" t="s">
        <v>32</v>
      </c>
      <c r="J164" s="585"/>
      <c r="K164" s="586"/>
      <c r="L164" s="587"/>
      <c r="M164" s="857">
        <f ca="1">(IF(COUNT(V164,AA164,AD164,AI164,AJ164,AL164)&lt;5,SUM(V164,AA164,AD164,AI164,AJ164,AL164),SUM(LARGE((V164,AA164,AD164,AI164,AJ164,AL164),{1;2;3;4;5}))))+(IF(COUNT(U164,W164,AB164,AC164,AE164,AK164)&lt;5,SUM(U164,W164,AB164,AC164,AE164,AK164),SUM(LARGE((U164,W164,AB164,AC164,AE164,AK164),{1;2;3;4;5}))))+T164</f>
        <v>0</v>
      </c>
      <c r="N164" s="862">
        <f ca="1">IF(I164="n",((IF(COUNT(V164,AA164,AD164,AI164,AJ164,AL164)&lt;5,SUM(V164,AA164,AD164,AI164,AJ164,AL164),SUM(LARGE((V164,AA164,AD164,AI164,AJ164,AL164),{1;2;3;4;5}))))+(IF(COUNT(U164,Y164,AB164,AC164,AG164,AK164)&lt;5,SUM(U164,Y164,AB164,AC164,AG164,AK164),SUM(LARGE((U164,Y164,AB164,AC164,AG164,AK164),{1;2;3;4;5}))))+T164),0)</f>
        <v>0</v>
      </c>
      <c r="O164" s="863">
        <f>IF(J164="j",((IF(COUNT(V164,AA164,AD164,AI164,AJ164,AL164)&lt;5,SUM(V164,AA164,AD164,AI164,AJ164,AL164),SUM(LARGE((V164,AA164,AD164,AI164,AJ164,AL164),{1;2;3;4;5}))))+(IF(COUNT(U164,W164,AB164,AC164,AE164,AK164)&lt;5,SUM(U164,W164,AB164,AC164,AE164,AK164),SUM(LARGE((U164,W164,AB164,AC164,AE164,AK164),{1;2;3;4;5}))))+T164),0)</f>
        <v>0</v>
      </c>
      <c r="P164" s="886" t="str">
        <f t="shared" ca="1" si="66"/>
        <v>000,0</v>
      </c>
      <c r="Q164" s="890">
        <f t="shared" si="67"/>
        <v>174</v>
      </c>
      <c r="R164" s="886" t="str">
        <f t="shared" ca="1" si="68"/>
        <v>0000,0-174</v>
      </c>
      <c r="S164" s="889">
        <f t="shared" ca="1" si="69"/>
        <v>38</v>
      </c>
      <c r="T164" s="847"/>
      <c r="U164" s="75" t="str">
        <f>IFERROR(INDEX('1'!C$300:C$400,MATCH("*"&amp;H164&amp;"*",'1'!B$300:B$400,0)),"  ")</f>
        <v xml:space="preserve">  </v>
      </c>
      <c r="V164" s="199" t="str">
        <f>IFERROR(INDEX('2'!C$300:C$400,MATCH("*"&amp;H164&amp;"*",'2'!B$300:B$400,0)),"  ")</f>
        <v xml:space="preserve">  </v>
      </c>
      <c r="W164" s="199" t="str">
        <f ca="1">IF(I164="",IFERROR(INDEX('3M'!C$300:C$400,MATCH("*"&amp;H164&amp;"*",'3M'!B$300:B$400,0)),"  "),IFERROR(INDEX('3N'!D$300:D$400,MATCH("*"&amp;H164&amp;"*",'3N'!B$300:B$400,0)),"  "))</f>
        <v xml:space="preserve">  </v>
      </c>
      <c r="X164" s="908" t="str">
        <f ca="1">IFERROR(INDEX('3M'!C$300:C$400,MATCH("*"&amp;H164&amp;"*",'3M'!B$300:B$400,0)),"  ")</f>
        <v xml:space="preserve">  </v>
      </c>
      <c r="Y164" s="907" t="str">
        <f ca="1">IFERROR(INDEX('3N'!C$300:C$400,MATCH("*"&amp;H164&amp;"*",'3N'!B$300:B$400,0)),"  ")</f>
        <v xml:space="preserve">  </v>
      </c>
      <c r="Z164" s="440"/>
      <c r="AA164" s="75" t="str">
        <f>IFERROR(INDEX('4'!C$300:C$400,MATCH("*"&amp;H164&amp;"*",'4'!B$300:B$400,0)),"  ")</f>
        <v xml:space="preserve">  </v>
      </c>
      <c r="AB164" s="75" t="str">
        <f>IFERROR(INDEX('5'!C$300:C$400,MATCH("*"&amp;H164&amp;"*",'5'!B$300:B$400,0)),"  ")</f>
        <v xml:space="preserve">  </v>
      </c>
      <c r="AC164" s="75" t="str">
        <f>IFERROR(INDEX('6'!C$300:C$400,MATCH("*"&amp;H164&amp;"*",'6'!B$300:B$400,0)),"  ")</f>
        <v xml:space="preserve">  </v>
      </c>
      <c r="AD164" s="75" t="str">
        <f>IFERROR(INDEX('7'!C$300:C$400,MATCH("*"&amp;H164&amp;"*",'7'!B$300:B$400,0)),"  ")</f>
        <v xml:space="preserve">  </v>
      </c>
      <c r="AE164" s="75" t="str">
        <f>IF(I164="",IFERROR(INDEX('8M'!C$300:C$400,MATCH("*"&amp;H164&amp;"*",'8M'!B$300:B$400,0)),"  "),IFERROR(INDEX('8N'!D$300:D$400,MATCH("*"&amp;H164&amp;"*",'8N'!B$300:B$400,0)),"  "))</f>
        <v xml:space="preserve">  </v>
      </c>
      <c r="AF164" s="908" t="str">
        <f>IFERROR(INDEX('8M'!C$300:C$400,MATCH("*"&amp;H164&amp;"*",'8M'!B$300:B$400,0)),"  ")</f>
        <v xml:space="preserve">  </v>
      </c>
      <c r="AG164" s="907" t="str">
        <f>IFERROR(INDEX('8N'!C$300:C$400,MATCH("*"&amp;H164&amp;"*",'8N'!B$300:B$400,0)),"  ")</f>
        <v xml:space="preserve">  </v>
      </c>
      <c r="AH164" s="440"/>
      <c r="AI164" s="75" t="str">
        <f>IFERROR(INDEX('9'!C$300:C$400,MATCH("*"&amp;H164&amp;"*",'9'!B$300:B$400,0)),"  ")</f>
        <v xml:space="preserve">  </v>
      </c>
      <c r="AJ164" s="830" t="str">
        <f>IFERROR(INDEX('10'!C$300:C$400,MATCH("*"&amp;H164&amp;"*",'10'!B$300:B$400,0)),"  ")</f>
        <v xml:space="preserve">  </v>
      </c>
      <c r="AK164" s="75" t="str">
        <f>IFERROR(INDEX('11'!C$300:C$400,MATCH("*"&amp;H164&amp;"*",'11'!B$300:B$400,0)),"  ")</f>
        <v xml:space="preserve">  </v>
      </c>
      <c r="AL164" s="75" t="str">
        <f>IFERROR(INDEX('12'!C$300:C$400,MATCH("*"&amp;H164&amp;"*",'12'!B$300:B$400,0)),"  ")</f>
        <v xml:space="preserve">  </v>
      </c>
      <c r="AM164" s="26">
        <f t="shared" ca="1" si="70"/>
        <v>0</v>
      </c>
      <c r="AN164" s="579">
        <f t="shared" ca="1" si="78"/>
        <v>0</v>
      </c>
      <c r="AO164" s="580">
        <f t="shared" ca="1" si="71"/>
        <v>0</v>
      </c>
      <c r="AP164" s="27">
        <f t="shared" ca="1" si="72"/>
        <v>0</v>
      </c>
      <c r="AQ164" s="933">
        <f t="shared" si="75"/>
        <v>2.0000000000000001E-4</v>
      </c>
      <c r="AR164" s="933">
        <f t="shared" ca="1" si="76"/>
        <v>1E-4</v>
      </c>
    </row>
    <row r="165" spans="1:44" hidden="1" x14ac:dyDescent="0.2">
      <c r="A165" s="851" t="str">
        <f t="shared" ca="1" si="61"/>
        <v/>
      </c>
      <c r="B165" s="77">
        <f t="shared" si="62"/>
        <v>0</v>
      </c>
      <c r="C165" s="853" t="str">
        <f t="shared" ca="1" si="73"/>
        <v/>
      </c>
      <c r="D165" s="76">
        <f t="shared" ca="1" si="63"/>
        <v>10000</v>
      </c>
      <c r="E165" s="855" t="str">
        <f t="shared" ca="1" si="74"/>
        <v/>
      </c>
      <c r="F165" s="899">
        <f t="shared" si="64"/>
        <v>0</v>
      </c>
      <c r="G165" s="897" t="str">
        <f t="shared" ca="1" si="77"/>
        <v/>
      </c>
      <c r="H165" s="133" t="s">
        <v>536</v>
      </c>
      <c r="I165" s="38" t="s">
        <v>32</v>
      </c>
      <c r="J165" s="585"/>
      <c r="K165" s="586"/>
      <c r="L165" s="587"/>
      <c r="M165" s="857">
        <f ca="1">(IF(COUNT(V165,AA165,AD165,AI165,AJ165,AL165)&lt;5,SUM(V165,AA165,AD165,AI165,AJ165,AL165),SUM(LARGE((V165,AA165,AD165,AI165,AJ165,AL165),{1;2;3;4;5}))))+(IF(COUNT(U165,W165,AB165,AC165,AE165,AK165)&lt;5,SUM(U165,W165,AB165,AC165,AE165,AK165),SUM(LARGE((U165,W165,AB165,AC165,AE165,AK165),{1;2;3;4;5}))))+T165</f>
        <v>0</v>
      </c>
      <c r="N165" s="862">
        <f ca="1">IF(I165="n",((IF(COUNT(V165,AA165,AD165,AI165,AJ165,AL165)&lt;5,SUM(V165,AA165,AD165,AI165,AJ165,AL165),SUM(LARGE((V165,AA165,AD165,AI165,AJ165,AL165),{1;2;3;4;5}))))+(IF(COUNT(U165,Y165,AB165,AC165,AG165,AK165)&lt;5,SUM(U165,Y165,AB165,AC165,AG165,AK165),SUM(LARGE((U165,Y165,AB165,AC165,AG165,AK165),{1;2;3;4;5}))))+T165),0)</f>
        <v>0</v>
      </c>
      <c r="O165" s="863">
        <f>IF(J165="j",((IF(COUNT(V165,AA165,AD165,AI165,AJ165,AL165)&lt;5,SUM(V165,AA165,AD165,AI165,AJ165,AL165),SUM(LARGE((V165,AA165,AD165,AI165,AJ165,AL165),{1;2;3;4;5}))))+(IF(COUNT(U165,W165,AB165,AC165,AE165,AK165)&lt;5,SUM(U165,W165,AB165,AC165,AE165,AK165),SUM(LARGE((U165,W165,AB165,AC165,AE165,AK165),{1;2;3;4;5}))))+T165),0)</f>
        <v>0</v>
      </c>
      <c r="P165" s="886" t="str">
        <f t="shared" ca="1" si="66"/>
        <v>000,0</v>
      </c>
      <c r="Q165" s="890">
        <f t="shared" si="67"/>
        <v>173</v>
      </c>
      <c r="R165" s="886" t="str">
        <f t="shared" ca="1" si="68"/>
        <v>0000,0-173</v>
      </c>
      <c r="S165" s="889">
        <f t="shared" ca="1" si="69"/>
        <v>37</v>
      </c>
      <c r="T165" s="847"/>
      <c r="U165" s="75" t="str">
        <f>IFERROR(INDEX('1'!C$300:C$400,MATCH("*"&amp;H165&amp;"*",'1'!B$300:B$400,0)),"  ")</f>
        <v xml:space="preserve">  </v>
      </c>
      <c r="V165" s="199" t="str">
        <f>IFERROR(INDEX('2'!C$300:C$400,MATCH("*"&amp;H165&amp;"*",'2'!B$300:B$400,0)),"  ")</f>
        <v xml:space="preserve">  </v>
      </c>
      <c r="W165" s="199" t="str">
        <f ca="1">IF(I165="",IFERROR(INDEX('3M'!C$300:C$400,MATCH("*"&amp;H165&amp;"*",'3M'!B$300:B$400,0)),"  "),IFERROR(INDEX('3N'!D$300:D$400,MATCH("*"&amp;H165&amp;"*",'3N'!B$300:B$400,0)),"  "))</f>
        <v xml:space="preserve">  </v>
      </c>
      <c r="X165" s="908" t="str">
        <f ca="1">IFERROR(INDEX('3M'!C$300:C$400,MATCH("*"&amp;H165&amp;"*",'3M'!B$300:B$400,0)),"  ")</f>
        <v xml:space="preserve">  </v>
      </c>
      <c r="Y165" s="907" t="str">
        <f ca="1">IFERROR(INDEX('3N'!C$300:C$400,MATCH("*"&amp;H165&amp;"*",'3N'!B$300:B$400,0)),"  ")</f>
        <v xml:space="preserve">  </v>
      </c>
      <c r="Z165" s="440"/>
      <c r="AA165" s="75" t="str">
        <f>IFERROR(INDEX('4'!C$300:C$400,MATCH("*"&amp;H165&amp;"*",'4'!B$300:B$400,0)),"  ")</f>
        <v xml:space="preserve">  </v>
      </c>
      <c r="AB165" s="75" t="str">
        <f>IFERROR(INDEX('5'!C$300:C$400,MATCH("*"&amp;H165&amp;"*",'5'!B$300:B$400,0)),"  ")</f>
        <v xml:space="preserve">  </v>
      </c>
      <c r="AC165" s="75" t="str">
        <f>IFERROR(INDEX('6'!C$300:C$400,MATCH("*"&amp;H165&amp;"*",'6'!B$300:B$400,0)),"  ")</f>
        <v xml:space="preserve">  </v>
      </c>
      <c r="AD165" s="75" t="str">
        <f>IFERROR(INDEX('7'!C$300:C$400,MATCH("*"&amp;H165&amp;"*",'7'!B$300:B$400,0)),"  ")</f>
        <v xml:space="preserve">  </v>
      </c>
      <c r="AE165" s="75" t="str">
        <f>IF(I165="",IFERROR(INDEX('8M'!C$300:C$400,MATCH("*"&amp;H165&amp;"*",'8M'!B$300:B$400,0)),"  "),IFERROR(INDEX('8N'!D$300:D$400,MATCH("*"&amp;H165&amp;"*",'8N'!B$300:B$400,0)),"  "))</f>
        <v xml:space="preserve">  </v>
      </c>
      <c r="AF165" s="908" t="str">
        <f>IFERROR(INDEX('8M'!C$300:C$400,MATCH("*"&amp;H165&amp;"*",'8M'!B$300:B$400,0)),"  ")</f>
        <v xml:space="preserve">  </v>
      </c>
      <c r="AG165" s="907" t="str">
        <f>IFERROR(INDEX('8N'!C$300:C$400,MATCH("*"&amp;H165&amp;"*",'8N'!B$300:B$400,0)),"  ")</f>
        <v xml:space="preserve">  </v>
      </c>
      <c r="AH165" s="440"/>
      <c r="AI165" s="75" t="str">
        <f>IFERROR(INDEX('9'!C$300:C$400,MATCH("*"&amp;H165&amp;"*",'9'!B$300:B$400,0)),"  ")</f>
        <v xml:space="preserve">  </v>
      </c>
      <c r="AJ165" s="830" t="str">
        <f>IFERROR(INDEX('10'!C$300:C$400,MATCH("*"&amp;H165&amp;"*",'10'!B$300:B$400,0)),"  ")</f>
        <v xml:space="preserve">  </v>
      </c>
      <c r="AK165" s="75" t="str">
        <f>IFERROR(INDEX('11'!C$300:C$400,MATCH("*"&amp;H165&amp;"*",'11'!B$300:B$400,0)),"  ")</f>
        <v xml:space="preserve">  </v>
      </c>
      <c r="AL165" s="75" t="str">
        <f>IFERROR(INDEX('12'!C$300:C$400,MATCH("*"&amp;H165&amp;"*",'12'!B$300:B$400,0)),"  ")</f>
        <v xml:space="preserve">  </v>
      </c>
      <c r="AM165" s="26">
        <f t="shared" ca="1" si="70"/>
        <v>0</v>
      </c>
      <c r="AN165" s="579">
        <f t="shared" ca="1" si="78"/>
        <v>0</v>
      </c>
      <c r="AO165" s="580">
        <f t="shared" ca="1" si="71"/>
        <v>0</v>
      </c>
      <c r="AP165" s="27">
        <f t="shared" ca="1" si="72"/>
        <v>0</v>
      </c>
      <c r="AQ165" s="933">
        <f t="shared" si="75"/>
        <v>2.0000000000000001E-4</v>
      </c>
      <c r="AR165" s="933">
        <f t="shared" ca="1" si="76"/>
        <v>1E-4</v>
      </c>
    </row>
    <row r="166" spans="1:44" hidden="1" x14ac:dyDescent="0.2">
      <c r="A166" s="851" t="str">
        <f t="shared" ca="1" si="61"/>
        <v/>
      </c>
      <c r="B166" s="77">
        <f t="shared" si="62"/>
        <v>0</v>
      </c>
      <c r="C166" s="853" t="str">
        <f t="shared" ca="1" si="73"/>
        <v/>
      </c>
      <c r="D166" s="76">
        <f t="shared" ca="1" si="63"/>
        <v>10000</v>
      </c>
      <c r="E166" s="855" t="str">
        <f t="shared" ca="1" si="74"/>
        <v/>
      </c>
      <c r="F166" s="899">
        <f t="shared" si="64"/>
        <v>0</v>
      </c>
      <c r="G166" s="897" t="str">
        <f t="shared" ca="1" si="77"/>
        <v/>
      </c>
      <c r="H166" s="133" t="s">
        <v>646</v>
      </c>
      <c r="I166" s="38" t="s">
        <v>32</v>
      </c>
      <c r="J166" s="585"/>
      <c r="K166" s="586"/>
      <c r="L166" s="588" t="s">
        <v>720</v>
      </c>
      <c r="M166" s="857">
        <f ca="1">(IF(COUNT(V166,AA166,AD166,AI166,AJ166,AL166)&lt;5,SUM(V166,AA166,AD166,AI166,AJ166,AL166),SUM(LARGE((V166,AA166,AD166,AI166,AJ166,AL166),{1;2;3;4;5}))))+(IF(COUNT(U166,W166,AB166,AC166,AE166,AK166)&lt;5,SUM(U166,W166,AB166,AC166,AE166,AK166),SUM(LARGE((U166,W166,AB166,AC166,AE166,AK166),{1;2;3;4;5}))))+T166</f>
        <v>0</v>
      </c>
      <c r="N166" s="862">
        <f ca="1">IF(I166="n",((IF(COUNT(V166,AA166,AD166,AI166,AJ166,AL166)&lt;5,SUM(V166,AA166,AD166,AI166,AJ166,AL166),SUM(LARGE((V166,AA166,AD166,AI166,AJ166,AL166),{1;2;3;4;5}))))+(IF(COUNT(U166,Y166,AB166,AC166,AG166,AK166)&lt;5,SUM(U166,Y166,AB166,AC166,AG166,AK166),SUM(LARGE((U166,Y166,AB166,AC166,AG166,AK166),{1;2;3;4;5}))))+T166),0)</f>
        <v>0</v>
      </c>
      <c r="O166" s="863">
        <f>IF(J166="j",((IF(COUNT(V166,AA166,AD166,AI166,AJ166,AL166)&lt;5,SUM(V166,AA166,AD166,AI166,AJ166,AL166),SUM(LARGE((V166,AA166,AD166,AI166,AJ166,AL166),{1;2;3;4;5}))))+(IF(COUNT(U166,W166,AB166,AC166,AE166,AK166)&lt;5,SUM(U166,W166,AB166,AC166,AE166,AK166),SUM(LARGE((U166,W166,AB166,AC166,AE166,AK166),{1;2;3;4;5}))))+T166),0)</f>
        <v>0</v>
      </c>
      <c r="P166" s="886" t="str">
        <f t="shared" ca="1" si="66"/>
        <v>000,0</v>
      </c>
      <c r="Q166" s="890">
        <f t="shared" si="67"/>
        <v>164</v>
      </c>
      <c r="R166" s="886" t="str">
        <f t="shared" ca="1" si="68"/>
        <v>0000,0-164</v>
      </c>
      <c r="S166" s="889">
        <f t="shared" ca="1" si="69"/>
        <v>36</v>
      </c>
      <c r="T166" s="847"/>
      <c r="U166" s="75" t="str">
        <f>IFERROR(INDEX('1'!C$300:C$400,MATCH("*"&amp;H166&amp;"*",'1'!B$300:B$400,0)),"  ")</f>
        <v xml:space="preserve">  </v>
      </c>
      <c r="V166" s="199" t="str">
        <f>IFERROR(INDEX('2'!C$300:C$400,MATCH("*"&amp;H166&amp;"*",'2'!B$300:B$400,0)),"  ")</f>
        <v xml:space="preserve">  </v>
      </c>
      <c r="W166" s="199" t="str">
        <f ca="1">IF(I166="",IFERROR(INDEX('3M'!C$300:C$400,MATCH("*"&amp;H166&amp;"*",'3M'!B$300:B$400,0)),"  "),IFERROR(INDEX('3N'!D$300:D$400,MATCH("*"&amp;H166&amp;"*",'3N'!B$300:B$400,0)),"  "))</f>
        <v xml:space="preserve">  </v>
      </c>
      <c r="X166" s="908" t="str">
        <f ca="1">IFERROR(INDEX('3M'!C$300:C$400,MATCH("*"&amp;H166&amp;"*",'3M'!B$300:B$400,0)),"  ")</f>
        <v xml:space="preserve">  </v>
      </c>
      <c r="Y166" s="907" t="str">
        <f ca="1">IFERROR(INDEX('3N'!C$300:C$400,MATCH("*"&amp;H166&amp;"*",'3N'!B$300:B$400,0)),"  ")</f>
        <v xml:space="preserve">  </v>
      </c>
      <c r="Z166" s="440"/>
      <c r="AA166" s="75" t="str">
        <f>IFERROR(INDEX('4'!C$300:C$400,MATCH("*"&amp;H166&amp;"*",'4'!B$300:B$400,0)),"  ")</f>
        <v xml:space="preserve">  </v>
      </c>
      <c r="AB166" s="75" t="str">
        <f>IFERROR(INDEX('5'!C$300:C$400,MATCH("*"&amp;H166&amp;"*",'5'!B$300:B$400,0)),"  ")</f>
        <v xml:space="preserve">  </v>
      </c>
      <c r="AC166" s="75" t="str">
        <f>IFERROR(INDEX('6'!C$300:C$400,MATCH("*"&amp;H166&amp;"*",'6'!B$300:B$400,0)),"  ")</f>
        <v xml:space="preserve">  </v>
      </c>
      <c r="AD166" s="75" t="str">
        <f>IFERROR(INDEX('7'!C$300:C$400,MATCH("*"&amp;H166&amp;"*",'7'!B$300:B$400,0)),"  ")</f>
        <v xml:space="preserve">  </v>
      </c>
      <c r="AE166" s="75" t="str">
        <f>IF(I166="",IFERROR(INDEX('8M'!C$300:C$400,MATCH("*"&amp;H166&amp;"*",'8M'!B$300:B$400,0)),"  "),IFERROR(INDEX('8N'!D$300:D$400,MATCH("*"&amp;H166&amp;"*",'8N'!B$300:B$400,0)),"  "))</f>
        <v xml:space="preserve">  </v>
      </c>
      <c r="AF166" s="908" t="str">
        <f>IFERROR(INDEX('8M'!C$300:C$400,MATCH("*"&amp;H166&amp;"*",'8M'!B$300:B$400,0)),"  ")</f>
        <v xml:space="preserve">  </v>
      </c>
      <c r="AG166" s="907" t="str">
        <f>IFERROR(INDEX('8N'!C$300:C$400,MATCH("*"&amp;H166&amp;"*",'8N'!B$300:B$400,0)),"  ")</f>
        <v xml:space="preserve">  </v>
      </c>
      <c r="AH166" s="440"/>
      <c r="AI166" s="75" t="str">
        <f>IFERROR(INDEX('9'!C$300:C$400,MATCH("*"&amp;H166&amp;"*",'9'!B$300:B$400,0)),"  ")</f>
        <v xml:space="preserve">  </v>
      </c>
      <c r="AJ166" s="830" t="str">
        <f>IFERROR(INDEX('10'!C$300:C$400,MATCH("*"&amp;H166&amp;"*",'10'!B$300:B$400,0)),"  ")</f>
        <v xml:space="preserve">  </v>
      </c>
      <c r="AK166" s="75" t="str">
        <f>IFERROR(INDEX('11'!C$300:C$400,MATCH("*"&amp;H166&amp;"*",'11'!B$300:B$400,0)),"  ")</f>
        <v xml:space="preserve">  </v>
      </c>
      <c r="AL166" s="75" t="str">
        <f>IFERROR(INDEX('12'!C$300:C$400,MATCH("*"&amp;H166&amp;"*",'12'!B$300:B$400,0)),"  ")</f>
        <v xml:space="preserve">  </v>
      </c>
      <c r="AM166" s="26">
        <f t="shared" ca="1" si="70"/>
        <v>0</v>
      </c>
      <c r="AN166" s="579">
        <f t="shared" ca="1" si="78"/>
        <v>0</v>
      </c>
      <c r="AO166" s="580">
        <f t="shared" ca="1" si="71"/>
        <v>0</v>
      </c>
      <c r="AP166" s="27">
        <f t="shared" ca="1" si="72"/>
        <v>0</v>
      </c>
      <c r="AQ166" s="933">
        <f t="shared" si="75"/>
        <v>2.0000000000000001E-4</v>
      </c>
      <c r="AR166" s="933">
        <f t="shared" ca="1" si="76"/>
        <v>1E-4</v>
      </c>
    </row>
    <row r="167" spans="1:44" ht="12.75" hidden="1" customHeight="1" x14ac:dyDescent="0.2">
      <c r="A167" s="851" t="str">
        <f t="shared" ca="1" si="61"/>
        <v/>
      </c>
      <c r="B167" s="77">
        <f t="shared" ca="1" si="62"/>
        <v>10000</v>
      </c>
      <c r="C167" s="853" t="str">
        <f t="shared" ca="1" si="73"/>
        <v/>
      </c>
      <c r="D167" s="76">
        <f t="shared" si="63"/>
        <v>0</v>
      </c>
      <c r="E167" s="855" t="str">
        <f t="shared" ca="1" si="74"/>
        <v/>
      </c>
      <c r="F167" s="899">
        <f t="shared" si="64"/>
        <v>0</v>
      </c>
      <c r="G167" s="897" t="str">
        <f t="shared" ca="1" si="77"/>
        <v/>
      </c>
      <c r="H167" s="133" t="s">
        <v>623</v>
      </c>
      <c r="I167" s="38"/>
      <c r="J167" s="585"/>
      <c r="K167" s="586"/>
      <c r="L167" s="588" t="s">
        <v>720</v>
      </c>
      <c r="M167" s="857">
        <f ca="1">(IF(COUNT(V167,AA167,AD167,AI167,AJ167,AL167)&lt;5,SUM(V167,AA167,AD167,AI167,AJ167,AL167),SUM(LARGE((V167,AA167,AD167,AI167,AJ167,AL167),{1;2;3;4;5}))))+(IF(COUNT(U167,W167,AB167,AC167,AE167,AK167)&lt;5,SUM(U167,W167,AB167,AC167,AE167,AK167),SUM(LARGE((U167,W167,AB167,AC167,AE167,AK167),{1;2;3;4;5}))))+T167</f>
        <v>0</v>
      </c>
      <c r="N167" s="862">
        <f>IF(I167="n",((IF(COUNT(V167,AA167,AD167,AI167,AJ167,AL167)&lt;5,SUM(V167,AA167,AD167,AI167,AJ167,AL167),SUM(LARGE((V167,AA167,AD167,AI167,AJ167,AL167),{1;2;3;4;5}))))+(IF(COUNT(U167,Y167,AB167,AC167,AG167,AK167)&lt;5,SUM(U167,Y167,AB167,AC167,AG167,AK167),SUM(LARGE((U167,Y167,AB167,AC167,AG167,AK167),{1;2;3;4;5}))))+T167),0)</f>
        <v>0</v>
      </c>
      <c r="O167" s="863">
        <f>IF(J167="j",((IF(COUNT(V167,AA167,AD167,AI167,AJ167,AL167)&lt;5,SUM(V167,AA167,AD167,AI167,AJ167,AL167),SUM(LARGE((V167,AA167,AD167,AI167,AJ167,AL167),{1;2;3;4;5}))))+(IF(COUNT(U167,W167,AB167,AC167,AE167,AK167)&lt;5,SUM(U167,W167,AB167,AC167,AE167,AK167),SUM(LARGE((U167,W167,AB167,AC167,AE167,AK167),{1;2;3;4;5}))))+T167),0)</f>
        <v>0</v>
      </c>
      <c r="P167" s="886" t="str">
        <f t="shared" ca="1" si="66"/>
        <v>000,0</v>
      </c>
      <c r="Q167" s="890">
        <f t="shared" si="67"/>
        <v>162</v>
      </c>
      <c r="R167" s="886" t="str">
        <f t="shared" ca="1" si="68"/>
        <v>0000,0-162</v>
      </c>
      <c r="S167" s="889">
        <f t="shared" ca="1" si="69"/>
        <v>35</v>
      </c>
      <c r="T167" s="847"/>
      <c r="U167" s="75" t="str">
        <f>IFERROR(INDEX('1'!C$300:C$400,MATCH("*"&amp;H167&amp;"*",'1'!B$300:B$400,0)),"  ")</f>
        <v xml:space="preserve">  </v>
      </c>
      <c r="V167" s="199" t="str">
        <f>IFERROR(INDEX('2'!C$300:C$400,MATCH("*"&amp;H167&amp;"*",'2'!B$300:B$400,0)),"  ")</f>
        <v xml:space="preserve">  </v>
      </c>
      <c r="W167" s="199" t="str">
        <f ca="1">IF(I167="",IFERROR(INDEX('3M'!C$300:C$400,MATCH("*"&amp;H167&amp;"*",'3M'!B$300:B$400,0)),"  "),IFERROR(INDEX('3N'!D$300:D$400,MATCH("*"&amp;H167&amp;"*",'3N'!B$300:B$400,0)),"  "))</f>
        <v xml:space="preserve">  </v>
      </c>
      <c r="X167" s="908" t="str">
        <f ca="1">IFERROR(INDEX('3M'!C$300:C$400,MATCH("*"&amp;H167&amp;"*",'3M'!B$300:B$400,0)),"  ")</f>
        <v xml:space="preserve">  </v>
      </c>
      <c r="Y167" s="907" t="str">
        <f ca="1">IFERROR(INDEX('3N'!C$300:C$400,MATCH("*"&amp;H167&amp;"*",'3N'!B$300:B$400,0)),"  ")</f>
        <v xml:space="preserve">  </v>
      </c>
      <c r="Z167" s="440"/>
      <c r="AA167" s="75" t="str">
        <f>IFERROR(INDEX('4'!C$300:C$400,MATCH("*"&amp;H167&amp;"*",'4'!B$300:B$400,0)),"  ")</f>
        <v xml:space="preserve">  </v>
      </c>
      <c r="AB167" s="75" t="str">
        <f>IFERROR(INDEX('5'!C$300:C$400,MATCH("*"&amp;H167&amp;"*",'5'!B$300:B$400,0)),"  ")</f>
        <v xml:space="preserve">  </v>
      </c>
      <c r="AC167" s="75" t="str">
        <f>IFERROR(INDEX('6'!C$300:C$400,MATCH("*"&amp;H167&amp;"*",'6'!B$300:B$400,0)),"  ")</f>
        <v xml:space="preserve">  </v>
      </c>
      <c r="AD167" s="75" t="str">
        <f>IFERROR(INDEX('7'!C$300:C$400,MATCH("*"&amp;H167&amp;"*",'7'!B$300:B$400,0)),"  ")</f>
        <v xml:space="preserve">  </v>
      </c>
      <c r="AE167" s="75" t="str">
        <f>IF(I167="",IFERROR(INDEX('8M'!C$300:C$400,MATCH("*"&amp;H167&amp;"*",'8M'!B$300:B$400,0)),"  "),IFERROR(INDEX('8N'!D$300:D$400,MATCH("*"&amp;H167&amp;"*",'8N'!B$300:B$400,0)),"  "))</f>
        <v xml:space="preserve">  </v>
      </c>
      <c r="AF167" s="908" t="str">
        <f>IFERROR(INDEX('8M'!C$300:C$400,MATCH("*"&amp;H167&amp;"*",'8M'!B$300:B$400,0)),"  ")</f>
        <v xml:space="preserve">  </v>
      </c>
      <c r="AG167" s="907" t="str">
        <f>IFERROR(INDEX('8N'!C$300:C$400,MATCH("*"&amp;H167&amp;"*",'8N'!B$300:B$400,0)),"  ")</f>
        <v xml:space="preserve">  </v>
      </c>
      <c r="AH167" s="440"/>
      <c r="AI167" s="75" t="str">
        <f>IFERROR(INDEX('9'!C$300:C$400,MATCH("*"&amp;H167&amp;"*",'9'!B$300:B$400,0)),"  ")</f>
        <v xml:space="preserve">  </v>
      </c>
      <c r="AJ167" s="830" t="str">
        <f>IFERROR(INDEX('10'!C$300:C$400,MATCH("*"&amp;H167&amp;"*",'10'!B$300:B$400,0)),"  ")</f>
        <v xml:space="preserve">  </v>
      </c>
      <c r="AK167" s="75" t="str">
        <f>IFERROR(INDEX('11'!C$300:C$400,MATCH("*"&amp;H167&amp;"*",'11'!B$300:B$400,0)),"  ")</f>
        <v xml:space="preserve">  </v>
      </c>
      <c r="AL167" s="75" t="str">
        <f>IFERROR(INDEX('12'!C$300:C$400,MATCH("*"&amp;H167&amp;"*",'12'!B$300:B$400,0)),"  ")</f>
        <v xml:space="preserve">  </v>
      </c>
      <c r="AM167" s="26">
        <f t="shared" ca="1" si="70"/>
        <v>0</v>
      </c>
      <c r="AN167" s="579">
        <f t="shared" ca="1" si="78"/>
        <v>0</v>
      </c>
      <c r="AO167" s="580">
        <f t="shared" ca="1" si="71"/>
        <v>0</v>
      </c>
      <c r="AP167" s="27">
        <f t="shared" ca="1" si="72"/>
        <v>0</v>
      </c>
      <c r="AQ167" s="933">
        <f t="shared" si="75"/>
        <v>2.0000000000000001E-4</v>
      </c>
      <c r="AR167" s="933">
        <f t="shared" ca="1" si="76"/>
        <v>1E-4</v>
      </c>
    </row>
    <row r="168" spans="1:44" ht="12.75" hidden="1" customHeight="1" x14ac:dyDescent="0.2">
      <c r="A168" s="851" t="str">
        <f t="shared" ca="1" si="61"/>
        <v/>
      </c>
      <c r="B168" s="77">
        <f t="shared" si="62"/>
        <v>0</v>
      </c>
      <c r="C168" s="853" t="str">
        <f t="shared" ca="1" si="73"/>
        <v/>
      </c>
      <c r="D168" s="76">
        <f t="shared" ca="1" si="63"/>
        <v>10000</v>
      </c>
      <c r="E168" s="855" t="str">
        <f t="shared" ca="1" si="74"/>
        <v/>
      </c>
      <c r="F168" s="899">
        <f t="shared" si="64"/>
        <v>0</v>
      </c>
      <c r="G168" s="897" t="str">
        <f t="shared" ca="1" si="77"/>
        <v/>
      </c>
      <c r="H168" s="133" t="s">
        <v>297</v>
      </c>
      <c r="I168" s="38" t="s">
        <v>32</v>
      </c>
      <c r="J168" s="585"/>
      <c r="K168" s="586" t="s">
        <v>718</v>
      </c>
      <c r="L168" s="587"/>
      <c r="M168" s="857">
        <f ca="1">(IF(COUNT(V168,AA168,AD168,AI168,AJ168,AL168)&lt;5,SUM(V168,AA168,AD168,AI168,AJ168,AL168),SUM(LARGE((V168,AA168,AD168,AI168,AJ168,AL168),{1;2;3;4;5}))))+(IF(COUNT(U168,W168,AB168,AC168,AE168,AK168)&lt;5,SUM(U168,W168,AB168,AC168,AE168,AK168),SUM(LARGE((U168,W168,AB168,AC168,AE168,AK168),{1;2;3;4;5}))))+T168</f>
        <v>0</v>
      </c>
      <c r="N168" s="862">
        <f ca="1">IF(I168="n",((IF(COUNT(V168,AA168,AD168,AI168,AJ168,AL168)&lt;5,SUM(V168,AA168,AD168,AI168,AJ168,AL168),SUM(LARGE((V168,AA168,AD168,AI168,AJ168,AL168),{1;2;3;4;5}))))+(IF(COUNT(U168,Y168,AB168,AC168,AG168,AK168)&lt;5,SUM(U168,Y168,AB168,AC168,AG168,AK168),SUM(LARGE((U168,Y168,AB168,AC168,AG168,AK168),{1;2;3;4;5}))))+T168),0)</f>
        <v>0</v>
      </c>
      <c r="O168" s="863">
        <f>IF(J168="j",((IF(COUNT(V168,AA168,AD168,AI168,AJ168,AL168)&lt;5,SUM(V168,AA168,AD168,AI168,AJ168,AL168),SUM(LARGE((V168,AA168,AD168,AI168,AJ168,AL168),{1;2;3;4;5}))))+(IF(COUNT(U168,W168,AB168,AC168,AE168,AK168)&lt;5,SUM(U168,W168,AB168,AC168,AE168,AK168),SUM(LARGE((U168,W168,AB168,AC168,AE168,AK168),{1;2;3;4;5}))))+T168),0)</f>
        <v>0</v>
      </c>
      <c r="P168" s="886" t="str">
        <f t="shared" ca="1" si="66"/>
        <v>000,0</v>
      </c>
      <c r="Q168" s="890">
        <f t="shared" si="67"/>
        <v>155</v>
      </c>
      <c r="R168" s="886" t="str">
        <f t="shared" ca="1" si="68"/>
        <v>0000,0-155</v>
      </c>
      <c r="S168" s="889">
        <f t="shared" ca="1" si="69"/>
        <v>34</v>
      </c>
      <c r="T168" s="847"/>
      <c r="U168" s="75" t="str">
        <f>IFERROR(INDEX('1'!C$300:C$400,MATCH("*"&amp;H168&amp;"*",'1'!B$300:B$400,0)),"  ")</f>
        <v xml:space="preserve">  </v>
      </c>
      <c r="V168" s="199" t="str">
        <f>IFERROR(INDEX('2'!C$300:C$400,MATCH("*"&amp;H168&amp;"*",'2'!B$300:B$400,0)),"  ")</f>
        <v xml:space="preserve">  </v>
      </c>
      <c r="W168" s="199" t="str">
        <f ca="1">IF(I168="",IFERROR(INDEX('3M'!C$300:C$400,MATCH("*"&amp;H168&amp;"*",'3M'!B$300:B$400,0)),"  "),IFERROR(INDEX('3N'!D$300:D$400,MATCH("*"&amp;H168&amp;"*",'3N'!B$300:B$400,0)),"  "))</f>
        <v xml:space="preserve">  </v>
      </c>
      <c r="X168" s="908" t="str">
        <f ca="1">IFERROR(INDEX('3M'!C$300:C$400,MATCH("*"&amp;H168&amp;"*",'3M'!B$300:B$400,0)),"  ")</f>
        <v xml:space="preserve">  </v>
      </c>
      <c r="Y168" s="907" t="str">
        <f ca="1">IFERROR(INDEX('3N'!C$300:C$400,MATCH("*"&amp;H168&amp;"*",'3N'!B$300:B$400,0)),"  ")</f>
        <v xml:space="preserve">  </v>
      </c>
      <c r="Z168" s="440"/>
      <c r="AA168" s="75" t="str">
        <f>IFERROR(INDEX('4'!C$300:C$400,MATCH("*"&amp;H168&amp;"*",'4'!B$300:B$400,0)),"  ")</f>
        <v xml:space="preserve">  </v>
      </c>
      <c r="AB168" s="75" t="str">
        <f>IFERROR(INDEX('5'!C$300:C$400,MATCH("*"&amp;H168&amp;"*",'5'!B$300:B$400,0)),"  ")</f>
        <v xml:space="preserve">  </v>
      </c>
      <c r="AC168" s="75" t="str">
        <f>IFERROR(INDEX('6'!C$300:C$400,MATCH("*"&amp;H168&amp;"*",'6'!B$300:B$400,0)),"  ")</f>
        <v xml:space="preserve">  </v>
      </c>
      <c r="AD168" s="75" t="str">
        <f>IFERROR(INDEX('7'!C$300:C$400,MATCH("*"&amp;H168&amp;"*",'7'!B$300:B$400,0)),"  ")</f>
        <v xml:space="preserve">  </v>
      </c>
      <c r="AE168" s="75" t="str">
        <f>IF(I168="",IFERROR(INDEX('8M'!C$300:C$400,MATCH("*"&amp;H168&amp;"*",'8M'!B$300:B$400,0)),"  "),IFERROR(INDEX('8N'!D$300:D$400,MATCH("*"&amp;H168&amp;"*",'8N'!B$300:B$400,0)),"  "))</f>
        <v xml:space="preserve">  </v>
      </c>
      <c r="AF168" s="908" t="str">
        <f>IFERROR(INDEX('8M'!C$300:C$400,MATCH("*"&amp;H168&amp;"*",'8M'!B$300:B$400,0)),"  ")</f>
        <v xml:space="preserve">  </v>
      </c>
      <c r="AG168" s="907" t="str">
        <f>IFERROR(INDEX('8N'!C$300:C$400,MATCH("*"&amp;H168&amp;"*",'8N'!B$300:B$400,0)),"  ")</f>
        <v xml:space="preserve">  </v>
      </c>
      <c r="AH168" s="440"/>
      <c r="AI168" s="75" t="str">
        <f>IFERROR(INDEX('9'!C$300:C$400,MATCH("*"&amp;H168&amp;"*",'9'!B$300:B$400,0)),"  ")</f>
        <v xml:space="preserve">  </v>
      </c>
      <c r="AJ168" s="830" t="str">
        <f>IFERROR(INDEX('10'!C$300:C$400,MATCH("*"&amp;H168&amp;"*",'10'!B$300:B$400,0)),"  ")</f>
        <v xml:space="preserve">  </v>
      </c>
      <c r="AK168" s="75" t="str">
        <f>IFERROR(INDEX('11'!C$300:C$400,MATCH("*"&amp;H168&amp;"*",'11'!B$300:B$400,0)),"  ")</f>
        <v xml:space="preserve">  </v>
      </c>
      <c r="AL168" s="75" t="str">
        <f>IFERROR(INDEX('12'!C$300:C$400,MATCH("*"&amp;H168&amp;"*",'12'!B$300:B$400,0)),"  ")</f>
        <v xml:space="preserve">  </v>
      </c>
      <c r="AM168" s="26">
        <f t="shared" ca="1" si="70"/>
        <v>0</v>
      </c>
      <c r="AN168" s="579">
        <f t="shared" ca="1" si="78"/>
        <v>0</v>
      </c>
      <c r="AO168" s="580">
        <f t="shared" ca="1" si="71"/>
        <v>0</v>
      </c>
      <c r="AP168" s="27">
        <f t="shared" ca="1" si="72"/>
        <v>0</v>
      </c>
      <c r="AQ168" s="933">
        <f t="shared" si="75"/>
        <v>2.0000000000000001E-4</v>
      </c>
      <c r="AR168" s="933">
        <f t="shared" ca="1" si="76"/>
        <v>1E-4</v>
      </c>
    </row>
    <row r="169" spans="1:44" ht="12.75" hidden="1" customHeight="1" x14ac:dyDescent="0.2">
      <c r="A169" s="851" t="str">
        <f t="shared" ref="A169:A200" ca="1" si="79">IF(M169=0,"",IF(I169="n","",RANK(B169,B$9:B$201,0)))</f>
        <v/>
      </c>
      <c r="B169" s="77">
        <f t="shared" ref="B169:B201" si="80">IF(I169="n",0,M169+10000)</f>
        <v>0</v>
      </c>
      <c r="C169" s="853" t="str">
        <f t="shared" ca="1" si="73"/>
        <v/>
      </c>
      <c r="D169" s="76">
        <f t="shared" ref="D169:D201" ca="1" si="81">IF(AND((J169="j"),(I169="n")),M169+10000,IF((I169="n"),N169+10000,0))</f>
        <v>10000</v>
      </c>
      <c r="E169" s="855" t="str">
        <f t="shared" ca="1" si="74"/>
        <v/>
      </c>
      <c r="F169" s="899">
        <f t="shared" ref="F169:F201" si="82">IF((J169="j"),O169+10000,0)</f>
        <v>0</v>
      </c>
      <c r="G169" s="897" t="str">
        <f t="shared" ca="1" si="77"/>
        <v/>
      </c>
      <c r="H169" s="133" t="s">
        <v>570</v>
      </c>
      <c r="I169" s="38" t="s">
        <v>32</v>
      </c>
      <c r="J169" s="585"/>
      <c r="K169" s="586"/>
      <c r="L169" s="587"/>
      <c r="M169" s="857">
        <f ca="1">(IF(COUNT(V169,AA169,AD169,AI169,AJ169,AL169)&lt;5,SUM(V169,AA169,AD169,AI169,AJ169,AL169),SUM(LARGE((V169,AA169,AD169,AI169,AJ169,AL169),{1;2;3;4;5}))))+(IF(COUNT(U169,W169,AB169,AC169,AE169,AK169)&lt;5,SUM(U169,W169,AB169,AC169,AE169,AK169),SUM(LARGE((U169,W169,AB169,AC169,AE169,AK169),{1;2;3;4;5}))))+T169</f>
        <v>0</v>
      </c>
      <c r="N169" s="862">
        <f ca="1">IF(I169="n",((IF(COUNT(V169,AA169,AD169,AI169,AJ169,AL169)&lt;5,SUM(V169,AA169,AD169,AI169,AJ169,AL169),SUM(LARGE((V169,AA169,AD169,AI169,AJ169,AL169),{1;2;3;4;5}))))+(IF(COUNT(U169,Y169,AB169,AC169,AG169,AK169)&lt;5,SUM(U169,Y169,AB169,AC169,AG169,AK169),SUM(LARGE((U169,Y169,AB169,AC169,AG169,AK169),{1;2;3;4;5}))))+T169),0)</f>
        <v>0</v>
      </c>
      <c r="O169" s="863">
        <f>IF(J169="j",((IF(COUNT(V169,AA169,AD169,AI169,AJ169,AL169)&lt;5,SUM(V169,AA169,AD169,AI169,AJ169,AL169),SUM(LARGE((V169,AA169,AD169,AI169,AJ169,AL169),{1;2;3;4;5}))))+(IF(COUNT(U169,W169,AB169,AC169,AE169,AK169)&lt;5,SUM(U169,W169,AB169,AC169,AE169,AK169),SUM(LARGE((U169,W169,AB169,AC169,AE169,AK169),{1;2;3;4;5}))))+T169),0)</f>
        <v>0</v>
      </c>
      <c r="P169" s="886" t="str">
        <f t="shared" ref="P169:P201" ca="1" si="83">TEXT(M169,"000,0")</f>
        <v>000,0</v>
      </c>
      <c r="Q169" s="890">
        <f t="shared" ref="Q169:Q201" si="84">COUNTIF(H$9:H$201,"&gt;="&amp;H169)</f>
        <v>153</v>
      </c>
      <c r="R169" s="886" t="str">
        <f t="shared" ref="R169:R200" ca="1" si="85">TEXT(M169,"0000,0")&amp;"-"&amp;TEXT(Q169,"000")</f>
        <v>0000,0-153</v>
      </c>
      <c r="S169" s="889">
        <f t="shared" ref="S169:S200" ca="1" si="86">COUNTIF(R$9:R$201,"&lt;="&amp;R169)</f>
        <v>33</v>
      </c>
      <c r="T169" s="847"/>
      <c r="U169" s="75" t="str">
        <f>IFERROR(INDEX('1'!C$300:C$400,MATCH("*"&amp;H169&amp;"*",'1'!B$300:B$400,0)),"  ")</f>
        <v xml:space="preserve">  </v>
      </c>
      <c r="V169" s="199" t="str">
        <f>IFERROR(INDEX('2'!C$300:C$400,MATCH("*"&amp;H169&amp;"*",'2'!B$300:B$400,0)),"  ")</f>
        <v xml:space="preserve">  </v>
      </c>
      <c r="W169" s="199" t="str">
        <f ca="1">IF(I169="",IFERROR(INDEX('3M'!C$300:C$400,MATCH("*"&amp;H169&amp;"*",'3M'!B$300:B$400,0)),"  "),IFERROR(INDEX('3N'!D$300:D$400,MATCH("*"&amp;H169&amp;"*",'3N'!B$300:B$400,0)),"  "))</f>
        <v xml:space="preserve">  </v>
      </c>
      <c r="X169" s="908" t="str">
        <f ca="1">IFERROR(INDEX('3M'!C$300:C$400,MATCH("*"&amp;H169&amp;"*",'3M'!B$300:B$400,0)),"  ")</f>
        <v xml:space="preserve">  </v>
      </c>
      <c r="Y169" s="907" t="str">
        <f ca="1">IFERROR(INDEX('3N'!C$300:C$400,MATCH("*"&amp;H169&amp;"*",'3N'!B$300:B$400,0)),"  ")</f>
        <v xml:space="preserve">  </v>
      </c>
      <c r="Z169" s="440"/>
      <c r="AA169" s="75" t="str">
        <f>IFERROR(INDEX('4'!C$300:C$400,MATCH("*"&amp;H169&amp;"*",'4'!B$300:B$400,0)),"  ")</f>
        <v xml:space="preserve">  </v>
      </c>
      <c r="AB169" s="75" t="str">
        <f>IFERROR(INDEX('5'!C$300:C$400,MATCH("*"&amp;H169&amp;"*",'5'!B$300:B$400,0)),"  ")</f>
        <v xml:space="preserve">  </v>
      </c>
      <c r="AC169" s="75" t="str">
        <f>IFERROR(INDEX('6'!C$300:C$400,MATCH("*"&amp;H169&amp;"*",'6'!B$300:B$400,0)),"  ")</f>
        <v xml:space="preserve">  </v>
      </c>
      <c r="AD169" s="75" t="str">
        <f>IFERROR(INDEX('7'!C$300:C$400,MATCH("*"&amp;H169&amp;"*",'7'!B$300:B$400,0)),"  ")</f>
        <v xml:space="preserve">  </v>
      </c>
      <c r="AE169" s="75" t="str">
        <f>IF(I169="",IFERROR(INDEX('8M'!C$300:C$400,MATCH("*"&amp;H169&amp;"*",'8M'!B$300:B$400,0)),"  "),IFERROR(INDEX('8N'!D$300:D$400,MATCH("*"&amp;H169&amp;"*",'8N'!B$300:B$400,0)),"  "))</f>
        <v xml:space="preserve">  </v>
      </c>
      <c r="AF169" s="908" t="str">
        <f>IFERROR(INDEX('8M'!C$300:C$400,MATCH("*"&amp;H169&amp;"*",'8M'!B$300:B$400,0)),"  ")</f>
        <v xml:space="preserve">  </v>
      </c>
      <c r="AG169" s="907" t="str">
        <f>IFERROR(INDEX('8N'!C$300:C$400,MATCH("*"&amp;H169&amp;"*",'8N'!B$300:B$400,0)),"  ")</f>
        <v xml:space="preserve">  </v>
      </c>
      <c r="AH169" s="440"/>
      <c r="AI169" s="75" t="str">
        <f>IFERROR(INDEX('9'!C$300:C$400,MATCH("*"&amp;H169&amp;"*",'9'!B$300:B$400,0)),"  ")</f>
        <v xml:space="preserve">  </v>
      </c>
      <c r="AJ169" s="830" t="str">
        <f>IFERROR(INDEX('10'!C$300:C$400,MATCH("*"&amp;H169&amp;"*",'10'!B$300:B$400,0)),"  ")</f>
        <v xml:space="preserve">  </v>
      </c>
      <c r="AK169" s="75" t="str">
        <f>IFERROR(INDEX('11'!C$300:C$400,MATCH("*"&amp;H169&amp;"*",'11'!B$300:B$400,0)),"  ")</f>
        <v xml:space="preserve">  </v>
      </c>
      <c r="AL169" s="75" t="str">
        <f>IFERROR(INDEX('12'!C$300:C$400,MATCH("*"&amp;H169&amp;"*",'12'!B$300:B$400,0)),"  ")</f>
        <v xml:space="preserve">  </v>
      </c>
      <c r="AM169" s="26">
        <f t="shared" ref="AM169:AM200" ca="1" si="87">COUNTIF(U169:W169,"&gt;=0")+COUNTIF(AA169:AE169,"&gt;=0")+COUNTIF(AI169:AL169,"&gt;=0")</f>
        <v>0</v>
      </c>
      <c r="AN169" s="579">
        <f t="shared" ca="1" si="78"/>
        <v>0</v>
      </c>
      <c r="AO169" s="580">
        <f t="shared" ref="AO169:AO201" ca="1" si="88">COUNTIF(V169,"=115")+COUNTIF(AA169,"=115")+COUNTIF(AD169,"=115")+COUNTIF(AI169,"=115")+COUNTIF(AJ169,"=115")+COUNTIF(AL169,"=115")+COUNTIF(U169:AL169,"=173")</f>
        <v>0</v>
      </c>
      <c r="AP169" s="27">
        <f t="shared" ref="AP169:AP201" ca="1" si="89">COUNTIF(U169:V169,"=173")+COUNTIF(X169:AD169,"=173")+COUNTIF(AF169:AL169,"=173")</f>
        <v>0</v>
      </c>
      <c r="AQ169" s="933">
        <f t="shared" si="75"/>
        <v>2.0000000000000001E-4</v>
      </c>
      <c r="AR169" s="933">
        <f t="shared" ca="1" si="76"/>
        <v>1E-4</v>
      </c>
    </row>
    <row r="170" spans="1:44" ht="12.75" hidden="1" customHeight="1" x14ac:dyDescent="0.2">
      <c r="A170" s="851" t="str">
        <f t="shared" ca="1" si="79"/>
        <v/>
      </c>
      <c r="B170" s="77">
        <f t="shared" ca="1" si="80"/>
        <v>10000</v>
      </c>
      <c r="C170" s="853" t="str">
        <f t="shared" ca="1" si="73"/>
        <v/>
      </c>
      <c r="D170" s="76">
        <f t="shared" si="81"/>
        <v>0</v>
      </c>
      <c r="E170" s="855" t="str">
        <f t="shared" ca="1" si="74"/>
        <v/>
      </c>
      <c r="F170" s="899">
        <f t="shared" si="82"/>
        <v>0</v>
      </c>
      <c r="G170" s="897" t="str">
        <f t="shared" ca="1" si="77"/>
        <v/>
      </c>
      <c r="H170" s="133" t="s">
        <v>313</v>
      </c>
      <c r="I170" s="38"/>
      <c r="J170" s="585"/>
      <c r="K170" s="586"/>
      <c r="L170" s="588" t="s">
        <v>720</v>
      </c>
      <c r="M170" s="857">
        <f ca="1">(IF(COUNT(V170,AA170,AD170,AI170,AJ170,AL170)&lt;5,SUM(V170,AA170,AD170,AI170,AJ170,AL170),SUM(LARGE((V170,AA170,AD170,AI170,AJ170,AL170),{1;2;3;4;5}))))+(IF(COUNT(U170,W170,AB170,AC170,AE170,AK170)&lt;5,SUM(U170,W170,AB170,AC170,AE170,AK170),SUM(LARGE((U170,W170,AB170,AC170,AE170,AK170),{1;2;3;4;5}))))+T170</f>
        <v>0</v>
      </c>
      <c r="N170" s="862">
        <f>IF(I170="n",((IF(COUNT(V170,AA170,AD170,AI170,AJ170,AL170)&lt;5,SUM(V170,AA170,AD170,AI170,AJ170,AL170),SUM(LARGE((V170,AA170,AD170,AI170,AJ170,AL170),{1;2;3;4;5}))))+(IF(COUNT(U170,Y170,AB170,AC170,AG170,AK170)&lt;5,SUM(U170,Y170,AB170,AC170,AG170,AK170),SUM(LARGE((U170,Y170,AB170,AC170,AG170,AK170),{1;2;3;4;5}))))+T170),0)</f>
        <v>0</v>
      </c>
      <c r="O170" s="863">
        <f>IF(J170="j",((IF(COUNT(V170,AA170,AD170,AI170,AJ170,AL170)&lt;5,SUM(V170,AA170,AD170,AI170,AJ170,AL170),SUM(LARGE((V170,AA170,AD170,AI170,AJ170,AL170),{1;2;3;4;5}))))+(IF(COUNT(U170,W170,AB170,AC170,AE170,AK170)&lt;5,SUM(U170,W170,AB170,AC170,AE170,AK170),SUM(LARGE((U170,W170,AB170,AC170,AE170,AK170),{1;2;3;4;5}))))+T170),0)</f>
        <v>0</v>
      </c>
      <c r="P170" s="886" t="str">
        <f t="shared" ca="1" si="83"/>
        <v>000,0</v>
      </c>
      <c r="Q170" s="890">
        <f t="shared" si="84"/>
        <v>152</v>
      </c>
      <c r="R170" s="886" t="str">
        <f t="shared" ca="1" si="85"/>
        <v>0000,0-152</v>
      </c>
      <c r="S170" s="889">
        <f t="shared" ca="1" si="86"/>
        <v>32</v>
      </c>
      <c r="T170" s="847"/>
      <c r="U170" s="75" t="str">
        <f>IFERROR(INDEX('1'!C$300:C$400,MATCH("*"&amp;H170&amp;"*",'1'!B$300:B$400,0)),"  ")</f>
        <v xml:space="preserve">  </v>
      </c>
      <c r="V170" s="199" t="str">
        <f>IFERROR(INDEX('2'!C$300:C$400,MATCH("*"&amp;H170&amp;"*",'2'!B$300:B$400,0)),"  ")</f>
        <v xml:space="preserve">  </v>
      </c>
      <c r="W170" s="199" t="str">
        <f ca="1">IF(I170="",IFERROR(INDEX('3M'!C$300:C$400,MATCH("*"&amp;H170&amp;"*",'3M'!B$300:B$400,0)),"  "),IFERROR(INDEX('3N'!D$300:D$400,MATCH("*"&amp;H170&amp;"*",'3N'!B$300:B$400,0)),"  "))</f>
        <v xml:space="preserve">  </v>
      </c>
      <c r="X170" s="908" t="str">
        <f ca="1">IFERROR(INDEX('3M'!C$300:C$400,MATCH("*"&amp;H170&amp;"*",'3M'!B$300:B$400,0)),"  ")</f>
        <v xml:space="preserve">  </v>
      </c>
      <c r="Y170" s="907" t="str">
        <f ca="1">IFERROR(INDEX('3N'!C$300:C$400,MATCH("*"&amp;H170&amp;"*",'3N'!B$300:B$400,0)),"  ")</f>
        <v xml:space="preserve">  </v>
      </c>
      <c r="Z170" s="440"/>
      <c r="AA170" s="75" t="str">
        <f>IFERROR(INDEX('4'!C$300:C$400,MATCH("*"&amp;H170&amp;"*",'4'!B$300:B$400,0)),"  ")</f>
        <v xml:space="preserve">  </v>
      </c>
      <c r="AB170" s="75" t="str">
        <f>IFERROR(INDEX('5'!C$300:C$400,MATCH("*"&amp;H170&amp;"*",'5'!B$300:B$400,0)),"  ")</f>
        <v xml:space="preserve">  </v>
      </c>
      <c r="AC170" s="75" t="str">
        <f>IFERROR(INDEX('6'!C$300:C$400,MATCH("*"&amp;H170&amp;"*",'6'!B$300:B$400,0)),"  ")</f>
        <v xml:space="preserve">  </v>
      </c>
      <c r="AD170" s="75" t="str">
        <f>IFERROR(INDEX('7'!C$300:C$400,MATCH("*"&amp;H170&amp;"*",'7'!B$300:B$400,0)),"  ")</f>
        <v xml:space="preserve">  </v>
      </c>
      <c r="AE170" s="75" t="str">
        <f>IF(I170="",IFERROR(INDEX('8M'!C$300:C$400,MATCH("*"&amp;H170&amp;"*",'8M'!B$300:B$400,0)),"  "),IFERROR(INDEX('8N'!D$300:D$400,MATCH("*"&amp;H170&amp;"*",'8N'!B$300:B$400,0)),"  "))</f>
        <v xml:space="preserve">  </v>
      </c>
      <c r="AF170" s="908" t="str">
        <f>IFERROR(INDEX('8M'!C$300:C$400,MATCH("*"&amp;H170&amp;"*",'8M'!B$300:B$400,0)),"  ")</f>
        <v xml:space="preserve">  </v>
      </c>
      <c r="AG170" s="907" t="str">
        <f>IFERROR(INDEX('8N'!C$300:C$400,MATCH("*"&amp;H170&amp;"*",'8N'!B$300:B$400,0)),"  ")</f>
        <v xml:space="preserve">  </v>
      </c>
      <c r="AH170" s="440"/>
      <c r="AI170" s="75" t="str">
        <f>IFERROR(INDEX('9'!C$300:C$400,MATCH("*"&amp;H170&amp;"*",'9'!B$300:B$400,0)),"  ")</f>
        <v xml:space="preserve">  </v>
      </c>
      <c r="AJ170" s="830" t="str">
        <f>IFERROR(INDEX('10'!C$300:C$400,MATCH("*"&amp;H170&amp;"*",'10'!B$300:B$400,0)),"  ")</f>
        <v xml:space="preserve">  </v>
      </c>
      <c r="AK170" s="75" t="str">
        <f>IFERROR(INDEX('11'!C$300:C$400,MATCH("*"&amp;H170&amp;"*",'11'!B$300:B$400,0)),"  ")</f>
        <v xml:space="preserve">  </v>
      </c>
      <c r="AL170" s="75" t="str">
        <f>IFERROR(INDEX('12'!C$300:C$400,MATCH("*"&amp;H170&amp;"*",'12'!B$300:B$400,0)),"  ")</f>
        <v xml:space="preserve">  </v>
      </c>
      <c r="AM170" s="26">
        <f t="shared" ca="1" si="87"/>
        <v>0</v>
      </c>
      <c r="AN170" s="579">
        <f t="shared" ca="1" si="78"/>
        <v>0</v>
      </c>
      <c r="AO170" s="580">
        <f t="shared" ca="1" si="88"/>
        <v>0</v>
      </c>
      <c r="AP170" s="27">
        <f t="shared" ca="1" si="89"/>
        <v>0</v>
      </c>
      <c r="AQ170" s="933">
        <f t="shared" si="75"/>
        <v>2.0000000000000001E-4</v>
      </c>
      <c r="AR170" s="933">
        <f t="shared" ca="1" si="76"/>
        <v>1E-4</v>
      </c>
    </row>
    <row r="171" spans="1:44" ht="12.75" hidden="1" customHeight="1" x14ac:dyDescent="0.2">
      <c r="A171" s="851" t="str">
        <f t="shared" ca="1" si="79"/>
        <v/>
      </c>
      <c r="B171" s="77">
        <f t="shared" ca="1" si="80"/>
        <v>10000</v>
      </c>
      <c r="C171" s="853" t="str">
        <f t="shared" ca="1" si="73"/>
        <v/>
      </c>
      <c r="D171" s="76">
        <f t="shared" si="81"/>
        <v>0</v>
      </c>
      <c r="E171" s="855" t="str">
        <f t="shared" ca="1" si="74"/>
        <v/>
      </c>
      <c r="F171" s="899">
        <f t="shared" si="82"/>
        <v>0</v>
      </c>
      <c r="G171" s="897" t="str">
        <f t="shared" ca="1" si="77"/>
        <v/>
      </c>
      <c r="H171" s="133" t="s">
        <v>301</v>
      </c>
      <c r="I171" s="38"/>
      <c r="J171" s="585"/>
      <c r="K171" s="586"/>
      <c r="L171" s="587"/>
      <c r="M171" s="857">
        <f ca="1">(IF(COUNT(V171,AA171,AD171,AI171,AJ171,AL171)&lt;5,SUM(V171,AA171,AD171,AI171,AJ171,AL171),SUM(LARGE((V171,AA171,AD171,AI171,AJ171,AL171),{1;2;3;4;5}))))+(IF(COUNT(U171,W171,AB171,AC171,AE171,AK171)&lt;5,SUM(U171,W171,AB171,AC171,AE171,AK171),SUM(LARGE((U171,W171,AB171,AC171,AE171,AK171),{1;2;3;4;5}))))+T171</f>
        <v>0</v>
      </c>
      <c r="N171" s="862">
        <f>IF(I171="n",((IF(COUNT(V171,AA171,AD171,AI171,AJ171,AL171)&lt;5,SUM(V171,AA171,AD171,AI171,AJ171,AL171),SUM(LARGE((V171,AA171,AD171,AI171,AJ171,AL171),{1;2;3;4;5}))))+(IF(COUNT(U171,Y171,AB171,AC171,AG171,AK171)&lt;5,SUM(U171,Y171,AB171,AC171,AG171,AK171),SUM(LARGE((U171,Y171,AB171,AC171,AG171,AK171),{1;2;3;4;5}))))+T171),0)</f>
        <v>0</v>
      </c>
      <c r="O171" s="863">
        <f>IF(J171="j",((IF(COUNT(V171,AA171,AD171,AI171,AJ171,AL171)&lt;5,SUM(V171,AA171,AD171,AI171,AJ171,AL171),SUM(LARGE((V171,AA171,AD171,AI171,AJ171,AL171),{1;2;3;4;5}))))+(IF(COUNT(U171,W171,AB171,AC171,AE171,AK171)&lt;5,SUM(U171,W171,AB171,AC171,AE171,AK171),SUM(LARGE((U171,W171,AB171,AC171,AE171,AK171),{1;2;3;4;5}))))+T171),0)</f>
        <v>0</v>
      </c>
      <c r="P171" s="886" t="str">
        <f t="shared" ca="1" si="83"/>
        <v>000,0</v>
      </c>
      <c r="Q171" s="890">
        <f t="shared" si="84"/>
        <v>150</v>
      </c>
      <c r="R171" s="886" t="str">
        <f t="shared" ca="1" si="85"/>
        <v>0000,0-150</v>
      </c>
      <c r="S171" s="889">
        <f t="shared" ca="1" si="86"/>
        <v>31</v>
      </c>
      <c r="T171" s="847"/>
      <c r="U171" s="75" t="str">
        <f>IFERROR(INDEX('1'!C$300:C$400,MATCH("*"&amp;H171&amp;"*",'1'!B$300:B$400,0)),"  ")</f>
        <v xml:space="preserve">  </v>
      </c>
      <c r="V171" s="199" t="str">
        <f>IFERROR(INDEX('2'!C$300:C$400,MATCH("*"&amp;H171&amp;"*",'2'!B$300:B$400,0)),"  ")</f>
        <v xml:space="preserve">  </v>
      </c>
      <c r="W171" s="199" t="str">
        <f ca="1">IF(I171="",IFERROR(INDEX('3M'!C$300:C$400,MATCH("*"&amp;H171&amp;"*",'3M'!B$300:B$400,0)),"  "),IFERROR(INDEX('3N'!D$300:D$400,MATCH("*"&amp;H171&amp;"*",'3N'!B$300:B$400,0)),"  "))</f>
        <v xml:space="preserve">  </v>
      </c>
      <c r="X171" s="908" t="str">
        <f ca="1">IFERROR(INDEX('3M'!C$300:C$400,MATCH("*"&amp;H171&amp;"*",'3M'!B$300:B$400,0)),"  ")</f>
        <v xml:space="preserve">  </v>
      </c>
      <c r="Y171" s="907" t="str">
        <f ca="1">IFERROR(INDEX('3N'!C$300:C$400,MATCH("*"&amp;H171&amp;"*",'3N'!B$300:B$400,0)),"  ")</f>
        <v xml:space="preserve">  </v>
      </c>
      <c r="Z171" s="440"/>
      <c r="AA171" s="75" t="str">
        <f>IFERROR(INDEX('4'!C$300:C$400,MATCH("*"&amp;H171&amp;"*",'4'!B$300:B$400,0)),"  ")</f>
        <v xml:space="preserve">  </v>
      </c>
      <c r="AB171" s="75" t="str">
        <f>IFERROR(INDEX('5'!C$300:C$400,MATCH("*"&amp;H171&amp;"*",'5'!B$300:B$400,0)),"  ")</f>
        <v xml:space="preserve">  </v>
      </c>
      <c r="AC171" s="75" t="str">
        <f>IFERROR(INDEX('6'!C$300:C$400,MATCH("*"&amp;H171&amp;"*",'6'!B$300:B$400,0)),"  ")</f>
        <v xml:space="preserve">  </v>
      </c>
      <c r="AD171" s="75" t="str">
        <f>IFERROR(INDEX('7'!C$300:C$400,MATCH("*"&amp;H171&amp;"*",'7'!B$300:B$400,0)),"  ")</f>
        <v xml:space="preserve">  </v>
      </c>
      <c r="AE171" s="75" t="str">
        <f>IF(I171="",IFERROR(INDEX('8M'!C$300:C$400,MATCH("*"&amp;H171&amp;"*",'8M'!B$300:B$400,0)),"  "),IFERROR(INDEX('8N'!D$300:D$400,MATCH("*"&amp;H171&amp;"*",'8N'!B$300:B$400,0)),"  "))</f>
        <v xml:space="preserve">  </v>
      </c>
      <c r="AF171" s="908" t="str">
        <f>IFERROR(INDEX('8M'!C$300:C$400,MATCH("*"&amp;H171&amp;"*",'8M'!B$300:B$400,0)),"  ")</f>
        <v xml:space="preserve">  </v>
      </c>
      <c r="AG171" s="907" t="str">
        <f>IFERROR(INDEX('8N'!C$300:C$400,MATCH("*"&amp;H171&amp;"*",'8N'!B$300:B$400,0)),"  ")</f>
        <v xml:space="preserve">  </v>
      </c>
      <c r="AH171" s="440"/>
      <c r="AI171" s="75" t="str">
        <f>IFERROR(INDEX('9'!C$300:C$400,MATCH("*"&amp;H171&amp;"*",'9'!B$300:B$400,0)),"  ")</f>
        <v xml:space="preserve">  </v>
      </c>
      <c r="AJ171" s="830" t="str">
        <f>IFERROR(INDEX('10'!C$300:C$400,MATCH("*"&amp;H171&amp;"*",'10'!B$300:B$400,0)),"  ")</f>
        <v xml:space="preserve">  </v>
      </c>
      <c r="AK171" s="75" t="str">
        <f>IFERROR(INDEX('11'!C$300:C$400,MATCH("*"&amp;H171&amp;"*",'11'!B$300:B$400,0)),"  ")</f>
        <v xml:space="preserve">  </v>
      </c>
      <c r="AL171" s="75" t="str">
        <f>IFERROR(INDEX('12'!C$300:C$400,MATCH("*"&amp;H171&amp;"*",'12'!B$300:B$400,0)),"  ")</f>
        <v xml:space="preserve">  </v>
      </c>
      <c r="AM171" s="26">
        <f t="shared" ca="1" si="87"/>
        <v>0</v>
      </c>
      <c r="AN171" s="579">
        <f t="shared" ca="1" si="78"/>
        <v>0</v>
      </c>
      <c r="AO171" s="580">
        <f t="shared" ca="1" si="88"/>
        <v>0</v>
      </c>
      <c r="AP171" s="27">
        <f t="shared" ca="1" si="89"/>
        <v>0</v>
      </c>
      <c r="AQ171" s="933">
        <f t="shared" si="75"/>
        <v>2.0000000000000001E-4</v>
      </c>
      <c r="AR171" s="933">
        <f t="shared" ca="1" si="76"/>
        <v>1E-4</v>
      </c>
    </row>
    <row r="172" spans="1:44" ht="12.75" hidden="1" customHeight="1" x14ac:dyDescent="0.2">
      <c r="A172" s="851" t="str">
        <f t="shared" ca="1" si="79"/>
        <v/>
      </c>
      <c r="B172" s="77">
        <f t="shared" ca="1" si="80"/>
        <v>10000</v>
      </c>
      <c r="C172" s="853" t="str">
        <f t="shared" ca="1" si="73"/>
        <v/>
      </c>
      <c r="D172" s="76">
        <f t="shared" si="81"/>
        <v>0</v>
      </c>
      <c r="E172" s="855" t="str">
        <f t="shared" ca="1" si="74"/>
        <v/>
      </c>
      <c r="F172" s="899">
        <f t="shared" si="82"/>
        <v>0</v>
      </c>
      <c r="G172" s="897" t="str">
        <f t="shared" ca="1" si="77"/>
        <v/>
      </c>
      <c r="H172" s="133" t="s">
        <v>649</v>
      </c>
      <c r="I172" s="38"/>
      <c r="J172" s="589"/>
      <c r="K172" s="586"/>
      <c r="L172" s="587"/>
      <c r="M172" s="857">
        <f ca="1">(IF(COUNT(V172,AA172,AD172,AI172,AJ172,AL172)&lt;5,SUM(V172,AA172,AD172,AI172,AJ172,AL172),SUM(LARGE((V172,AA172,AD172,AI172,AJ172,AL172),{1;2;3;4;5}))))+(IF(COUNT(U172,W172,AB172,AC172,AE172,AK172)&lt;5,SUM(U172,W172,AB172,AC172,AE172,AK172),SUM(LARGE((U172,W172,AB172,AC172,AE172,AK172),{1;2;3;4;5}))))+T172</f>
        <v>0</v>
      </c>
      <c r="N172" s="862">
        <f>IF(I172="n",((IF(COUNT(V172,AA172,AD172,AI172,AJ172,AL172)&lt;5,SUM(V172,AA172,AD172,AI172,AJ172,AL172),SUM(LARGE((V172,AA172,AD172,AI172,AJ172,AL172),{1;2;3;4;5}))))+(IF(COUNT(U172,Y172,AB172,AC172,AG172,AK172)&lt;5,SUM(U172,Y172,AB172,AC172,AG172,AK172),SUM(LARGE((U172,Y172,AB172,AC172,AG172,AK172),{1;2;3;4;5}))))+T172),0)</f>
        <v>0</v>
      </c>
      <c r="O172" s="863">
        <f>IF(J172="j",((IF(COUNT(V172,AA172,AD172,AI172,AJ172,AL172)&lt;5,SUM(V172,AA172,AD172,AI172,AJ172,AL172),SUM(LARGE((V172,AA172,AD172,AI172,AJ172,AL172),{1;2;3;4;5}))))+(IF(COUNT(U172,W172,AB172,AC172,AE172,AK172)&lt;5,SUM(U172,W172,AB172,AC172,AE172,AK172),SUM(LARGE((U172,W172,AB172,AC172,AE172,AK172),{1;2;3;4;5}))))+T172),0)</f>
        <v>0</v>
      </c>
      <c r="P172" s="886" t="str">
        <f t="shared" ca="1" si="83"/>
        <v>000,0</v>
      </c>
      <c r="Q172" s="890">
        <f t="shared" si="84"/>
        <v>149</v>
      </c>
      <c r="R172" s="886" t="str">
        <f t="shared" ca="1" si="85"/>
        <v>0000,0-149</v>
      </c>
      <c r="S172" s="889">
        <f t="shared" ca="1" si="86"/>
        <v>30</v>
      </c>
      <c r="T172" s="847"/>
      <c r="U172" s="75" t="str">
        <f>IFERROR(INDEX('1'!C$300:C$400,MATCH("*"&amp;H172&amp;"*",'1'!B$300:B$400,0)),"  ")</f>
        <v xml:space="preserve">  </v>
      </c>
      <c r="V172" s="199" t="str">
        <f>IFERROR(INDEX('2'!C$300:C$400,MATCH("*"&amp;H172&amp;"*",'2'!B$300:B$400,0)),"  ")</f>
        <v xml:space="preserve">  </v>
      </c>
      <c r="W172" s="199" t="str">
        <f ca="1">IF(I172="",IFERROR(INDEX('3M'!C$300:C$400,MATCH("*"&amp;H172&amp;"*",'3M'!B$300:B$400,0)),"  "),IFERROR(INDEX('3N'!D$300:D$400,MATCH("*"&amp;H172&amp;"*",'3N'!B$300:B$400,0)),"  "))</f>
        <v xml:space="preserve">  </v>
      </c>
      <c r="X172" s="908" t="str">
        <f ca="1">IFERROR(INDEX('3M'!C$300:C$400,MATCH("*"&amp;H172&amp;"*",'3M'!B$300:B$400,0)),"  ")</f>
        <v xml:space="preserve">  </v>
      </c>
      <c r="Y172" s="907" t="str">
        <f ca="1">IFERROR(INDEX('3N'!C$300:C$400,MATCH("*"&amp;H172&amp;"*",'3N'!B$300:B$400,0)),"  ")</f>
        <v xml:space="preserve">  </v>
      </c>
      <c r="Z172" s="440"/>
      <c r="AA172" s="75" t="str">
        <f>IFERROR(INDEX('4'!C$300:C$400,MATCH("*"&amp;H172&amp;"*",'4'!B$300:B$400,0)),"  ")</f>
        <v xml:space="preserve">  </v>
      </c>
      <c r="AB172" s="75" t="str">
        <f>IFERROR(INDEX('5'!C$300:C$400,MATCH("*"&amp;H172&amp;"*",'5'!B$300:B$400,0)),"  ")</f>
        <v xml:space="preserve">  </v>
      </c>
      <c r="AC172" s="75" t="str">
        <f>IFERROR(INDEX('6'!C$300:C$400,MATCH("*"&amp;H172&amp;"*",'6'!B$300:B$400,0)),"  ")</f>
        <v xml:space="preserve">  </v>
      </c>
      <c r="AD172" s="75" t="str">
        <f>IFERROR(INDEX('7'!C$300:C$400,MATCH("*"&amp;H172&amp;"*",'7'!B$300:B$400,0)),"  ")</f>
        <v xml:space="preserve">  </v>
      </c>
      <c r="AE172" s="75" t="str">
        <f>IF(I172="",IFERROR(INDEX('8M'!C$300:C$400,MATCH("*"&amp;H172&amp;"*",'8M'!B$300:B$400,0)),"  "),IFERROR(INDEX('8N'!D$300:D$400,MATCH("*"&amp;H172&amp;"*",'8N'!B$300:B$400,0)),"  "))</f>
        <v xml:space="preserve">  </v>
      </c>
      <c r="AF172" s="908" t="str">
        <f>IFERROR(INDEX('8M'!C$300:C$400,MATCH("*"&amp;H172&amp;"*",'8M'!B$300:B$400,0)),"  ")</f>
        <v xml:space="preserve">  </v>
      </c>
      <c r="AG172" s="907" t="str">
        <f>IFERROR(INDEX('8N'!C$300:C$400,MATCH("*"&amp;H172&amp;"*",'8N'!B$300:B$400,0)),"  ")</f>
        <v xml:space="preserve">  </v>
      </c>
      <c r="AH172" s="440"/>
      <c r="AI172" s="75" t="str">
        <f>IFERROR(INDEX('9'!C$300:C$400,MATCH("*"&amp;H172&amp;"*",'9'!B$300:B$400,0)),"  ")</f>
        <v xml:space="preserve">  </v>
      </c>
      <c r="AJ172" s="830" t="str">
        <f>IFERROR(INDEX('10'!C$300:C$400,MATCH("*"&amp;H172&amp;"*",'10'!B$300:B$400,0)),"  ")</f>
        <v xml:space="preserve">  </v>
      </c>
      <c r="AK172" s="75" t="str">
        <f>IFERROR(INDEX('11'!C$300:C$400,MATCH("*"&amp;H172&amp;"*",'11'!B$300:B$400,0)),"  ")</f>
        <v xml:space="preserve">  </v>
      </c>
      <c r="AL172" s="75" t="str">
        <f>IFERROR(INDEX('12'!C$300:C$400,MATCH("*"&amp;H172&amp;"*",'12'!B$300:B$400,0)),"  ")</f>
        <v xml:space="preserve">  </v>
      </c>
      <c r="AM172" s="26">
        <f t="shared" ca="1" si="87"/>
        <v>0</v>
      </c>
      <c r="AN172" s="579">
        <f t="shared" ca="1" si="78"/>
        <v>0</v>
      </c>
      <c r="AO172" s="580">
        <f t="shared" ca="1" si="88"/>
        <v>0</v>
      </c>
      <c r="AP172" s="27">
        <f t="shared" ca="1" si="89"/>
        <v>0</v>
      </c>
      <c r="AQ172" s="933">
        <f t="shared" si="75"/>
        <v>2.0000000000000001E-4</v>
      </c>
      <c r="AR172" s="933">
        <f t="shared" ca="1" si="76"/>
        <v>1E-4</v>
      </c>
    </row>
    <row r="173" spans="1:44" ht="12.75" hidden="1" customHeight="1" x14ac:dyDescent="0.2">
      <c r="A173" s="851" t="str">
        <f t="shared" ca="1" si="79"/>
        <v/>
      </c>
      <c r="B173" s="77">
        <f t="shared" ca="1" si="80"/>
        <v>10000</v>
      </c>
      <c r="C173" s="853" t="str">
        <f t="shared" ca="1" si="73"/>
        <v/>
      </c>
      <c r="D173" s="76">
        <f t="shared" si="81"/>
        <v>0</v>
      </c>
      <c r="E173" s="855" t="str">
        <f t="shared" ca="1" si="74"/>
        <v/>
      </c>
      <c r="F173" s="899">
        <f t="shared" si="82"/>
        <v>0</v>
      </c>
      <c r="G173" s="897" t="str">
        <f t="shared" ca="1" si="77"/>
        <v/>
      </c>
      <c r="H173" s="133" t="s">
        <v>307</v>
      </c>
      <c r="I173" s="38"/>
      <c r="J173" s="585"/>
      <c r="K173" s="586"/>
      <c r="L173" s="587"/>
      <c r="M173" s="857">
        <f ca="1">(IF(COUNT(V173,AA173,AD173,AI173,AJ173,AL173)&lt;5,SUM(V173,AA173,AD173,AI173,AJ173,AL173),SUM(LARGE((V173,AA173,AD173,AI173,AJ173,AL173),{1;2;3;4;5}))))+(IF(COUNT(U173,W173,AB173,AC173,AE173,AK173)&lt;5,SUM(U173,W173,AB173,AC173,AE173,AK173),SUM(LARGE((U173,W173,AB173,AC173,AE173,AK173),{1;2;3;4;5}))))+T173</f>
        <v>0</v>
      </c>
      <c r="N173" s="862">
        <f>IF(I173="n",((IF(COUNT(V173,AA173,AD173,AI173,AJ173,AL173)&lt;5,SUM(V173,AA173,AD173,AI173,AJ173,AL173),SUM(LARGE((V173,AA173,AD173,AI173,AJ173,AL173),{1;2;3;4;5}))))+(IF(COUNT(U173,Y173,AB173,AC173,AG173,AK173)&lt;5,SUM(U173,Y173,AB173,AC173,AG173,AK173),SUM(LARGE((U173,Y173,AB173,AC173,AG173,AK173),{1;2;3;4;5}))))+T173),0)</f>
        <v>0</v>
      </c>
      <c r="O173" s="863">
        <f>IF(J173="j",((IF(COUNT(V173,AA173,AD173,AI173,AJ173,AL173)&lt;5,SUM(V173,AA173,AD173,AI173,AJ173,AL173),SUM(LARGE((V173,AA173,AD173,AI173,AJ173,AL173),{1;2;3;4;5}))))+(IF(COUNT(U173,W173,AB173,AC173,AE173,AK173)&lt;5,SUM(U173,W173,AB173,AC173,AE173,AK173),SUM(LARGE((U173,W173,AB173,AC173,AE173,AK173),{1;2;3;4;5}))))+T173),0)</f>
        <v>0</v>
      </c>
      <c r="P173" s="886" t="str">
        <f t="shared" ca="1" si="83"/>
        <v>000,0</v>
      </c>
      <c r="Q173" s="890">
        <f t="shared" si="84"/>
        <v>148</v>
      </c>
      <c r="R173" s="886" t="str">
        <f t="shared" ca="1" si="85"/>
        <v>0000,0-148</v>
      </c>
      <c r="S173" s="889">
        <f t="shared" ca="1" si="86"/>
        <v>29</v>
      </c>
      <c r="T173" s="847"/>
      <c r="U173" s="75" t="str">
        <f>IFERROR(INDEX('1'!C$300:C$400,MATCH("*"&amp;H173&amp;"*",'1'!B$300:B$400,0)),"  ")</f>
        <v xml:space="preserve">  </v>
      </c>
      <c r="V173" s="199" t="str">
        <f>IFERROR(INDEX('2'!C$300:C$400,MATCH("*"&amp;H173&amp;"*",'2'!B$300:B$400,0)),"  ")</f>
        <v xml:space="preserve">  </v>
      </c>
      <c r="W173" s="199" t="str">
        <f ca="1">IF(I173="",IFERROR(INDEX('3M'!C$300:C$400,MATCH("*"&amp;H173&amp;"*",'3M'!B$300:B$400,0)),"  "),IFERROR(INDEX('3N'!D$300:D$400,MATCH("*"&amp;H173&amp;"*",'3N'!B$300:B$400,0)),"  "))</f>
        <v xml:space="preserve">  </v>
      </c>
      <c r="X173" s="908" t="str">
        <f ca="1">IFERROR(INDEX('3M'!C$300:C$400,MATCH("*"&amp;H173&amp;"*",'3M'!B$300:B$400,0)),"  ")</f>
        <v xml:space="preserve">  </v>
      </c>
      <c r="Y173" s="907" t="str">
        <f ca="1">IFERROR(INDEX('3N'!C$300:C$400,MATCH("*"&amp;H173&amp;"*",'3N'!B$300:B$400,0)),"  ")</f>
        <v xml:space="preserve">  </v>
      </c>
      <c r="Z173" s="440"/>
      <c r="AA173" s="75" t="str">
        <f>IFERROR(INDEX('4'!C$300:C$400,MATCH("*"&amp;H173&amp;"*",'4'!B$300:B$400,0)),"  ")</f>
        <v xml:space="preserve">  </v>
      </c>
      <c r="AB173" s="75" t="str">
        <f>IFERROR(INDEX('5'!C$300:C$400,MATCH("*"&amp;H173&amp;"*",'5'!B$300:B$400,0)),"  ")</f>
        <v xml:space="preserve">  </v>
      </c>
      <c r="AC173" s="75" t="str">
        <f>IFERROR(INDEX('6'!C$300:C$400,MATCH("*"&amp;H173&amp;"*",'6'!B$300:B$400,0)),"  ")</f>
        <v xml:space="preserve">  </v>
      </c>
      <c r="AD173" s="75" t="str">
        <f>IFERROR(INDEX('7'!C$300:C$400,MATCH("*"&amp;H173&amp;"*",'7'!B$300:B$400,0)),"  ")</f>
        <v xml:space="preserve">  </v>
      </c>
      <c r="AE173" s="75" t="str">
        <f>IF(I173="",IFERROR(INDEX('8M'!C$300:C$400,MATCH("*"&amp;H173&amp;"*",'8M'!B$300:B$400,0)),"  "),IFERROR(INDEX('8N'!D$300:D$400,MATCH("*"&amp;H173&amp;"*",'8N'!B$300:B$400,0)),"  "))</f>
        <v xml:space="preserve">  </v>
      </c>
      <c r="AF173" s="908" t="str">
        <f>IFERROR(INDEX('8M'!C$300:C$400,MATCH("*"&amp;H173&amp;"*",'8M'!B$300:B$400,0)),"  ")</f>
        <v xml:space="preserve">  </v>
      </c>
      <c r="AG173" s="907" t="str">
        <f>IFERROR(INDEX('8N'!C$300:C$400,MATCH("*"&amp;H173&amp;"*",'8N'!B$300:B$400,0)),"  ")</f>
        <v xml:space="preserve">  </v>
      </c>
      <c r="AH173" s="440"/>
      <c r="AI173" s="75" t="str">
        <f>IFERROR(INDEX('9'!C$300:C$400,MATCH("*"&amp;H173&amp;"*",'9'!B$300:B$400,0)),"  ")</f>
        <v xml:space="preserve">  </v>
      </c>
      <c r="AJ173" s="830" t="str">
        <f>IFERROR(INDEX('10'!C$300:C$400,MATCH("*"&amp;H173&amp;"*",'10'!B$300:B$400,0)),"  ")</f>
        <v xml:space="preserve">  </v>
      </c>
      <c r="AK173" s="75" t="str">
        <f>IFERROR(INDEX('11'!C$300:C$400,MATCH("*"&amp;H173&amp;"*",'11'!B$300:B$400,0)),"  ")</f>
        <v xml:space="preserve">  </v>
      </c>
      <c r="AL173" s="75" t="str">
        <f>IFERROR(INDEX('12'!C$300:C$400,MATCH("*"&amp;H173&amp;"*",'12'!B$300:B$400,0)),"  ")</f>
        <v xml:space="preserve">  </v>
      </c>
      <c r="AM173" s="26">
        <f t="shared" ca="1" si="87"/>
        <v>0</v>
      </c>
      <c r="AN173" s="579">
        <f t="shared" ca="1" si="78"/>
        <v>0</v>
      </c>
      <c r="AO173" s="580">
        <f t="shared" ca="1" si="88"/>
        <v>0</v>
      </c>
      <c r="AP173" s="27">
        <f t="shared" ca="1" si="89"/>
        <v>0</v>
      </c>
      <c r="AQ173" s="933">
        <f t="shared" si="75"/>
        <v>2.0000000000000001E-4</v>
      </c>
      <c r="AR173" s="933">
        <f t="shared" ca="1" si="76"/>
        <v>1E-4</v>
      </c>
    </row>
    <row r="174" spans="1:44" ht="12.75" hidden="1" customHeight="1" x14ac:dyDescent="0.2">
      <c r="A174" s="851" t="str">
        <f t="shared" ca="1" si="79"/>
        <v/>
      </c>
      <c r="B174" s="77">
        <f t="shared" si="80"/>
        <v>0</v>
      </c>
      <c r="C174" s="853" t="str">
        <f t="shared" ca="1" si="73"/>
        <v/>
      </c>
      <c r="D174" s="76">
        <f t="shared" ca="1" si="81"/>
        <v>10000</v>
      </c>
      <c r="E174" s="855" t="str">
        <f t="shared" ca="1" si="74"/>
        <v/>
      </c>
      <c r="F174" s="899">
        <f t="shared" si="82"/>
        <v>0</v>
      </c>
      <c r="G174" s="897" t="str">
        <f t="shared" ca="1" si="77"/>
        <v/>
      </c>
      <c r="H174" s="133" t="s">
        <v>302</v>
      </c>
      <c r="I174" s="38" t="s">
        <v>32</v>
      </c>
      <c r="J174" s="585"/>
      <c r="K174" s="586"/>
      <c r="L174" s="587"/>
      <c r="M174" s="857">
        <f ca="1">(IF(COUNT(V174,AA174,AD174,AI174,AJ174,AL174)&lt;5,SUM(V174,AA174,AD174,AI174,AJ174,AL174),SUM(LARGE((V174,AA174,AD174,AI174,AJ174,AL174),{1;2;3;4;5}))))+(IF(COUNT(U174,W174,AB174,AC174,AE174,AK174)&lt;5,SUM(U174,W174,AB174,AC174,AE174,AK174),SUM(LARGE((U174,W174,AB174,AC174,AE174,AK174),{1;2;3;4;5}))))+T174</f>
        <v>0</v>
      </c>
      <c r="N174" s="862">
        <f ca="1">IF(I174="n",((IF(COUNT(V174,AA174,AD174,AI174,AJ174,AL174)&lt;5,SUM(V174,AA174,AD174,AI174,AJ174,AL174),SUM(LARGE((V174,AA174,AD174,AI174,AJ174,AL174),{1;2;3;4;5}))))+(IF(COUNT(U174,Y174,AB174,AC174,AG174,AK174)&lt;5,SUM(U174,Y174,AB174,AC174,AG174,AK174),SUM(LARGE((U174,Y174,AB174,AC174,AG174,AK174),{1;2;3;4;5}))))+T174),0)</f>
        <v>0</v>
      </c>
      <c r="O174" s="863">
        <f>IF(J174="j",((IF(COUNT(V174,AA174,AD174,AI174,AJ174,AL174)&lt;5,SUM(V174,AA174,AD174,AI174,AJ174,AL174),SUM(LARGE((V174,AA174,AD174,AI174,AJ174,AL174),{1;2;3;4;5}))))+(IF(COUNT(U174,W174,AB174,AC174,AE174,AK174)&lt;5,SUM(U174,W174,AB174,AC174,AE174,AK174),SUM(LARGE((U174,W174,AB174,AC174,AE174,AK174),{1;2;3;4;5}))))+T174),0)</f>
        <v>0</v>
      </c>
      <c r="P174" s="886" t="str">
        <f t="shared" ca="1" si="83"/>
        <v>000,0</v>
      </c>
      <c r="Q174" s="890">
        <f t="shared" si="84"/>
        <v>144</v>
      </c>
      <c r="R174" s="886" t="str">
        <f t="shared" ca="1" si="85"/>
        <v>0000,0-144</v>
      </c>
      <c r="S174" s="889">
        <f t="shared" ca="1" si="86"/>
        <v>28</v>
      </c>
      <c r="T174" s="847"/>
      <c r="U174" s="75" t="str">
        <f>IFERROR(INDEX('1'!C$300:C$400,MATCH("*"&amp;H174&amp;"*",'1'!B$300:B$400,0)),"  ")</f>
        <v xml:space="preserve">  </v>
      </c>
      <c r="V174" s="199" t="str">
        <f>IFERROR(INDEX('2'!C$300:C$400,MATCH("*"&amp;H174&amp;"*",'2'!B$300:B$400,0)),"  ")</f>
        <v xml:space="preserve">  </v>
      </c>
      <c r="W174" s="199" t="str">
        <f ca="1">IF(I174="",IFERROR(INDEX('3M'!C$300:C$400,MATCH("*"&amp;H174&amp;"*",'3M'!B$300:B$400,0)),"  "),IFERROR(INDEX('3N'!D$300:D$400,MATCH("*"&amp;H174&amp;"*",'3N'!B$300:B$400,0)),"  "))</f>
        <v xml:space="preserve">  </v>
      </c>
      <c r="X174" s="908" t="str">
        <f ca="1">IFERROR(INDEX('3M'!C$300:C$400,MATCH("*"&amp;H174&amp;"*",'3M'!B$300:B$400,0)),"  ")</f>
        <v xml:space="preserve">  </v>
      </c>
      <c r="Y174" s="907" t="str">
        <f ca="1">IFERROR(INDEX('3N'!C$300:C$400,MATCH("*"&amp;H174&amp;"*",'3N'!B$300:B$400,0)),"  ")</f>
        <v xml:space="preserve">  </v>
      </c>
      <c r="Z174" s="440"/>
      <c r="AA174" s="75" t="str">
        <f>IFERROR(INDEX('4'!C$300:C$400,MATCH("*"&amp;H174&amp;"*",'4'!B$300:B$400,0)),"  ")</f>
        <v xml:space="preserve">  </v>
      </c>
      <c r="AB174" s="75" t="str">
        <f>IFERROR(INDEX('5'!C$300:C$400,MATCH("*"&amp;H174&amp;"*",'5'!B$300:B$400,0)),"  ")</f>
        <v xml:space="preserve">  </v>
      </c>
      <c r="AC174" s="75" t="str">
        <f>IFERROR(INDEX('6'!C$300:C$400,MATCH("*"&amp;H174&amp;"*",'6'!B$300:B$400,0)),"  ")</f>
        <v xml:space="preserve">  </v>
      </c>
      <c r="AD174" s="75" t="str">
        <f>IFERROR(INDEX('7'!C$300:C$400,MATCH("*"&amp;H174&amp;"*",'7'!B$300:B$400,0)),"  ")</f>
        <v xml:space="preserve">  </v>
      </c>
      <c r="AE174" s="75" t="str">
        <f>IF(I174="",IFERROR(INDEX('8M'!C$300:C$400,MATCH("*"&amp;H174&amp;"*",'8M'!B$300:B$400,0)),"  "),IFERROR(INDEX('8N'!D$300:D$400,MATCH("*"&amp;H174&amp;"*",'8N'!B$300:B$400,0)),"  "))</f>
        <v xml:space="preserve">  </v>
      </c>
      <c r="AF174" s="908" t="str">
        <f>IFERROR(INDEX('8M'!C$300:C$400,MATCH("*"&amp;H174&amp;"*",'8M'!B$300:B$400,0)),"  ")</f>
        <v xml:space="preserve">  </v>
      </c>
      <c r="AG174" s="907" t="str">
        <f>IFERROR(INDEX('8N'!C$300:C$400,MATCH("*"&amp;H174&amp;"*",'8N'!B$300:B$400,0)),"  ")</f>
        <v xml:space="preserve">  </v>
      </c>
      <c r="AH174" s="440"/>
      <c r="AI174" s="75" t="str">
        <f>IFERROR(INDEX('9'!C$300:C$400,MATCH("*"&amp;H174&amp;"*",'9'!B$300:B$400,0)),"  ")</f>
        <v xml:space="preserve">  </v>
      </c>
      <c r="AJ174" s="830" t="str">
        <f>IFERROR(INDEX('10'!C$300:C$400,MATCH("*"&amp;H174&amp;"*",'10'!B$300:B$400,0)),"  ")</f>
        <v xml:space="preserve">  </v>
      </c>
      <c r="AK174" s="75" t="str">
        <f>IFERROR(INDEX('11'!C$300:C$400,MATCH("*"&amp;H174&amp;"*",'11'!B$300:B$400,0)),"  ")</f>
        <v xml:space="preserve">  </v>
      </c>
      <c r="AL174" s="75" t="str">
        <f>IFERROR(INDEX('12'!C$300:C$400,MATCH("*"&amp;H174&amp;"*",'12'!B$300:B$400,0)),"  ")</f>
        <v xml:space="preserve">  </v>
      </c>
      <c r="AM174" s="26">
        <f t="shared" ca="1" si="87"/>
        <v>0</v>
      </c>
      <c r="AN174" s="579">
        <f t="shared" ca="1" si="78"/>
        <v>0</v>
      </c>
      <c r="AO174" s="580">
        <f t="shared" ca="1" si="88"/>
        <v>0</v>
      </c>
      <c r="AP174" s="27">
        <f t="shared" ca="1" si="89"/>
        <v>0</v>
      </c>
      <c r="AQ174" s="933">
        <f t="shared" si="75"/>
        <v>2.0000000000000001E-4</v>
      </c>
      <c r="AR174" s="933">
        <f t="shared" ca="1" si="76"/>
        <v>1E-4</v>
      </c>
    </row>
    <row r="175" spans="1:44" ht="12.75" hidden="1" customHeight="1" x14ac:dyDescent="0.2">
      <c r="A175" s="851" t="str">
        <f t="shared" ca="1" si="79"/>
        <v/>
      </c>
      <c r="B175" s="77">
        <f t="shared" si="80"/>
        <v>0</v>
      </c>
      <c r="C175" s="853" t="str">
        <f t="shared" ca="1" si="73"/>
        <v/>
      </c>
      <c r="D175" s="76">
        <f t="shared" ca="1" si="81"/>
        <v>10000</v>
      </c>
      <c r="E175" s="855" t="str">
        <f t="shared" ca="1" si="74"/>
        <v/>
      </c>
      <c r="F175" s="899">
        <f t="shared" si="82"/>
        <v>0</v>
      </c>
      <c r="G175" s="897" t="str">
        <f t="shared" ca="1" si="77"/>
        <v/>
      </c>
      <c r="H175" s="265" t="s">
        <v>80</v>
      </c>
      <c r="I175" s="38" t="s">
        <v>32</v>
      </c>
      <c r="J175" s="585"/>
      <c r="K175" s="586"/>
      <c r="L175" s="587"/>
      <c r="M175" s="857">
        <f ca="1">(IF(COUNT(V175,AA175,AD175,AI175,AJ175,AL175)&lt;5,SUM(V175,AA175,AD175,AI175,AJ175,AL175),SUM(LARGE((V175,AA175,AD175,AI175,AJ175,AL175),{1;2;3;4;5}))))+(IF(COUNT(U175,W175,AB175,AC175,AE175,AK175)&lt;5,SUM(U175,W175,AB175,AC175,AE175,AK175),SUM(LARGE((U175,W175,AB175,AC175,AE175,AK175),{1;2;3;4;5}))))+T175</f>
        <v>0</v>
      </c>
      <c r="N175" s="862">
        <f ca="1">IF(I175="n",((IF(COUNT(V175,AA175,AD175,AI175,AJ175,AL175)&lt;5,SUM(V175,AA175,AD175,AI175,AJ175,AL175),SUM(LARGE((V175,AA175,AD175,AI175,AJ175,AL175),{1;2;3;4;5}))))+(IF(COUNT(U175,Y175,AB175,AC175,AG175,AK175)&lt;5,SUM(U175,Y175,AB175,AC175,AG175,AK175),SUM(LARGE((U175,Y175,AB175,AC175,AG175,AK175),{1;2;3;4;5}))))+T175),0)</f>
        <v>0</v>
      </c>
      <c r="O175" s="863">
        <f>IF(J175="j",((IF(COUNT(V175,AA175,AD175,AI175,AJ175,AL175)&lt;5,SUM(V175,AA175,AD175,AI175,AJ175,AL175),SUM(LARGE((V175,AA175,AD175,AI175,AJ175,AL175),{1;2;3;4;5}))))+(IF(COUNT(U175,W175,AB175,AC175,AE175,AK175)&lt;5,SUM(U175,W175,AB175,AC175,AE175,AK175),SUM(LARGE((U175,W175,AB175,AC175,AE175,AK175),{1;2;3;4;5}))))+T175),0)</f>
        <v>0</v>
      </c>
      <c r="P175" s="886" t="str">
        <f t="shared" ca="1" si="83"/>
        <v>000,0</v>
      </c>
      <c r="Q175" s="890">
        <f t="shared" si="84"/>
        <v>143</v>
      </c>
      <c r="R175" s="886" t="str">
        <f t="shared" ca="1" si="85"/>
        <v>0000,0-143</v>
      </c>
      <c r="S175" s="889">
        <f t="shared" ca="1" si="86"/>
        <v>27</v>
      </c>
      <c r="T175" s="847"/>
      <c r="U175" s="75" t="str">
        <f>IFERROR(INDEX('1'!C$300:C$400,MATCH("*"&amp;H175&amp;"*",'1'!B$300:B$400,0)),"  ")</f>
        <v xml:space="preserve">  </v>
      </c>
      <c r="V175" s="199" t="str">
        <f>IFERROR(INDEX('2'!C$300:C$400,MATCH("*"&amp;H175&amp;"*",'2'!B$300:B$400,0)),"  ")</f>
        <v xml:space="preserve">  </v>
      </c>
      <c r="W175" s="199" t="str">
        <f ca="1">IF(I175="",IFERROR(INDEX('3M'!C$300:C$400,MATCH("*"&amp;H175&amp;"*",'3M'!B$300:B$400,0)),"  "),IFERROR(INDEX('3N'!D$300:D$400,MATCH("*"&amp;H175&amp;"*",'3N'!B$300:B$400,0)),"  "))</f>
        <v xml:space="preserve">  </v>
      </c>
      <c r="X175" s="908" t="str">
        <f ca="1">IFERROR(INDEX('3M'!C$300:C$400,MATCH("*"&amp;H175&amp;"*",'3M'!B$300:B$400,0)),"  ")</f>
        <v xml:space="preserve">  </v>
      </c>
      <c r="Y175" s="907" t="str">
        <f ca="1">IFERROR(INDEX('3N'!C$300:C$400,MATCH("*"&amp;H175&amp;"*",'3N'!B$300:B$400,0)),"  ")</f>
        <v xml:space="preserve">  </v>
      </c>
      <c r="Z175" s="440"/>
      <c r="AA175" s="75" t="str">
        <f>IFERROR(INDEX('4'!C$300:C$400,MATCH("*"&amp;H175&amp;"*",'4'!B$300:B$400,0)),"  ")</f>
        <v xml:space="preserve">  </v>
      </c>
      <c r="AB175" s="75" t="str">
        <f>IFERROR(INDEX('5'!C$300:C$400,MATCH("*"&amp;H175&amp;"*",'5'!B$300:B$400,0)),"  ")</f>
        <v xml:space="preserve">  </v>
      </c>
      <c r="AC175" s="75" t="str">
        <f>IFERROR(INDEX('6'!C$300:C$400,MATCH("*"&amp;H175&amp;"*",'6'!B$300:B$400,0)),"  ")</f>
        <v xml:space="preserve">  </v>
      </c>
      <c r="AD175" s="75" t="str">
        <f>IFERROR(INDEX('7'!C$300:C$400,MATCH("*"&amp;H175&amp;"*",'7'!B$300:B$400,0)),"  ")</f>
        <v xml:space="preserve">  </v>
      </c>
      <c r="AE175" s="75" t="str">
        <f>IF(I175="",IFERROR(INDEX('8M'!C$300:C$400,MATCH("*"&amp;H175&amp;"*",'8M'!B$300:B$400,0)),"  "),IFERROR(INDEX('8N'!D$300:D$400,MATCH("*"&amp;H175&amp;"*",'8N'!B$300:B$400,0)),"  "))</f>
        <v xml:space="preserve">  </v>
      </c>
      <c r="AF175" s="908" t="str">
        <f>IFERROR(INDEX('8M'!C$300:C$400,MATCH("*"&amp;H175&amp;"*",'8M'!B$300:B$400,0)),"  ")</f>
        <v xml:space="preserve">  </v>
      </c>
      <c r="AG175" s="907" t="str">
        <f>IFERROR(INDEX('8N'!C$300:C$400,MATCH("*"&amp;H175&amp;"*",'8N'!B$300:B$400,0)),"  ")</f>
        <v xml:space="preserve">  </v>
      </c>
      <c r="AH175" s="440"/>
      <c r="AI175" s="75" t="str">
        <f>IFERROR(INDEX('9'!C$300:C$400,MATCH("*"&amp;H175&amp;"*",'9'!B$300:B$400,0)),"  ")</f>
        <v xml:space="preserve">  </v>
      </c>
      <c r="AJ175" s="830" t="str">
        <f>IFERROR(INDEX('10'!C$300:C$400,MATCH("*"&amp;H175&amp;"*",'10'!B$300:B$400,0)),"  ")</f>
        <v xml:space="preserve">  </v>
      </c>
      <c r="AK175" s="75" t="str">
        <f>IFERROR(INDEX('11'!C$300:C$400,MATCH("*"&amp;H175&amp;"*",'11'!B$300:B$400,0)),"  ")</f>
        <v xml:space="preserve">  </v>
      </c>
      <c r="AL175" s="75" t="str">
        <f>IFERROR(INDEX('12'!C$300:C$400,MATCH("*"&amp;H175&amp;"*",'12'!B$300:B$400,0)),"  ")</f>
        <v xml:space="preserve">  </v>
      </c>
      <c r="AM175" s="26">
        <f t="shared" ca="1" si="87"/>
        <v>0</v>
      </c>
      <c r="AN175" s="579">
        <f t="shared" ca="1" si="78"/>
        <v>0</v>
      </c>
      <c r="AO175" s="580">
        <f t="shared" ca="1" si="88"/>
        <v>0</v>
      </c>
      <c r="AP175" s="27">
        <f t="shared" ca="1" si="89"/>
        <v>0</v>
      </c>
      <c r="AQ175" s="933">
        <f t="shared" si="75"/>
        <v>2.0000000000000001E-4</v>
      </c>
      <c r="AR175" s="933">
        <f t="shared" ca="1" si="76"/>
        <v>1E-4</v>
      </c>
    </row>
    <row r="176" spans="1:44" ht="12.75" hidden="1" customHeight="1" x14ac:dyDescent="0.2">
      <c r="A176" s="851" t="str">
        <f t="shared" ca="1" si="79"/>
        <v/>
      </c>
      <c r="B176" s="77">
        <f t="shared" ca="1" si="80"/>
        <v>10000</v>
      </c>
      <c r="C176" s="853" t="str">
        <f t="shared" ca="1" si="73"/>
        <v/>
      </c>
      <c r="D176" s="76">
        <f t="shared" si="81"/>
        <v>0</v>
      </c>
      <c r="E176" s="855" t="str">
        <f t="shared" ca="1" si="74"/>
        <v/>
      </c>
      <c r="F176" s="899">
        <f t="shared" si="82"/>
        <v>0</v>
      </c>
      <c r="G176" s="897" t="str">
        <f t="shared" ca="1" si="77"/>
        <v/>
      </c>
      <c r="H176" s="133" t="s">
        <v>42</v>
      </c>
      <c r="I176" s="38"/>
      <c r="J176" s="585"/>
      <c r="K176" s="586"/>
      <c r="L176" s="587"/>
      <c r="M176" s="857">
        <f ca="1">(IF(COUNT(V176,AA176,AD176,AI176,AJ176,AL176)&lt;5,SUM(V176,AA176,AD176,AI176,AJ176,AL176),SUM(LARGE((V176,AA176,AD176,AI176,AJ176,AL176),{1;2;3;4;5}))))+(IF(COUNT(U176,W176,AB176,AC176,AE176,AK176)&lt;5,SUM(U176,W176,AB176,AC176,AE176,AK176),SUM(LARGE((U176,W176,AB176,AC176,AE176,AK176),{1;2;3;4;5}))))+T176</f>
        <v>0</v>
      </c>
      <c r="N176" s="862">
        <f>IF(I176="n",((IF(COUNT(V176,AA176,AD176,AI176,AJ176,AL176)&lt;5,SUM(V176,AA176,AD176,AI176,AJ176,AL176),SUM(LARGE((V176,AA176,AD176,AI176,AJ176,AL176),{1;2;3;4;5}))))+(IF(COUNT(U176,Y176,AB176,AC176,AG176,AK176)&lt;5,SUM(U176,Y176,AB176,AC176,AG176,AK176),SUM(LARGE((U176,Y176,AB176,AC176,AG176,AK176),{1;2;3;4;5}))))+T176),0)</f>
        <v>0</v>
      </c>
      <c r="O176" s="863">
        <f>IF(J176="j",((IF(COUNT(V176,AA176,AD176,AI176,AJ176,AL176)&lt;5,SUM(V176,AA176,AD176,AI176,AJ176,AL176),SUM(LARGE((V176,AA176,AD176,AI176,AJ176,AL176),{1;2;3;4;5}))))+(IF(COUNT(U176,W176,AB176,AC176,AE176,AK176)&lt;5,SUM(U176,W176,AB176,AC176,AE176,AK176),SUM(LARGE((U176,W176,AB176,AC176,AE176,AK176),{1;2;3;4;5}))))+T176),0)</f>
        <v>0</v>
      </c>
      <c r="P176" s="886" t="str">
        <f t="shared" ca="1" si="83"/>
        <v>000,0</v>
      </c>
      <c r="Q176" s="890">
        <f t="shared" si="84"/>
        <v>132</v>
      </c>
      <c r="R176" s="886" t="str">
        <f t="shared" ca="1" si="85"/>
        <v>0000,0-132</v>
      </c>
      <c r="S176" s="889">
        <f t="shared" ca="1" si="86"/>
        <v>26</v>
      </c>
      <c r="T176" s="847"/>
      <c r="U176" s="75" t="str">
        <f>IFERROR(INDEX('1'!C$300:C$400,MATCH("*"&amp;H176&amp;"*",'1'!B$300:B$400,0)),"  ")</f>
        <v xml:space="preserve">  </v>
      </c>
      <c r="V176" s="199" t="str">
        <f>IFERROR(INDEX('2'!C$300:C$400,MATCH("*"&amp;H176&amp;"*",'2'!B$300:B$400,0)),"  ")</f>
        <v xml:space="preserve">  </v>
      </c>
      <c r="W176" s="199" t="str">
        <f ca="1">IF(I176="",IFERROR(INDEX('3M'!C$300:C$400,MATCH("*"&amp;H176&amp;"*",'3M'!B$300:B$400,0)),"  "),IFERROR(INDEX('3N'!D$300:D$400,MATCH("*"&amp;H176&amp;"*",'3N'!B$300:B$400,0)),"  "))</f>
        <v xml:space="preserve">  </v>
      </c>
      <c r="X176" s="908" t="str">
        <f ca="1">IFERROR(INDEX('3M'!C$300:C$400,MATCH("*"&amp;H176&amp;"*",'3M'!B$300:B$400,0)),"  ")</f>
        <v xml:space="preserve">  </v>
      </c>
      <c r="Y176" s="907" t="str">
        <f ca="1">IFERROR(INDEX('3N'!C$300:C$400,MATCH("*"&amp;H176&amp;"*",'3N'!B$300:B$400,0)),"  ")</f>
        <v xml:space="preserve">  </v>
      </c>
      <c r="Z176" s="440"/>
      <c r="AA176" s="75" t="str">
        <f>IFERROR(INDEX('4'!C$300:C$400,MATCH("*"&amp;H176&amp;"*",'4'!B$300:B$400,0)),"  ")</f>
        <v xml:space="preserve">  </v>
      </c>
      <c r="AB176" s="75" t="str">
        <f>IFERROR(INDEX('5'!C$300:C$400,MATCH("*"&amp;H176&amp;"*",'5'!B$300:B$400,0)),"  ")</f>
        <v xml:space="preserve">  </v>
      </c>
      <c r="AC176" s="75" t="str">
        <f>IFERROR(INDEX('6'!C$300:C$400,MATCH("*"&amp;H176&amp;"*",'6'!B$300:B$400,0)),"  ")</f>
        <v xml:space="preserve">  </v>
      </c>
      <c r="AD176" s="75" t="str">
        <f>IFERROR(INDEX('7'!C$300:C$400,MATCH("*"&amp;H176&amp;"*",'7'!B$300:B$400,0)),"  ")</f>
        <v xml:space="preserve">  </v>
      </c>
      <c r="AE176" s="75" t="str">
        <f>IF(I176="",IFERROR(INDEX('8M'!C$300:C$400,MATCH("*"&amp;H176&amp;"*",'8M'!B$300:B$400,0)),"  "),IFERROR(INDEX('8N'!D$300:D$400,MATCH("*"&amp;H176&amp;"*",'8N'!B$300:B$400,0)),"  "))</f>
        <v xml:space="preserve">  </v>
      </c>
      <c r="AF176" s="908" t="str">
        <f>IFERROR(INDEX('8M'!C$300:C$400,MATCH("*"&amp;H176&amp;"*",'8M'!B$300:B$400,0)),"  ")</f>
        <v xml:space="preserve">  </v>
      </c>
      <c r="AG176" s="907" t="str">
        <f>IFERROR(INDEX('8N'!C$300:C$400,MATCH("*"&amp;H176&amp;"*",'8N'!B$300:B$400,0)),"  ")</f>
        <v xml:space="preserve">  </v>
      </c>
      <c r="AH176" s="440"/>
      <c r="AI176" s="75" t="str">
        <f>IFERROR(INDEX('9'!C$300:C$400,MATCH("*"&amp;H176&amp;"*",'9'!B$300:B$400,0)),"  ")</f>
        <v xml:space="preserve">  </v>
      </c>
      <c r="AJ176" s="830" t="str">
        <f>IFERROR(INDEX('10'!C$300:C$400,MATCH("*"&amp;H176&amp;"*",'10'!B$300:B$400,0)),"  ")</f>
        <v xml:space="preserve">  </v>
      </c>
      <c r="AK176" s="75" t="str">
        <f>IFERROR(INDEX('11'!C$300:C$400,MATCH("*"&amp;H176&amp;"*",'11'!B$300:B$400,0)),"  ")</f>
        <v xml:space="preserve">  </v>
      </c>
      <c r="AL176" s="75" t="str">
        <f>IFERROR(INDEX('12'!C$300:C$400,MATCH("*"&amp;H176&amp;"*",'12'!B$300:B$400,0)),"  ")</f>
        <v xml:space="preserve">  </v>
      </c>
      <c r="AM176" s="26">
        <f t="shared" ca="1" si="87"/>
        <v>0</v>
      </c>
      <c r="AN176" s="579">
        <f t="shared" ca="1" si="78"/>
        <v>0</v>
      </c>
      <c r="AO176" s="580">
        <f t="shared" ca="1" si="88"/>
        <v>0</v>
      </c>
      <c r="AP176" s="27">
        <f t="shared" ca="1" si="89"/>
        <v>0</v>
      </c>
      <c r="AQ176" s="933">
        <f t="shared" si="75"/>
        <v>2.0000000000000001E-4</v>
      </c>
      <c r="AR176" s="933">
        <f t="shared" ca="1" si="76"/>
        <v>1E-4</v>
      </c>
    </row>
    <row r="177" spans="1:44" ht="12.75" hidden="1" customHeight="1" x14ac:dyDescent="0.2">
      <c r="A177" s="851" t="str">
        <f t="shared" ca="1" si="79"/>
        <v/>
      </c>
      <c r="B177" s="77">
        <f t="shared" ca="1" si="80"/>
        <v>10000</v>
      </c>
      <c r="C177" s="853" t="str">
        <f t="shared" ca="1" si="73"/>
        <v/>
      </c>
      <c r="D177" s="76">
        <f t="shared" si="81"/>
        <v>0</v>
      </c>
      <c r="E177" s="855" t="str">
        <f t="shared" ca="1" si="74"/>
        <v/>
      </c>
      <c r="F177" s="899">
        <f t="shared" si="82"/>
        <v>0</v>
      </c>
      <c r="G177" s="897" t="str">
        <f t="shared" ca="1" si="77"/>
        <v/>
      </c>
      <c r="H177" s="133" t="s">
        <v>625</v>
      </c>
      <c r="I177" s="38"/>
      <c r="J177" s="585"/>
      <c r="K177" s="586"/>
      <c r="L177" s="587"/>
      <c r="M177" s="857">
        <f ca="1">(IF(COUNT(V177,AA177,AD177,AI177,AJ177,AL177)&lt;5,SUM(V177,AA177,AD177,AI177,AJ177,AL177),SUM(LARGE((V177,AA177,AD177,AI177,AJ177,AL177),{1;2;3;4;5}))))+(IF(COUNT(U177,W177,AB177,AC177,AE177,AK177)&lt;5,SUM(U177,W177,AB177,AC177,AE177,AK177),SUM(LARGE((U177,W177,AB177,AC177,AE177,AK177),{1;2;3;4;5}))))+T177</f>
        <v>0</v>
      </c>
      <c r="N177" s="862">
        <f>IF(I177="n",((IF(COUNT(V177,AA177,AD177,AI177,AJ177,AL177)&lt;5,SUM(V177,AA177,AD177,AI177,AJ177,AL177),SUM(LARGE((V177,AA177,AD177,AI177,AJ177,AL177),{1;2;3;4;5}))))+(IF(COUNT(U177,Y177,AB177,AC177,AG177,AK177)&lt;5,SUM(U177,Y177,AB177,AC177,AG177,AK177),SUM(LARGE((U177,Y177,AB177,AC177,AG177,AK177),{1;2;3;4;5}))))+T177),0)</f>
        <v>0</v>
      </c>
      <c r="O177" s="863">
        <f>IF(J177="j",((IF(COUNT(V177,AA177,AD177,AI177,AJ177,AL177)&lt;5,SUM(V177,AA177,AD177,AI177,AJ177,AL177),SUM(LARGE((V177,AA177,AD177,AI177,AJ177,AL177),{1;2;3;4;5}))))+(IF(COUNT(U177,W177,AB177,AC177,AE177,AK177)&lt;5,SUM(U177,W177,AB177,AC177,AE177,AK177),SUM(LARGE((U177,W177,AB177,AC177,AE177,AK177),{1;2;3;4;5}))))+T177),0)</f>
        <v>0</v>
      </c>
      <c r="P177" s="886" t="str">
        <f t="shared" ca="1" si="83"/>
        <v>000,0</v>
      </c>
      <c r="Q177" s="890">
        <f t="shared" si="84"/>
        <v>130</v>
      </c>
      <c r="R177" s="886" t="str">
        <f t="shared" ca="1" si="85"/>
        <v>0000,0-130</v>
      </c>
      <c r="S177" s="889">
        <f t="shared" ca="1" si="86"/>
        <v>25</v>
      </c>
      <c r="T177" s="847"/>
      <c r="U177" s="75" t="str">
        <f>IFERROR(INDEX('1'!C$300:C$400,MATCH("*"&amp;H177&amp;"*",'1'!B$300:B$400,0)),"  ")</f>
        <v xml:space="preserve">  </v>
      </c>
      <c r="V177" s="199" t="str">
        <f>IFERROR(INDEX('2'!C$300:C$400,MATCH("*"&amp;H177&amp;"*",'2'!B$300:B$400,0)),"  ")</f>
        <v xml:space="preserve">  </v>
      </c>
      <c r="W177" s="199" t="str">
        <f ca="1">IF(I177="",IFERROR(INDEX('3M'!C$300:C$400,MATCH("*"&amp;H177&amp;"*",'3M'!B$300:B$400,0)),"  "),IFERROR(INDEX('3N'!D$300:D$400,MATCH("*"&amp;H177&amp;"*",'3N'!B$300:B$400,0)),"  "))</f>
        <v xml:space="preserve">  </v>
      </c>
      <c r="X177" s="908" t="str">
        <f ca="1">IFERROR(INDEX('3M'!C$300:C$400,MATCH("*"&amp;H177&amp;"*",'3M'!B$300:B$400,0)),"  ")</f>
        <v xml:space="preserve">  </v>
      </c>
      <c r="Y177" s="907" t="str">
        <f ca="1">IFERROR(INDEX('3N'!C$300:C$400,MATCH("*"&amp;H177&amp;"*",'3N'!B$300:B$400,0)),"  ")</f>
        <v xml:space="preserve">  </v>
      </c>
      <c r="Z177" s="440"/>
      <c r="AA177" s="75" t="str">
        <f>IFERROR(INDEX('4'!C$300:C$400,MATCH("*"&amp;H177&amp;"*",'4'!B$300:B$400,0)),"  ")</f>
        <v xml:space="preserve">  </v>
      </c>
      <c r="AB177" s="75" t="str">
        <f>IFERROR(INDEX('5'!C$300:C$400,MATCH("*"&amp;H177&amp;"*",'5'!B$300:B$400,0)),"  ")</f>
        <v xml:space="preserve">  </v>
      </c>
      <c r="AC177" s="75" t="str">
        <f>IFERROR(INDEX('6'!C$300:C$400,MATCH("*"&amp;H177&amp;"*",'6'!B$300:B$400,0)),"  ")</f>
        <v xml:space="preserve">  </v>
      </c>
      <c r="AD177" s="75" t="str">
        <f>IFERROR(INDEX('7'!C$300:C$400,MATCH("*"&amp;H177&amp;"*",'7'!B$300:B$400,0)),"  ")</f>
        <v xml:space="preserve">  </v>
      </c>
      <c r="AE177" s="75" t="str">
        <f>IF(I177="",IFERROR(INDEX('8M'!C$300:C$400,MATCH("*"&amp;H177&amp;"*",'8M'!B$300:B$400,0)),"  "),IFERROR(INDEX('8N'!D$300:D$400,MATCH("*"&amp;H177&amp;"*",'8N'!B$300:B$400,0)),"  "))</f>
        <v xml:space="preserve">  </v>
      </c>
      <c r="AF177" s="908" t="str">
        <f>IFERROR(INDEX('8M'!C$300:C$400,MATCH("*"&amp;H177&amp;"*",'8M'!B$300:B$400,0)),"  ")</f>
        <v xml:space="preserve">  </v>
      </c>
      <c r="AG177" s="907" t="str">
        <f>IFERROR(INDEX('8N'!C$300:C$400,MATCH("*"&amp;H177&amp;"*",'8N'!B$300:B$400,0)),"  ")</f>
        <v xml:space="preserve">  </v>
      </c>
      <c r="AH177" s="440"/>
      <c r="AI177" s="75" t="str">
        <f>IFERROR(INDEX('9'!C$300:C$400,MATCH("*"&amp;H177&amp;"*",'9'!B$300:B$400,0)),"  ")</f>
        <v xml:space="preserve">  </v>
      </c>
      <c r="AJ177" s="830" t="str">
        <f>IFERROR(INDEX('10'!C$300:C$400,MATCH("*"&amp;H177&amp;"*",'10'!B$300:B$400,0)),"  ")</f>
        <v xml:space="preserve">  </v>
      </c>
      <c r="AK177" s="75" t="str">
        <f>IFERROR(INDEX('11'!C$300:C$400,MATCH("*"&amp;H177&amp;"*",'11'!B$300:B$400,0)),"  ")</f>
        <v xml:space="preserve">  </v>
      </c>
      <c r="AL177" s="75" t="str">
        <f>IFERROR(INDEX('12'!C$300:C$400,MATCH("*"&amp;H177&amp;"*",'12'!B$300:B$400,0)),"  ")</f>
        <v xml:space="preserve">  </v>
      </c>
      <c r="AM177" s="26">
        <f t="shared" ca="1" si="87"/>
        <v>0</v>
      </c>
      <c r="AN177" s="579">
        <f t="shared" ca="1" si="78"/>
        <v>0</v>
      </c>
      <c r="AO177" s="580">
        <f t="shared" ca="1" si="88"/>
        <v>0</v>
      </c>
      <c r="AP177" s="27">
        <f t="shared" ca="1" si="89"/>
        <v>0</v>
      </c>
      <c r="AQ177" s="933">
        <f t="shared" si="75"/>
        <v>2.0000000000000001E-4</v>
      </c>
      <c r="AR177" s="933">
        <f t="shared" ca="1" si="76"/>
        <v>1E-4</v>
      </c>
    </row>
    <row r="178" spans="1:44" ht="12.75" hidden="1" customHeight="1" x14ac:dyDescent="0.2">
      <c r="A178" s="851" t="str">
        <f t="shared" ca="1" si="79"/>
        <v/>
      </c>
      <c r="B178" s="77">
        <f t="shared" ca="1" si="80"/>
        <v>10000</v>
      </c>
      <c r="C178" s="853" t="str">
        <f t="shared" ca="1" si="73"/>
        <v/>
      </c>
      <c r="D178" s="76">
        <f t="shared" si="81"/>
        <v>0</v>
      </c>
      <c r="E178" s="855" t="str">
        <f t="shared" ca="1" si="74"/>
        <v/>
      </c>
      <c r="F178" s="899">
        <f t="shared" ca="1" si="82"/>
        <v>10000</v>
      </c>
      <c r="G178" s="897" t="str">
        <f t="shared" ca="1" si="77"/>
        <v/>
      </c>
      <c r="H178" s="133" t="s">
        <v>648</v>
      </c>
      <c r="I178" s="38"/>
      <c r="J178" s="589" t="s">
        <v>45</v>
      </c>
      <c r="K178" s="586"/>
      <c r="L178" s="587"/>
      <c r="M178" s="857">
        <f ca="1">(IF(COUNT(V178,AA178,AD178,AI178,AJ178,AL178)&lt;5,SUM(V178,AA178,AD178,AI178,AJ178,AL178),SUM(LARGE((V178,AA178,AD178,AI178,AJ178,AL178),{1;2;3;4;5}))))+(IF(COUNT(U178,W178,AB178,AC178,AE178,AK178)&lt;5,SUM(U178,W178,AB178,AC178,AE178,AK178),SUM(LARGE((U178,W178,AB178,AC178,AE178,AK178),{1;2;3;4;5}))))+T178</f>
        <v>0</v>
      </c>
      <c r="N178" s="862">
        <f>IF(I178="n",((IF(COUNT(V178,AA178,AD178,AI178,AJ178,AL178)&lt;5,SUM(V178,AA178,AD178,AI178,AJ178,AL178),SUM(LARGE((V178,AA178,AD178,AI178,AJ178,AL178),{1;2;3;4;5}))))+(IF(COUNT(U178,Y178,AB178,AC178,AG178,AK178)&lt;5,SUM(U178,Y178,AB178,AC178,AG178,AK178),SUM(LARGE((U178,Y178,AB178,AC178,AG178,AK178),{1;2;3;4;5}))))+T178),0)</f>
        <v>0</v>
      </c>
      <c r="O178" s="863">
        <f ca="1">IF(J178="j",((IF(COUNT(V178,AA178,AD178,AI178,AJ178,AL178)&lt;5,SUM(V178,AA178,AD178,AI178,AJ178,AL178),SUM(LARGE((V178,AA178,AD178,AI178,AJ178,AL178),{1;2;3;4;5}))))+(IF(COUNT(U178,W178,AB178,AC178,AE178,AK178)&lt;5,SUM(U178,W178,AB178,AC178,AE178,AK178),SUM(LARGE((U178,W178,AB178,AC178,AE178,AK178),{1;2;3;4;5}))))+T178),0)</f>
        <v>0</v>
      </c>
      <c r="P178" s="886" t="str">
        <f t="shared" ca="1" si="83"/>
        <v>000,0</v>
      </c>
      <c r="Q178" s="890">
        <f t="shared" si="84"/>
        <v>124</v>
      </c>
      <c r="R178" s="886" t="str">
        <f t="shared" ca="1" si="85"/>
        <v>0000,0-124</v>
      </c>
      <c r="S178" s="889">
        <f t="shared" ca="1" si="86"/>
        <v>24</v>
      </c>
      <c r="T178" s="847"/>
      <c r="U178" s="75" t="str">
        <f>IFERROR(INDEX('1'!C$300:C$400,MATCH("*"&amp;H178&amp;"*",'1'!B$300:B$400,0)),"  ")</f>
        <v xml:space="preserve">  </v>
      </c>
      <c r="V178" s="199" t="str">
        <f>IFERROR(INDEX('2'!C$300:C$400,MATCH("*"&amp;H178&amp;"*",'2'!B$300:B$400,0)),"  ")</f>
        <v xml:space="preserve">  </v>
      </c>
      <c r="W178" s="199" t="str">
        <f ca="1">IF(I178="",IFERROR(INDEX('3M'!C$300:C$400,MATCH("*"&amp;H178&amp;"*",'3M'!B$300:B$400,0)),"  "),IFERROR(INDEX('3N'!D$300:D$400,MATCH("*"&amp;H178&amp;"*",'3N'!B$300:B$400,0)),"  "))</f>
        <v xml:space="preserve">  </v>
      </c>
      <c r="X178" s="908" t="str">
        <f ca="1">IFERROR(INDEX('3M'!C$300:C$400,MATCH("*"&amp;H178&amp;"*",'3M'!B$300:B$400,0)),"  ")</f>
        <v xml:space="preserve">  </v>
      </c>
      <c r="Y178" s="907" t="str">
        <f ca="1">IFERROR(INDEX('3N'!C$300:C$400,MATCH("*"&amp;H178&amp;"*",'3N'!B$300:B$400,0)),"  ")</f>
        <v xml:space="preserve">  </v>
      </c>
      <c r="Z178" s="440"/>
      <c r="AA178" s="75" t="str">
        <f>IFERROR(INDEX('4'!C$300:C$400,MATCH("*"&amp;H178&amp;"*",'4'!B$300:B$400,0)),"  ")</f>
        <v xml:space="preserve">  </v>
      </c>
      <c r="AB178" s="75" t="str">
        <f>IFERROR(INDEX('5'!C$300:C$400,MATCH("*"&amp;H178&amp;"*",'5'!B$300:B$400,0)),"  ")</f>
        <v xml:space="preserve">  </v>
      </c>
      <c r="AC178" s="75" t="str">
        <f>IFERROR(INDEX('6'!C$300:C$400,MATCH("*"&amp;H178&amp;"*",'6'!B$300:B$400,0)),"  ")</f>
        <v xml:space="preserve">  </v>
      </c>
      <c r="AD178" s="75" t="str">
        <f>IFERROR(INDEX('7'!C$300:C$400,MATCH("*"&amp;H178&amp;"*",'7'!B$300:B$400,0)),"  ")</f>
        <v xml:space="preserve">  </v>
      </c>
      <c r="AE178" s="75" t="str">
        <f>IF(I178="",IFERROR(INDEX('8M'!C$300:C$400,MATCH("*"&amp;H178&amp;"*",'8M'!B$300:B$400,0)),"  "),IFERROR(INDEX('8N'!D$300:D$400,MATCH("*"&amp;H178&amp;"*",'8N'!B$300:B$400,0)),"  "))</f>
        <v xml:space="preserve">  </v>
      </c>
      <c r="AF178" s="908" t="str">
        <f>IFERROR(INDEX('8M'!C$300:C$400,MATCH("*"&amp;H178&amp;"*",'8M'!B$300:B$400,0)),"  ")</f>
        <v xml:space="preserve">  </v>
      </c>
      <c r="AG178" s="907" t="str">
        <f>IFERROR(INDEX('8N'!C$300:C$400,MATCH("*"&amp;H178&amp;"*",'8N'!B$300:B$400,0)),"  ")</f>
        <v xml:space="preserve">  </v>
      </c>
      <c r="AH178" s="440"/>
      <c r="AI178" s="75" t="str">
        <f>IFERROR(INDEX('9'!C$300:C$400,MATCH("*"&amp;H178&amp;"*",'9'!B$300:B$400,0)),"  ")</f>
        <v xml:space="preserve">  </v>
      </c>
      <c r="AJ178" s="830" t="str">
        <f>IFERROR(INDEX('10'!C$300:C$400,MATCH("*"&amp;H178&amp;"*",'10'!B$300:B$400,0)),"  ")</f>
        <v xml:space="preserve">  </v>
      </c>
      <c r="AK178" s="75" t="str">
        <f>IFERROR(INDEX('11'!C$300:C$400,MATCH("*"&amp;H178&amp;"*",'11'!B$300:B$400,0)),"  ")</f>
        <v xml:space="preserve">  </v>
      </c>
      <c r="AL178" s="75" t="str">
        <f>IFERROR(INDEX('12'!C$300:C$400,MATCH("*"&amp;H178&amp;"*",'12'!B$300:B$400,0)),"  ")</f>
        <v xml:space="preserve">  </v>
      </c>
      <c r="AM178" s="26">
        <f t="shared" ca="1" si="87"/>
        <v>0</v>
      </c>
      <c r="AN178" s="579">
        <f t="shared" ca="1" si="78"/>
        <v>0</v>
      </c>
      <c r="AO178" s="580">
        <f t="shared" ca="1" si="88"/>
        <v>0</v>
      </c>
      <c r="AP178" s="27">
        <f t="shared" ca="1" si="89"/>
        <v>0</v>
      </c>
      <c r="AQ178" s="933">
        <f t="shared" si="75"/>
        <v>2.0000000000000001E-4</v>
      </c>
      <c r="AR178" s="933">
        <f t="shared" ca="1" si="76"/>
        <v>1E-4</v>
      </c>
    </row>
    <row r="179" spans="1:44" ht="12.75" hidden="1" customHeight="1" x14ac:dyDescent="0.2">
      <c r="A179" s="851" t="str">
        <f t="shared" ca="1" si="79"/>
        <v/>
      </c>
      <c r="B179" s="77">
        <f t="shared" si="80"/>
        <v>0</v>
      </c>
      <c r="C179" s="853" t="str">
        <f t="shared" ca="1" si="73"/>
        <v/>
      </c>
      <c r="D179" s="76">
        <f t="shared" ca="1" si="81"/>
        <v>10000</v>
      </c>
      <c r="E179" s="855" t="str">
        <f t="shared" ca="1" si="74"/>
        <v/>
      </c>
      <c r="F179" s="899">
        <f t="shared" si="82"/>
        <v>0</v>
      </c>
      <c r="G179" s="897" t="str">
        <f t="shared" ca="1" si="77"/>
        <v/>
      </c>
      <c r="H179" s="265" t="s">
        <v>295</v>
      </c>
      <c r="I179" s="38" t="s">
        <v>32</v>
      </c>
      <c r="J179" s="585"/>
      <c r="K179" s="586"/>
      <c r="L179" s="587"/>
      <c r="M179" s="857">
        <f ca="1">(IF(COUNT(V179,AA179,AD179,AI179,AJ179,AL179)&lt;5,SUM(V179,AA179,AD179,AI179,AJ179,AL179),SUM(LARGE((V179,AA179,AD179,AI179,AJ179,AL179),{1;2;3;4;5}))))+(IF(COUNT(U179,W179,AB179,AC179,AE179,AK179)&lt;5,SUM(U179,W179,AB179,AC179,AE179,AK179),SUM(LARGE((U179,W179,AB179,AC179,AE179,AK179),{1;2;3;4;5}))))+T179</f>
        <v>0</v>
      </c>
      <c r="N179" s="862">
        <f ca="1">IF(I179="n",((IF(COUNT(V179,AA179,AD179,AI179,AJ179,AL179)&lt;5,SUM(V179,AA179,AD179,AI179,AJ179,AL179),SUM(LARGE((V179,AA179,AD179,AI179,AJ179,AL179),{1;2;3;4;5}))))+(IF(COUNT(U179,Y179,AB179,AC179,AG179,AK179)&lt;5,SUM(U179,Y179,AB179,AC179,AG179,AK179),SUM(LARGE((U179,Y179,AB179,AC179,AG179,AK179),{1;2;3;4;5}))))+T179),0)</f>
        <v>0</v>
      </c>
      <c r="O179" s="863">
        <f>IF(J179="j",((IF(COUNT(V179,AA179,AD179,AI179,AJ179,AL179)&lt;5,SUM(V179,AA179,AD179,AI179,AJ179,AL179),SUM(LARGE((V179,AA179,AD179,AI179,AJ179,AL179),{1;2;3;4;5}))))+(IF(COUNT(U179,W179,AB179,AC179,AE179,AK179)&lt;5,SUM(U179,W179,AB179,AC179,AE179,AK179),SUM(LARGE((U179,W179,AB179,AC179,AE179,AK179),{1;2;3;4;5}))))+T179),0)</f>
        <v>0</v>
      </c>
      <c r="P179" s="886" t="str">
        <f t="shared" ca="1" si="83"/>
        <v>000,0</v>
      </c>
      <c r="Q179" s="890">
        <f t="shared" si="84"/>
        <v>113</v>
      </c>
      <c r="R179" s="886" t="str">
        <f t="shared" ca="1" si="85"/>
        <v>0000,0-113</v>
      </c>
      <c r="S179" s="889">
        <f t="shared" ca="1" si="86"/>
        <v>23</v>
      </c>
      <c r="T179" s="847"/>
      <c r="U179" s="75" t="str">
        <f>IFERROR(INDEX('1'!C$300:C$400,MATCH("*"&amp;H179&amp;"*",'1'!B$300:B$400,0)),"  ")</f>
        <v xml:space="preserve">  </v>
      </c>
      <c r="V179" s="199" t="str">
        <f>IFERROR(INDEX('2'!C$300:C$400,MATCH("*"&amp;H179&amp;"*",'2'!B$300:B$400,0)),"  ")</f>
        <v xml:space="preserve">  </v>
      </c>
      <c r="W179" s="199" t="str">
        <f ca="1">IF(I179="",IFERROR(INDEX('3M'!C$300:C$400,MATCH("*"&amp;H179&amp;"*",'3M'!B$300:B$400,0)),"  "),IFERROR(INDEX('3N'!D$300:D$400,MATCH("*"&amp;H179&amp;"*",'3N'!B$300:B$400,0)),"  "))</f>
        <v xml:space="preserve">  </v>
      </c>
      <c r="X179" s="908" t="str">
        <f ca="1">IFERROR(INDEX('3M'!C$300:C$400,MATCH("*"&amp;H179&amp;"*",'3M'!B$300:B$400,0)),"  ")</f>
        <v xml:space="preserve">  </v>
      </c>
      <c r="Y179" s="907" t="str">
        <f ca="1">IFERROR(INDEX('3N'!C$300:C$400,MATCH("*"&amp;H179&amp;"*",'3N'!B$300:B$400,0)),"  ")</f>
        <v xml:space="preserve">  </v>
      </c>
      <c r="Z179" s="440"/>
      <c r="AA179" s="75" t="str">
        <f>IFERROR(INDEX('4'!C$300:C$400,MATCH("*"&amp;H179&amp;"*",'4'!B$300:B$400,0)),"  ")</f>
        <v xml:space="preserve">  </v>
      </c>
      <c r="AB179" s="75" t="str">
        <f>IFERROR(INDEX('5'!C$300:C$400,MATCH("*"&amp;H179&amp;"*",'5'!B$300:B$400,0)),"  ")</f>
        <v xml:space="preserve">  </v>
      </c>
      <c r="AC179" s="75" t="str">
        <f>IFERROR(INDEX('6'!C$300:C$400,MATCH("*"&amp;H179&amp;"*",'6'!B$300:B$400,0)),"  ")</f>
        <v xml:space="preserve">  </v>
      </c>
      <c r="AD179" s="75" t="str">
        <f>IFERROR(INDEX('7'!C$300:C$400,MATCH("*"&amp;H179&amp;"*",'7'!B$300:B$400,0)),"  ")</f>
        <v xml:space="preserve">  </v>
      </c>
      <c r="AE179" s="75" t="str">
        <f>IF(I179="",IFERROR(INDEX('8M'!C$300:C$400,MATCH("*"&amp;H179&amp;"*",'8M'!B$300:B$400,0)),"  "),IFERROR(INDEX('8N'!D$300:D$400,MATCH("*"&amp;H179&amp;"*",'8N'!B$300:B$400,0)),"  "))</f>
        <v xml:space="preserve">  </v>
      </c>
      <c r="AF179" s="908" t="str">
        <f>IFERROR(INDEX('8M'!C$300:C$400,MATCH("*"&amp;H179&amp;"*",'8M'!B$300:B$400,0)),"  ")</f>
        <v xml:space="preserve">  </v>
      </c>
      <c r="AG179" s="907" t="str">
        <f>IFERROR(INDEX('8N'!C$300:C$400,MATCH("*"&amp;H179&amp;"*",'8N'!B$300:B$400,0)),"  ")</f>
        <v xml:space="preserve">  </v>
      </c>
      <c r="AH179" s="440"/>
      <c r="AI179" s="75" t="str">
        <f>IFERROR(INDEX('9'!C$300:C$400,MATCH("*"&amp;H179&amp;"*",'9'!B$300:B$400,0)),"  ")</f>
        <v xml:space="preserve">  </v>
      </c>
      <c r="AJ179" s="830" t="str">
        <f>IFERROR(INDEX('10'!C$300:C$400,MATCH("*"&amp;H179&amp;"*",'10'!B$300:B$400,0)),"  ")</f>
        <v xml:space="preserve">  </v>
      </c>
      <c r="AK179" s="75" t="str">
        <f>IFERROR(INDEX('11'!C$300:C$400,MATCH("*"&amp;H179&amp;"*",'11'!B$300:B$400,0)),"  ")</f>
        <v xml:space="preserve">  </v>
      </c>
      <c r="AL179" s="75" t="str">
        <f>IFERROR(INDEX('12'!C$300:C$400,MATCH("*"&amp;H179&amp;"*",'12'!B$300:B$400,0)),"  ")</f>
        <v xml:space="preserve">  </v>
      </c>
      <c r="AM179" s="26">
        <f t="shared" ca="1" si="87"/>
        <v>0</v>
      </c>
      <c r="AN179" s="579">
        <f t="shared" ca="1" si="78"/>
        <v>0</v>
      </c>
      <c r="AO179" s="580">
        <f t="shared" ca="1" si="88"/>
        <v>0</v>
      </c>
      <c r="AP179" s="27">
        <f t="shared" ca="1" si="89"/>
        <v>0</v>
      </c>
      <c r="AQ179" s="933">
        <f t="shared" si="75"/>
        <v>2.0000000000000001E-4</v>
      </c>
      <c r="AR179" s="933">
        <f t="shared" ca="1" si="76"/>
        <v>1E-4</v>
      </c>
    </row>
    <row r="180" spans="1:44" ht="12.75" hidden="1" customHeight="1" x14ac:dyDescent="0.2">
      <c r="A180" s="851" t="str">
        <f t="shared" ca="1" si="79"/>
        <v/>
      </c>
      <c r="B180" s="77">
        <f t="shared" si="80"/>
        <v>0</v>
      </c>
      <c r="C180" s="853" t="str">
        <f t="shared" ca="1" si="73"/>
        <v/>
      </c>
      <c r="D180" s="76">
        <f t="shared" ca="1" si="81"/>
        <v>10000</v>
      </c>
      <c r="E180" s="855" t="str">
        <f t="shared" ca="1" si="74"/>
        <v/>
      </c>
      <c r="F180" s="899">
        <f t="shared" si="82"/>
        <v>0</v>
      </c>
      <c r="G180" s="897" t="str">
        <f t="shared" ca="1" si="77"/>
        <v/>
      </c>
      <c r="H180" s="133" t="s">
        <v>309</v>
      </c>
      <c r="I180" s="38" t="s">
        <v>32</v>
      </c>
      <c r="J180" s="589"/>
      <c r="K180" s="586" t="s">
        <v>718</v>
      </c>
      <c r="L180" s="587"/>
      <c r="M180" s="857">
        <f ca="1">(IF(COUNT(V180,AA180,AD180,AI180,AJ180,AL180)&lt;5,SUM(V180,AA180,AD180,AI180,AJ180,AL180),SUM(LARGE((V180,AA180,AD180,AI180,AJ180,AL180),{1;2;3;4;5}))))+(IF(COUNT(U180,W180,AB180,AC180,AE180,AK180)&lt;5,SUM(U180,W180,AB180,AC180,AE180,AK180),SUM(LARGE((U180,W180,AB180,AC180,AE180,AK180),{1;2;3;4;5}))))+T180</f>
        <v>0</v>
      </c>
      <c r="N180" s="862">
        <f ca="1">IF(I180="n",((IF(COUNT(V180,AA180,AD180,AI180,AJ180,AL180)&lt;5,SUM(V180,AA180,AD180,AI180,AJ180,AL180),SUM(LARGE((V180,AA180,AD180,AI180,AJ180,AL180),{1;2;3;4;5}))))+(IF(COUNT(U180,Y180,AB180,AC180,AG180,AK180)&lt;5,SUM(U180,Y180,AB180,AC180,AG180,AK180),SUM(LARGE((U180,Y180,AB180,AC180,AG180,AK180),{1;2;3;4;5}))))+T180),0)</f>
        <v>0</v>
      </c>
      <c r="O180" s="863">
        <f>IF(J180="j",((IF(COUNT(V180,AA180,AD180,AI180,AJ180,AL180)&lt;5,SUM(V180,AA180,AD180,AI180,AJ180,AL180),SUM(LARGE((V180,AA180,AD180,AI180,AJ180,AL180),{1;2;3;4;5}))))+(IF(COUNT(U180,W180,AB180,AC180,AE180,AK180)&lt;5,SUM(U180,W180,AB180,AC180,AE180,AK180),SUM(LARGE((U180,W180,AB180,AC180,AE180,AK180),{1;2;3;4;5}))))+T180),0)</f>
        <v>0</v>
      </c>
      <c r="P180" s="886" t="str">
        <f t="shared" ca="1" si="83"/>
        <v>000,0</v>
      </c>
      <c r="Q180" s="890">
        <f t="shared" si="84"/>
        <v>105</v>
      </c>
      <c r="R180" s="886" t="str">
        <f t="shared" ca="1" si="85"/>
        <v>0000,0-105</v>
      </c>
      <c r="S180" s="889">
        <f t="shared" ca="1" si="86"/>
        <v>22</v>
      </c>
      <c r="T180" s="847"/>
      <c r="U180" s="75" t="str">
        <f>IFERROR(INDEX('1'!C$300:C$400,MATCH("*"&amp;H180&amp;"*",'1'!B$300:B$400,0)),"  ")</f>
        <v xml:space="preserve">  </v>
      </c>
      <c r="V180" s="199" t="str">
        <f>IFERROR(INDEX('2'!C$300:C$400,MATCH("*"&amp;H180&amp;"*",'2'!B$300:B$400,0)),"  ")</f>
        <v xml:space="preserve">  </v>
      </c>
      <c r="W180" s="199" t="str">
        <f ca="1">IF(I180="",IFERROR(INDEX('3M'!C$300:C$400,MATCH("*"&amp;H180&amp;"*",'3M'!B$300:B$400,0)),"  "),IFERROR(INDEX('3N'!D$300:D$400,MATCH("*"&amp;H180&amp;"*",'3N'!B$300:B$400,0)),"  "))</f>
        <v xml:space="preserve">  </v>
      </c>
      <c r="X180" s="908" t="str">
        <f ca="1">IFERROR(INDEX('3M'!C$300:C$400,MATCH("*"&amp;H180&amp;"*",'3M'!B$300:B$400,0)),"  ")</f>
        <v xml:space="preserve">  </v>
      </c>
      <c r="Y180" s="907" t="str">
        <f ca="1">IFERROR(INDEX('3N'!C$300:C$400,MATCH("*"&amp;H180&amp;"*",'3N'!B$300:B$400,0)),"  ")</f>
        <v xml:space="preserve">  </v>
      </c>
      <c r="Z180" s="440"/>
      <c r="AA180" s="75" t="str">
        <f>IFERROR(INDEX('4'!C$300:C$400,MATCH("*"&amp;H180&amp;"*",'4'!B$300:B$400,0)),"  ")</f>
        <v xml:space="preserve">  </v>
      </c>
      <c r="AB180" s="75" t="str">
        <f>IFERROR(INDEX('5'!C$300:C$400,MATCH("*"&amp;H180&amp;"*",'5'!B$300:B$400,0)),"  ")</f>
        <v xml:space="preserve">  </v>
      </c>
      <c r="AC180" s="75" t="str">
        <f>IFERROR(INDEX('6'!C$300:C$400,MATCH("*"&amp;H180&amp;"*",'6'!B$300:B$400,0)),"  ")</f>
        <v xml:space="preserve">  </v>
      </c>
      <c r="AD180" s="75" t="str">
        <f>IFERROR(INDEX('7'!C$300:C$400,MATCH("*"&amp;H180&amp;"*",'7'!B$300:B$400,0)),"  ")</f>
        <v xml:space="preserve">  </v>
      </c>
      <c r="AE180" s="75" t="str">
        <f>IF(I180="",IFERROR(INDEX('8M'!C$300:C$400,MATCH("*"&amp;H180&amp;"*",'8M'!B$300:B$400,0)),"  "),IFERROR(INDEX('8N'!D$300:D$400,MATCH("*"&amp;H180&amp;"*",'8N'!B$300:B$400,0)),"  "))</f>
        <v xml:space="preserve">  </v>
      </c>
      <c r="AF180" s="908" t="str">
        <f>IFERROR(INDEX('8M'!C$300:C$400,MATCH("*"&amp;H180&amp;"*",'8M'!B$300:B$400,0)),"  ")</f>
        <v xml:space="preserve">  </v>
      </c>
      <c r="AG180" s="907" t="str">
        <f>IFERROR(INDEX('8N'!C$300:C$400,MATCH("*"&amp;H180&amp;"*",'8N'!B$300:B$400,0)),"  ")</f>
        <v xml:space="preserve">  </v>
      </c>
      <c r="AH180" s="440"/>
      <c r="AI180" s="75" t="str">
        <f>IFERROR(INDEX('9'!C$300:C$400,MATCH("*"&amp;H180&amp;"*",'9'!B$300:B$400,0)),"  ")</f>
        <v xml:space="preserve">  </v>
      </c>
      <c r="AJ180" s="830" t="str">
        <f>IFERROR(INDEX('10'!C$300:C$400,MATCH("*"&amp;H180&amp;"*",'10'!B$300:B$400,0)),"  ")</f>
        <v xml:space="preserve">  </v>
      </c>
      <c r="AK180" s="75" t="str">
        <f>IFERROR(INDEX('11'!C$300:C$400,MATCH("*"&amp;H180&amp;"*",'11'!B$300:B$400,0)),"  ")</f>
        <v xml:space="preserve">  </v>
      </c>
      <c r="AL180" s="75" t="str">
        <f>IFERROR(INDEX('12'!C$300:C$400,MATCH("*"&amp;H180&amp;"*",'12'!B$300:B$400,0)),"  ")</f>
        <v xml:space="preserve">  </v>
      </c>
      <c r="AM180" s="26">
        <f t="shared" ca="1" si="87"/>
        <v>0</v>
      </c>
      <c r="AN180" s="579">
        <f t="shared" ca="1" si="78"/>
        <v>0</v>
      </c>
      <c r="AO180" s="580">
        <f t="shared" ca="1" si="88"/>
        <v>0</v>
      </c>
      <c r="AP180" s="27">
        <f t="shared" ca="1" si="89"/>
        <v>0</v>
      </c>
      <c r="AQ180" s="933">
        <f t="shared" si="75"/>
        <v>2.0000000000000001E-4</v>
      </c>
      <c r="AR180" s="933">
        <f t="shared" ca="1" si="76"/>
        <v>1E-4</v>
      </c>
    </row>
    <row r="181" spans="1:44" ht="12.75" hidden="1" customHeight="1" x14ac:dyDescent="0.2">
      <c r="A181" s="851" t="str">
        <f t="shared" ca="1" si="79"/>
        <v/>
      </c>
      <c r="B181" s="77">
        <f t="shared" si="80"/>
        <v>0</v>
      </c>
      <c r="C181" s="853" t="str">
        <f t="shared" ca="1" si="73"/>
        <v/>
      </c>
      <c r="D181" s="76">
        <f t="shared" ca="1" si="81"/>
        <v>10000</v>
      </c>
      <c r="E181" s="855" t="str">
        <f t="shared" ca="1" si="74"/>
        <v/>
      </c>
      <c r="F181" s="899">
        <f t="shared" si="82"/>
        <v>0</v>
      </c>
      <c r="G181" s="897" t="str">
        <f t="shared" ca="1" si="77"/>
        <v/>
      </c>
      <c r="H181" s="133" t="s">
        <v>300</v>
      </c>
      <c r="I181" s="38" t="s">
        <v>32</v>
      </c>
      <c r="J181" s="589"/>
      <c r="K181" s="586" t="s">
        <v>718</v>
      </c>
      <c r="L181" s="587"/>
      <c r="M181" s="857">
        <f ca="1">(IF(COUNT(V181,AA181,AD181,AI181,AJ181,AL181)&lt;5,SUM(V181,AA181,AD181,AI181,AJ181,AL181),SUM(LARGE((V181,AA181,AD181,AI181,AJ181,AL181),{1;2;3;4;5}))))+(IF(COUNT(U181,W181,AB181,AC181,AE181,AK181)&lt;5,SUM(U181,W181,AB181,AC181,AE181,AK181),SUM(LARGE((U181,W181,AB181,AC181,AE181,AK181),{1;2;3;4;5}))))+T181</f>
        <v>0</v>
      </c>
      <c r="N181" s="862">
        <f ca="1">IF(I181="n",((IF(COUNT(V181,AA181,AD181,AI181,AJ181,AL181)&lt;5,SUM(V181,AA181,AD181,AI181,AJ181,AL181),SUM(LARGE((V181,AA181,AD181,AI181,AJ181,AL181),{1;2;3;4;5}))))+(IF(COUNT(U181,Y181,AB181,AC181,AG181,AK181)&lt;5,SUM(U181,Y181,AB181,AC181,AG181,AK181),SUM(LARGE((U181,Y181,AB181,AC181,AG181,AK181),{1;2;3;4;5}))))+T181),0)</f>
        <v>0</v>
      </c>
      <c r="O181" s="863">
        <f>IF(J181="j",((IF(COUNT(V181,AA181,AD181,AI181,AJ181,AL181)&lt;5,SUM(V181,AA181,AD181,AI181,AJ181,AL181),SUM(LARGE((V181,AA181,AD181,AI181,AJ181,AL181),{1;2;3;4;5}))))+(IF(COUNT(U181,W181,AB181,AC181,AE181,AK181)&lt;5,SUM(U181,W181,AB181,AC181,AE181,AK181),SUM(LARGE((U181,W181,AB181,AC181,AE181,AK181),{1;2;3;4;5}))))+T181),0)</f>
        <v>0</v>
      </c>
      <c r="P181" s="886" t="str">
        <f t="shared" ca="1" si="83"/>
        <v>000,0</v>
      </c>
      <c r="Q181" s="890">
        <f t="shared" si="84"/>
        <v>99</v>
      </c>
      <c r="R181" s="886" t="str">
        <f t="shared" ca="1" si="85"/>
        <v>0000,0-099</v>
      </c>
      <c r="S181" s="889">
        <f t="shared" ca="1" si="86"/>
        <v>21</v>
      </c>
      <c r="T181" s="847"/>
      <c r="U181" s="75" t="str">
        <f>IFERROR(INDEX('1'!C$300:C$400,MATCH("*"&amp;H181&amp;"*",'1'!B$300:B$400,0)),"  ")</f>
        <v xml:space="preserve">  </v>
      </c>
      <c r="V181" s="199" t="str">
        <f>IFERROR(INDEX('2'!C$300:C$400,MATCH("*"&amp;H181&amp;"*",'2'!B$300:B$400,0)),"  ")</f>
        <v xml:space="preserve">  </v>
      </c>
      <c r="W181" s="199" t="str">
        <f ca="1">IF(I181="",IFERROR(INDEX('3M'!C$300:C$400,MATCH("*"&amp;H181&amp;"*",'3M'!B$300:B$400,0)),"  "),IFERROR(INDEX('3N'!D$300:D$400,MATCH("*"&amp;H181&amp;"*",'3N'!B$300:B$400,0)),"  "))</f>
        <v xml:space="preserve">  </v>
      </c>
      <c r="X181" s="908" t="str">
        <f ca="1">IFERROR(INDEX('3M'!C$300:C$400,MATCH("*"&amp;H181&amp;"*",'3M'!B$300:B$400,0)),"  ")</f>
        <v xml:space="preserve">  </v>
      </c>
      <c r="Y181" s="907" t="str">
        <f ca="1">IFERROR(INDEX('3N'!C$300:C$400,MATCH("*"&amp;H181&amp;"*",'3N'!B$300:B$400,0)),"  ")</f>
        <v xml:space="preserve">  </v>
      </c>
      <c r="Z181" s="440"/>
      <c r="AA181" s="75" t="str">
        <f>IFERROR(INDEX('4'!C$300:C$400,MATCH("*"&amp;H181&amp;"*",'4'!B$300:B$400,0)),"  ")</f>
        <v xml:space="preserve">  </v>
      </c>
      <c r="AB181" s="75" t="str">
        <f>IFERROR(INDEX('5'!C$300:C$400,MATCH("*"&amp;H181&amp;"*",'5'!B$300:B$400,0)),"  ")</f>
        <v xml:space="preserve">  </v>
      </c>
      <c r="AC181" s="75" t="str">
        <f>IFERROR(INDEX('6'!C$300:C$400,MATCH("*"&amp;H181&amp;"*",'6'!B$300:B$400,0)),"  ")</f>
        <v xml:space="preserve">  </v>
      </c>
      <c r="AD181" s="75" t="str">
        <f>IFERROR(INDEX('7'!C$300:C$400,MATCH("*"&amp;H181&amp;"*",'7'!B$300:B$400,0)),"  ")</f>
        <v xml:space="preserve">  </v>
      </c>
      <c r="AE181" s="75" t="str">
        <f>IF(I181="",IFERROR(INDEX('8M'!C$300:C$400,MATCH("*"&amp;H181&amp;"*",'8M'!B$300:B$400,0)),"  "),IFERROR(INDEX('8N'!D$300:D$400,MATCH("*"&amp;H181&amp;"*",'8N'!B$300:B$400,0)),"  "))</f>
        <v xml:space="preserve">  </v>
      </c>
      <c r="AF181" s="908" t="str">
        <f>IFERROR(INDEX('8M'!C$300:C$400,MATCH("*"&amp;H181&amp;"*",'8M'!B$300:B$400,0)),"  ")</f>
        <v xml:space="preserve">  </v>
      </c>
      <c r="AG181" s="907" t="str">
        <f>IFERROR(INDEX('8N'!C$300:C$400,MATCH("*"&amp;H181&amp;"*",'8N'!B$300:B$400,0)),"  ")</f>
        <v xml:space="preserve">  </v>
      </c>
      <c r="AH181" s="440"/>
      <c r="AI181" s="75" t="str">
        <f>IFERROR(INDEX('9'!C$300:C$400,MATCH("*"&amp;H181&amp;"*",'9'!B$300:B$400,0)),"  ")</f>
        <v xml:space="preserve">  </v>
      </c>
      <c r="AJ181" s="830" t="str">
        <f>IFERROR(INDEX('10'!C$300:C$400,MATCH("*"&amp;H181&amp;"*",'10'!B$300:B$400,0)),"  ")</f>
        <v xml:space="preserve">  </v>
      </c>
      <c r="AK181" s="75" t="str">
        <f>IFERROR(INDEX('11'!C$300:C$400,MATCH("*"&amp;H181&amp;"*",'11'!B$300:B$400,0)),"  ")</f>
        <v xml:space="preserve">  </v>
      </c>
      <c r="AL181" s="75" t="str">
        <f>IFERROR(INDEX('12'!C$300:C$400,MATCH("*"&amp;H181&amp;"*",'12'!B$300:B$400,0)),"  ")</f>
        <v xml:space="preserve">  </v>
      </c>
      <c r="AM181" s="26">
        <f t="shared" ca="1" si="87"/>
        <v>0</v>
      </c>
      <c r="AN181" s="579">
        <f t="shared" ca="1" si="78"/>
        <v>0</v>
      </c>
      <c r="AO181" s="580">
        <f t="shared" ca="1" si="88"/>
        <v>0</v>
      </c>
      <c r="AP181" s="27">
        <f t="shared" ca="1" si="89"/>
        <v>0</v>
      </c>
      <c r="AQ181" s="933">
        <f t="shared" si="75"/>
        <v>2.0000000000000001E-4</v>
      </c>
      <c r="AR181" s="933">
        <f t="shared" ca="1" si="76"/>
        <v>1E-4</v>
      </c>
    </row>
    <row r="182" spans="1:44" ht="12.75" hidden="1" customHeight="1" x14ac:dyDescent="0.2">
      <c r="A182" s="851" t="str">
        <f t="shared" ca="1" si="79"/>
        <v/>
      </c>
      <c r="B182" s="77">
        <f t="shared" si="80"/>
        <v>0</v>
      </c>
      <c r="C182" s="853" t="str">
        <f t="shared" ca="1" si="73"/>
        <v/>
      </c>
      <c r="D182" s="76">
        <f t="shared" ca="1" si="81"/>
        <v>10000</v>
      </c>
      <c r="E182" s="855" t="str">
        <f t="shared" ca="1" si="74"/>
        <v/>
      </c>
      <c r="F182" s="899">
        <f t="shared" si="82"/>
        <v>0</v>
      </c>
      <c r="G182" s="897" t="str">
        <f t="shared" ca="1" si="77"/>
        <v/>
      </c>
      <c r="H182" s="133" t="s">
        <v>537</v>
      </c>
      <c r="I182" s="38" t="s">
        <v>32</v>
      </c>
      <c r="J182" s="585"/>
      <c r="K182" s="586"/>
      <c r="L182" s="587"/>
      <c r="M182" s="857">
        <f ca="1">(IF(COUNT(V182,AA182,AD182,AI182,AJ182,AL182)&lt;5,SUM(V182,AA182,AD182,AI182,AJ182,AL182),SUM(LARGE((V182,AA182,AD182,AI182,AJ182,AL182),{1;2;3;4;5}))))+(IF(COUNT(U182,W182,AB182,AC182,AE182,AK182)&lt;5,SUM(U182,W182,AB182,AC182,AE182,AK182),SUM(LARGE((U182,W182,AB182,AC182,AE182,AK182),{1;2;3;4;5}))))+T182</f>
        <v>0</v>
      </c>
      <c r="N182" s="862">
        <f ca="1">IF(I182="n",((IF(COUNT(V182,AA182,AD182,AI182,AJ182,AL182)&lt;5,SUM(V182,AA182,AD182,AI182,AJ182,AL182),SUM(LARGE((V182,AA182,AD182,AI182,AJ182,AL182),{1;2;3;4;5}))))+(IF(COUNT(U182,Y182,AB182,AC182,AG182,AK182)&lt;5,SUM(U182,Y182,AB182,AC182,AG182,AK182),SUM(LARGE((U182,Y182,AB182,AC182,AG182,AK182),{1;2;3;4;5}))))+T182),0)</f>
        <v>0</v>
      </c>
      <c r="O182" s="863">
        <f>IF(J182="j",((IF(COUNT(V182,AA182,AD182,AI182,AJ182,AL182)&lt;5,SUM(V182,AA182,AD182,AI182,AJ182,AL182),SUM(LARGE((V182,AA182,AD182,AI182,AJ182,AL182),{1;2;3;4;5}))))+(IF(COUNT(U182,W182,AB182,AC182,AE182,AK182)&lt;5,SUM(U182,W182,AB182,AC182,AE182,AK182),SUM(LARGE((U182,W182,AB182,AC182,AE182,AK182),{1;2;3;4;5}))))+T182),0)</f>
        <v>0</v>
      </c>
      <c r="P182" s="886" t="str">
        <f t="shared" ca="1" si="83"/>
        <v>000,0</v>
      </c>
      <c r="Q182" s="890">
        <f t="shared" si="84"/>
        <v>93</v>
      </c>
      <c r="R182" s="886" t="str">
        <f t="shared" ca="1" si="85"/>
        <v>0000,0-093</v>
      </c>
      <c r="S182" s="889">
        <f t="shared" ca="1" si="86"/>
        <v>20</v>
      </c>
      <c r="T182" s="847"/>
      <c r="U182" s="75" t="str">
        <f>IFERROR(INDEX('1'!C$300:C$400,MATCH("*"&amp;H182&amp;"*",'1'!B$300:B$400,0)),"  ")</f>
        <v xml:space="preserve">  </v>
      </c>
      <c r="V182" s="199" t="str">
        <f>IFERROR(INDEX('2'!C$300:C$400,MATCH("*"&amp;H182&amp;"*",'2'!B$300:B$400,0)),"  ")</f>
        <v xml:space="preserve">  </v>
      </c>
      <c r="W182" s="199" t="str">
        <f ca="1">IF(I182="",IFERROR(INDEX('3M'!C$300:C$400,MATCH("*"&amp;H182&amp;"*",'3M'!B$300:B$400,0)),"  "),IFERROR(INDEX('3N'!D$300:D$400,MATCH("*"&amp;H182&amp;"*",'3N'!B$300:B$400,0)),"  "))</f>
        <v xml:space="preserve">  </v>
      </c>
      <c r="X182" s="908" t="str">
        <f ca="1">IFERROR(INDEX('3M'!C$300:C$400,MATCH("*"&amp;H182&amp;"*",'3M'!B$300:B$400,0)),"  ")</f>
        <v xml:space="preserve">  </v>
      </c>
      <c r="Y182" s="907" t="str">
        <f ca="1">IFERROR(INDEX('3N'!C$300:C$400,MATCH("*"&amp;H182&amp;"*",'3N'!B$300:B$400,0)),"  ")</f>
        <v xml:space="preserve">  </v>
      </c>
      <c r="Z182" s="440"/>
      <c r="AA182" s="75" t="str">
        <f>IFERROR(INDEX('4'!C$300:C$400,MATCH("*"&amp;H182&amp;"*",'4'!B$300:B$400,0)),"  ")</f>
        <v xml:space="preserve">  </v>
      </c>
      <c r="AB182" s="75" t="str">
        <f>IFERROR(INDEX('5'!C$300:C$400,MATCH("*"&amp;H182&amp;"*",'5'!B$300:B$400,0)),"  ")</f>
        <v xml:space="preserve">  </v>
      </c>
      <c r="AC182" s="75" t="str">
        <f>IFERROR(INDEX('6'!C$300:C$400,MATCH("*"&amp;H182&amp;"*",'6'!B$300:B$400,0)),"  ")</f>
        <v xml:space="preserve">  </v>
      </c>
      <c r="AD182" s="75" t="str">
        <f>IFERROR(INDEX('7'!C$300:C$400,MATCH("*"&amp;H182&amp;"*",'7'!B$300:B$400,0)),"  ")</f>
        <v xml:space="preserve">  </v>
      </c>
      <c r="AE182" s="75" t="str">
        <f>IF(I182="",IFERROR(INDEX('8M'!C$300:C$400,MATCH("*"&amp;H182&amp;"*",'8M'!B$300:B$400,0)),"  "),IFERROR(INDEX('8N'!D$300:D$400,MATCH("*"&amp;H182&amp;"*",'8N'!B$300:B$400,0)),"  "))</f>
        <v xml:space="preserve">  </v>
      </c>
      <c r="AF182" s="908" t="str">
        <f>IFERROR(INDEX('8M'!C$300:C$400,MATCH("*"&amp;H182&amp;"*",'8M'!B$300:B$400,0)),"  ")</f>
        <v xml:space="preserve">  </v>
      </c>
      <c r="AG182" s="907" t="str">
        <f>IFERROR(INDEX('8N'!C$300:C$400,MATCH("*"&amp;H182&amp;"*",'8N'!B$300:B$400,0)),"  ")</f>
        <v xml:space="preserve">  </v>
      </c>
      <c r="AH182" s="440"/>
      <c r="AI182" s="75" t="str">
        <f>IFERROR(INDEX('9'!C$300:C$400,MATCH("*"&amp;H182&amp;"*",'9'!B$300:B$400,0)),"  ")</f>
        <v xml:space="preserve">  </v>
      </c>
      <c r="AJ182" s="830" t="str">
        <f>IFERROR(INDEX('10'!C$300:C$400,MATCH("*"&amp;H182&amp;"*",'10'!B$300:B$400,0)),"  ")</f>
        <v xml:space="preserve">  </v>
      </c>
      <c r="AK182" s="75" t="str">
        <f>IFERROR(INDEX('11'!C$300:C$400,MATCH("*"&amp;H182&amp;"*",'11'!B$300:B$400,0)),"  ")</f>
        <v xml:space="preserve">  </v>
      </c>
      <c r="AL182" s="75" t="str">
        <f>IFERROR(INDEX('12'!C$300:C$400,MATCH("*"&amp;H182&amp;"*",'12'!B$300:B$400,0)),"  ")</f>
        <v xml:space="preserve">  </v>
      </c>
      <c r="AM182" s="26">
        <f t="shared" ca="1" si="87"/>
        <v>0</v>
      </c>
      <c r="AN182" s="579">
        <f t="shared" ca="1" si="78"/>
        <v>0</v>
      </c>
      <c r="AO182" s="580">
        <f t="shared" ca="1" si="88"/>
        <v>0</v>
      </c>
      <c r="AP182" s="27">
        <f t="shared" ca="1" si="89"/>
        <v>0</v>
      </c>
      <c r="AQ182" s="933">
        <f t="shared" si="75"/>
        <v>2.0000000000000001E-4</v>
      </c>
      <c r="AR182" s="933">
        <f t="shared" ca="1" si="76"/>
        <v>1E-4</v>
      </c>
    </row>
    <row r="183" spans="1:44" ht="12.75" hidden="1" customHeight="1" x14ac:dyDescent="0.2">
      <c r="A183" s="851" t="str">
        <f t="shared" ca="1" si="79"/>
        <v/>
      </c>
      <c r="B183" s="77">
        <f t="shared" ca="1" si="80"/>
        <v>10000</v>
      </c>
      <c r="C183" s="853" t="str">
        <f t="shared" ca="1" si="73"/>
        <v/>
      </c>
      <c r="D183" s="76">
        <f t="shared" si="81"/>
        <v>0</v>
      </c>
      <c r="E183" s="855" t="str">
        <f t="shared" ca="1" si="74"/>
        <v/>
      </c>
      <c r="F183" s="899">
        <f t="shared" si="82"/>
        <v>0</v>
      </c>
      <c r="G183" s="897" t="str">
        <f t="shared" ca="1" si="77"/>
        <v/>
      </c>
      <c r="H183" s="133" t="s">
        <v>36</v>
      </c>
      <c r="I183" s="38"/>
      <c r="J183" s="589"/>
      <c r="K183" s="586"/>
      <c r="L183" s="587"/>
      <c r="M183" s="857">
        <f ca="1">(IF(COUNT(V183,AA183,AD183,AI183,AJ183,AL183)&lt;5,SUM(V183,AA183,AD183,AI183,AJ183,AL183),SUM(LARGE((V183,AA183,AD183,AI183,AJ183,AL183),{1;2;3;4;5}))))+(IF(COUNT(U183,W183,AB183,AC183,AE183,AK183)&lt;5,SUM(U183,W183,AB183,AC183,AE183,AK183),SUM(LARGE((U183,W183,AB183,AC183,AE183,AK183),{1;2;3;4;5}))))+T183</f>
        <v>0</v>
      </c>
      <c r="N183" s="862">
        <f>IF(I183="n",((IF(COUNT(V183,AA183,AD183,AI183,AJ183,AL183)&lt;5,SUM(V183,AA183,AD183,AI183,AJ183,AL183),SUM(LARGE((V183,AA183,AD183,AI183,AJ183,AL183),{1;2;3;4;5}))))+(IF(COUNT(U183,Y183,AB183,AC183,AG183,AK183)&lt;5,SUM(U183,Y183,AB183,AC183,AG183,AK183),SUM(LARGE((U183,Y183,AB183,AC183,AG183,AK183),{1;2;3;4;5}))))+T183),0)</f>
        <v>0</v>
      </c>
      <c r="O183" s="863">
        <f>IF(J183="j",((IF(COUNT(V183,AA183,AD183,AI183,AJ183,AL183)&lt;5,SUM(V183,AA183,AD183,AI183,AJ183,AL183),SUM(LARGE((V183,AA183,AD183,AI183,AJ183,AL183),{1;2;3;4;5}))))+(IF(COUNT(U183,W183,AB183,AC183,AE183,AK183)&lt;5,SUM(U183,W183,AB183,AC183,AE183,AK183),SUM(LARGE((U183,W183,AB183,AC183,AE183,AK183),{1;2;3;4;5}))))+T183),0)</f>
        <v>0</v>
      </c>
      <c r="P183" s="886" t="str">
        <f t="shared" ca="1" si="83"/>
        <v>000,0</v>
      </c>
      <c r="Q183" s="890">
        <f t="shared" si="84"/>
        <v>88</v>
      </c>
      <c r="R183" s="886" t="str">
        <f t="shared" ca="1" si="85"/>
        <v>0000,0-088</v>
      </c>
      <c r="S183" s="889">
        <f t="shared" ca="1" si="86"/>
        <v>19</v>
      </c>
      <c r="T183" s="847"/>
      <c r="U183" s="75" t="str">
        <f>IFERROR(INDEX('1'!C$300:C$400,MATCH("*"&amp;H183&amp;"*",'1'!B$300:B$400,0)),"  ")</f>
        <v xml:space="preserve">  </v>
      </c>
      <c r="V183" s="199" t="str">
        <f>IFERROR(INDEX('2'!C$300:C$400,MATCH("*"&amp;H183&amp;"*",'2'!B$300:B$400,0)),"  ")</f>
        <v xml:space="preserve">  </v>
      </c>
      <c r="W183" s="199" t="str">
        <f ca="1">IF(I183="",IFERROR(INDEX('3M'!C$300:C$400,MATCH("*"&amp;H183&amp;"*",'3M'!B$300:B$400,0)),"  "),IFERROR(INDEX('3N'!D$300:D$400,MATCH("*"&amp;H183&amp;"*",'3N'!B$300:B$400,0)),"  "))</f>
        <v xml:space="preserve">  </v>
      </c>
      <c r="X183" s="908" t="str">
        <f ca="1">IFERROR(INDEX('3M'!C$300:C$400,MATCH("*"&amp;H183&amp;"*",'3M'!B$300:B$400,0)),"  ")</f>
        <v xml:space="preserve">  </v>
      </c>
      <c r="Y183" s="907" t="str">
        <f ca="1">IFERROR(INDEX('3N'!C$300:C$400,MATCH("*"&amp;H183&amp;"*",'3N'!B$300:B$400,0)),"  ")</f>
        <v xml:space="preserve">  </v>
      </c>
      <c r="Z183" s="440"/>
      <c r="AA183" s="75" t="str">
        <f>IFERROR(INDEX('4'!C$300:C$400,MATCH("*"&amp;H183&amp;"*",'4'!B$300:B$400,0)),"  ")</f>
        <v xml:space="preserve">  </v>
      </c>
      <c r="AB183" s="75" t="str">
        <f>IFERROR(INDEX('5'!C$300:C$400,MATCH("*"&amp;H183&amp;"*",'5'!B$300:B$400,0)),"  ")</f>
        <v xml:space="preserve">  </v>
      </c>
      <c r="AC183" s="75" t="str">
        <f>IFERROR(INDEX('6'!C$300:C$400,MATCH("*"&amp;H183&amp;"*",'6'!B$300:B$400,0)),"  ")</f>
        <v xml:space="preserve">  </v>
      </c>
      <c r="AD183" s="75" t="str">
        <f>IFERROR(INDEX('7'!C$300:C$400,MATCH("*"&amp;H183&amp;"*",'7'!B$300:B$400,0)),"  ")</f>
        <v xml:space="preserve">  </v>
      </c>
      <c r="AE183" s="75" t="str">
        <f>IF(I183="",IFERROR(INDEX('8M'!C$300:C$400,MATCH("*"&amp;H183&amp;"*",'8M'!B$300:B$400,0)),"  "),IFERROR(INDEX('8N'!D$300:D$400,MATCH("*"&amp;H183&amp;"*",'8N'!B$300:B$400,0)),"  "))</f>
        <v xml:space="preserve">  </v>
      </c>
      <c r="AF183" s="908" t="str">
        <f>IFERROR(INDEX('8M'!C$300:C$400,MATCH("*"&amp;H183&amp;"*",'8M'!B$300:B$400,0)),"  ")</f>
        <v xml:space="preserve">  </v>
      </c>
      <c r="AG183" s="907" t="str">
        <f>IFERROR(INDEX('8N'!C$300:C$400,MATCH("*"&amp;H183&amp;"*",'8N'!B$300:B$400,0)),"  ")</f>
        <v xml:space="preserve">  </v>
      </c>
      <c r="AH183" s="440"/>
      <c r="AI183" s="75" t="str">
        <f>IFERROR(INDEX('9'!C$300:C$400,MATCH("*"&amp;H183&amp;"*",'9'!B$300:B$400,0)),"  ")</f>
        <v xml:space="preserve">  </v>
      </c>
      <c r="AJ183" s="830" t="str">
        <f>IFERROR(INDEX('10'!C$300:C$400,MATCH("*"&amp;H183&amp;"*",'10'!B$300:B$400,0)),"  ")</f>
        <v xml:space="preserve">  </v>
      </c>
      <c r="AK183" s="75" t="str">
        <f>IFERROR(INDEX('11'!C$300:C$400,MATCH("*"&amp;H183&amp;"*",'11'!B$300:B$400,0)),"  ")</f>
        <v xml:space="preserve">  </v>
      </c>
      <c r="AL183" s="75" t="str">
        <f>IFERROR(INDEX('12'!C$300:C$400,MATCH("*"&amp;H183&amp;"*",'12'!B$300:B$400,0)),"  ")</f>
        <v xml:space="preserve">  </v>
      </c>
      <c r="AM183" s="26">
        <f t="shared" ca="1" si="87"/>
        <v>0</v>
      </c>
      <c r="AN183" s="579">
        <f t="shared" ca="1" si="78"/>
        <v>0</v>
      </c>
      <c r="AO183" s="580">
        <f t="shared" ca="1" si="88"/>
        <v>0</v>
      </c>
      <c r="AP183" s="27">
        <f t="shared" ca="1" si="89"/>
        <v>0</v>
      </c>
      <c r="AQ183" s="933">
        <f t="shared" si="75"/>
        <v>2.0000000000000001E-4</v>
      </c>
      <c r="AR183" s="933">
        <f t="shared" ca="1" si="76"/>
        <v>1E-4</v>
      </c>
    </row>
    <row r="184" spans="1:44" ht="12.75" hidden="1" customHeight="1" x14ac:dyDescent="0.2">
      <c r="A184" s="851" t="str">
        <f t="shared" ca="1" si="79"/>
        <v/>
      </c>
      <c r="B184" s="77">
        <f t="shared" ca="1" si="80"/>
        <v>10000</v>
      </c>
      <c r="C184" s="853" t="str">
        <f t="shared" ca="1" si="73"/>
        <v/>
      </c>
      <c r="D184" s="76">
        <f t="shared" si="81"/>
        <v>0</v>
      </c>
      <c r="E184" s="855" t="str">
        <f t="shared" ca="1" si="74"/>
        <v/>
      </c>
      <c r="F184" s="899">
        <f t="shared" si="82"/>
        <v>0</v>
      </c>
      <c r="G184" s="897" t="str">
        <f t="shared" ca="1" si="77"/>
        <v/>
      </c>
      <c r="H184" s="133" t="s">
        <v>304</v>
      </c>
      <c r="I184" s="38"/>
      <c r="J184" s="585"/>
      <c r="K184" s="586"/>
      <c r="L184" s="587"/>
      <c r="M184" s="857">
        <f ca="1">(IF(COUNT(V184,AA184,AD184,AI184,AJ184,AL184)&lt;5,SUM(V184,AA184,AD184,AI184,AJ184,AL184),SUM(LARGE((V184,AA184,AD184,AI184,AJ184,AL184),{1;2;3;4;5}))))+(IF(COUNT(U184,W184,AB184,AC184,AE184,AK184)&lt;5,SUM(U184,W184,AB184,AC184,AE184,AK184),SUM(LARGE((U184,W184,AB184,AC184,AE184,AK184),{1;2;3;4;5}))))+T184</f>
        <v>0</v>
      </c>
      <c r="N184" s="862">
        <f>IF(I184="n",((IF(COUNT(V184,AA184,AD184,AI184,AJ184,AL184)&lt;5,SUM(V184,AA184,AD184,AI184,AJ184,AL184),SUM(LARGE((V184,AA184,AD184,AI184,AJ184,AL184),{1;2;3;4;5}))))+(IF(COUNT(U184,Y184,AB184,AC184,AG184,AK184)&lt;5,SUM(U184,Y184,AB184,AC184,AG184,AK184),SUM(LARGE((U184,Y184,AB184,AC184,AG184,AK184),{1;2;3;4;5}))))+T184),0)</f>
        <v>0</v>
      </c>
      <c r="O184" s="863">
        <f>IF(J184="j",((IF(COUNT(V184,AA184,AD184,AI184,AJ184,AL184)&lt;5,SUM(V184,AA184,AD184,AI184,AJ184,AL184),SUM(LARGE((V184,AA184,AD184,AI184,AJ184,AL184),{1;2;3;4;5}))))+(IF(COUNT(U184,W184,AB184,AC184,AE184,AK184)&lt;5,SUM(U184,W184,AB184,AC184,AE184,AK184),SUM(LARGE((U184,W184,AB184,AC184,AE184,AK184),{1;2;3;4;5}))))+T184),0)</f>
        <v>0</v>
      </c>
      <c r="P184" s="886" t="str">
        <f t="shared" ca="1" si="83"/>
        <v>000,0</v>
      </c>
      <c r="Q184" s="890">
        <f t="shared" si="84"/>
        <v>86</v>
      </c>
      <c r="R184" s="886" t="str">
        <f t="shared" ca="1" si="85"/>
        <v>0000,0-086</v>
      </c>
      <c r="S184" s="889">
        <f t="shared" ca="1" si="86"/>
        <v>18</v>
      </c>
      <c r="T184" s="847"/>
      <c r="U184" s="75" t="str">
        <f>IFERROR(INDEX('1'!C$300:C$400,MATCH("*"&amp;H184&amp;"*",'1'!B$300:B$400,0)),"  ")</f>
        <v xml:space="preserve">  </v>
      </c>
      <c r="V184" s="199" t="str">
        <f>IFERROR(INDEX('2'!C$300:C$400,MATCH("*"&amp;H184&amp;"*",'2'!B$300:B$400,0)),"  ")</f>
        <v xml:space="preserve">  </v>
      </c>
      <c r="W184" s="199" t="str">
        <f ca="1">IF(I184="",IFERROR(INDEX('3M'!C$300:C$400,MATCH("*"&amp;H184&amp;"*",'3M'!B$300:B$400,0)),"  "),IFERROR(INDEX('3N'!D$300:D$400,MATCH("*"&amp;H184&amp;"*",'3N'!B$300:B$400,0)),"  "))</f>
        <v xml:space="preserve">  </v>
      </c>
      <c r="X184" s="908" t="str">
        <f ca="1">IFERROR(INDEX('3M'!C$300:C$400,MATCH("*"&amp;H184&amp;"*",'3M'!B$300:B$400,0)),"  ")</f>
        <v xml:space="preserve">  </v>
      </c>
      <c r="Y184" s="907" t="str">
        <f ca="1">IFERROR(INDEX('3N'!C$300:C$400,MATCH("*"&amp;H184&amp;"*",'3N'!B$300:B$400,0)),"  ")</f>
        <v xml:space="preserve">  </v>
      </c>
      <c r="Z184" s="440"/>
      <c r="AA184" s="75" t="str">
        <f>IFERROR(INDEX('4'!C$300:C$400,MATCH("*"&amp;H184&amp;"*",'4'!B$300:B$400,0)),"  ")</f>
        <v xml:space="preserve">  </v>
      </c>
      <c r="AB184" s="75" t="str">
        <f>IFERROR(INDEX('5'!C$300:C$400,MATCH("*"&amp;H184&amp;"*",'5'!B$300:B$400,0)),"  ")</f>
        <v xml:space="preserve">  </v>
      </c>
      <c r="AC184" s="75" t="str">
        <f>IFERROR(INDEX('6'!C$300:C$400,MATCH("*"&amp;H184&amp;"*",'6'!B$300:B$400,0)),"  ")</f>
        <v xml:space="preserve">  </v>
      </c>
      <c r="AD184" s="75" t="str">
        <f>IFERROR(INDEX('7'!C$300:C$400,MATCH("*"&amp;H184&amp;"*",'7'!B$300:B$400,0)),"  ")</f>
        <v xml:space="preserve">  </v>
      </c>
      <c r="AE184" s="75" t="str">
        <f>IF(I184="",IFERROR(INDEX('8M'!C$300:C$400,MATCH("*"&amp;H184&amp;"*",'8M'!B$300:B$400,0)),"  "),IFERROR(INDEX('8N'!D$300:D$400,MATCH("*"&amp;H184&amp;"*",'8N'!B$300:B$400,0)),"  "))</f>
        <v xml:space="preserve">  </v>
      </c>
      <c r="AF184" s="908" t="str">
        <f>IFERROR(INDEX('8M'!C$300:C$400,MATCH("*"&amp;H184&amp;"*",'8M'!B$300:B$400,0)),"  ")</f>
        <v xml:space="preserve">  </v>
      </c>
      <c r="AG184" s="907" t="str">
        <f>IFERROR(INDEX('8N'!C$300:C$400,MATCH("*"&amp;H184&amp;"*",'8N'!B$300:B$400,0)),"  ")</f>
        <v xml:space="preserve">  </v>
      </c>
      <c r="AH184" s="440"/>
      <c r="AI184" s="75" t="str">
        <f>IFERROR(INDEX('9'!C$300:C$400,MATCH("*"&amp;H184&amp;"*",'9'!B$300:B$400,0)),"  ")</f>
        <v xml:space="preserve">  </v>
      </c>
      <c r="AJ184" s="830" t="str">
        <f>IFERROR(INDEX('10'!C$300:C$400,MATCH("*"&amp;H184&amp;"*",'10'!B$300:B$400,0)),"  ")</f>
        <v xml:space="preserve">  </v>
      </c>
      <c r="AK184" s="75" t="str">
        <f>IFERROR(INDEX('11'!C$300:C$400,MATCH("*"&amp;H184&amp;"*",'11'!B$300:B$400,0)),"  ")</f>
        <v xml:space="preserve">  </v>
      </c>
      <c r="AL184" s="75" t="str">
        <f>IFERROR(INDEX('12'!C$300:C$400,MATCH("*"&amp;H184&amp;"*",'12'!B$300:B$400,0)),"  ")</f>
        <v xml:space="preserve">  </v>
      </c>
      <c r="AM184" s="26">
        <f t="shared" ca="1" si="87"/>
        <v>0</v>
      </c>
      <c r="AN184" s="579">
        <f t="shared" ca="1" si="78"/>
        <v>0</v>
      </c>
      <c r="AO184" s="580">
        <f t="shared" ca="1" si="88"/>
        <v>0</v>
      </c>
      <c r="AP184" s="27">
        <f t="shared" ca="1" si="89"/>
        <v>0</v>
      </c>
      <c r="AQ184" s="933">
        <f t="shared" si="75"/>
        <v>2.0000000000000001E-4</v>
      </c>
      <c r="AR184" s="933">
        <f t="shared" ca="1" si="76"/>
        <v>1E-4</v>
      </c>
    </row>
    <row r="185" spans="1:44" ht="12.75" hidden="1" customHeight="1" x14ac:dyDescent="0.2">
      <c r="A185" s="851" t="str">
        <f t="shared" ca="1" si="79"/>
        <v/>
      </c>
      <c r="B185" s="77">
        <f t="shared" si="80"/>
        <v>0</v>
      </c>
      <c r="C185" s="853" t="str">
        <f t="shared" ca="1" si="73"/>
        <v/>
      </c>
      <c r="D185" s="76">
        <f t="shared" ca="1" si="81"/>
        <v>10000</v>
      </c>
      <c r="E185" s="855" t="str">
        <f t="shared" ca="1" si="74"/>
        <v/>
      </c>
      <c r="F185" s="899">
        <f t="shared" si="82"/>
        <v>0</v>
      </c>
      <c r="G185" s="897" t="str">
        <f t="shared" ca="1" si="77"/>
        <v/>
      </c>
      <c r="H185" s="133" t="s">
        <v>637</v>
      </c>
      <c r="I185" s="38" t="s">
        <v>32</v>
      </c>
      <c r="J185" s="585"/>
      <c r="K185" s="586"/>
      <c r="L185" s="588" t="s">
        <v>720</v>
      </c>
      <c r="M185" s="857">
        <f ca="1">(IF(COUNT(V185,AA185,AD185,AI185,AJ185,AL185)&lt;5,SUM(V185,AA185,AD185,AI185,AJ185,AL185),SUM(LARGE((V185,AA185,AD185,AI185,AJ185,AL185),{1;2;3;4;5}))))+(IF(COUNT(U185,W185,AB185,AC185,AE185,AK185)&lt;5,SUM(U185,W185,AB185,AC185,AE185,AK185),SUM(LARGE((U185,W185,AB185,AC185,AE185,AK185),{1;2;3;4;5}))))+T185</f>
        <v>0</v>
      </c>
      <c r="N185" s="862">
        <f ca="1">IF(I185="n",((IF(COUNT(V185,AA185,AD185,AI185,AJ185,AL185)&lt;5,SUM(V185,AA185,AD185,AI185,AJ185,AL185),SUM(LARGE((V185,AA185,AD185,AI185,AJ185,AL185),{1;2;3;4;5}))))+(IF(COUNT(U185,Y185,AB185,AC185,AG185,AK185)&lt;5,SUM(U185,Y185,AB185,AC185,AG185,AK185),SUM(LARGE((U185,Y185,AB185,AC185,AG185,AK185),{1;2;3;4;5}))))+T185),0)</f>
        <v>0</v>
      </c>
      <c r="O185" s="863">
        <f>IF(J185="j",((IF(COUNT(V185,AA185,AD185,AI185,AJ185,AL185)&lt;5,SUM(V185,AA185,AD185,AI185,AJ185,AL185),SUM(LARGE((V185,AA185,AD185,AI185,AJ185,AL185),{1;2;3;4;5}))))+(IF(COUNT(U185,W185,AB185,AC185,AE185,AK185)&lt;5,SUM(U185,W185,AB185,AC185,AE185,AK185),SUM(LARGE((U185,W185,AB185,AC185,AE185,AK185),{1;2;3;4;5}))))+T185),0)</f>
        <v>0</v>
      </c>
      <c r="P185" s="886" t="str">
        <f t="shared" ca="1" si="83"/>
        <v>000,0</v>
      </c>
      <c r="Q185" s="890">
        <f t="shared" si="84"/>
        <v>82</v>
      </c>
      <c r="R185" s="886" t="str">
        <f t="shared" ca="1" si="85"/>
        <v>0000,0-082</v>
      </c>
      <c r="S185" s="889">
        <f t="shared" ca="1" si="86"/>
        <v>17</v>
      </c>
      <c r="T185" s="847"/>
      <c r="U185" s="75" t="str">
        <f>IFERROR(INDEX('1'!C$300:C$400,MATCH("*"&amp;H185&amp;"*",'1'!B$300:B$400,0)),"  ")</f>
        <v xml:space="preserve">  </v>
      </c>
      <c r="V185" s="199" t="str">
        <f>IFERROR(INDEX('2'!C$300:C$400,MATCH("*"&amp;H185&amp;"*",'2'!B$300:B$400,0)),"  ")</f>
        <v xml:space="preserve">  </v>
      </c>
      <c r="W185" s="199" t="str">
        <f ca="1">IF(I185="",IFERROR(INDEX('3M'!C$300:C$400,MATCH("*"&amp;H185&amp;"*",'3M'!B$300:B$400,0)),"  "),IFERROR(INDEX('3N'!D$300:D$400,MATCH("*"&amp;H185&amp;"*",'3N'!B$300:B$400,0)),"  "))</f>
        <v xml:space="preserve">  </v>
      </c>
      <c r="X185" s="908" t="str">
        <f ca="1">IFERROR(INDEX('3M'!C$300:C$400,MATCH("*"&amp;H185&amp;"*",'3M'!B$300:B$400,0)),"  ")</f>
        <v xml:space="preserve">  </v>
      </c>
      <c r="Y185" s="907" t="str">
        <f ca="1">IFERROR(INDEX('3N'!C$300:C$400,MATCH("*"&amp;H185&amp;"*",'3N'!B$300:B$400,0)),"  ")</f>
        <v xml:space="preserve">  </v>
      </c>
      <c r="Z185" s="440"/>
      <c r="AA185" s="75" t="str">
        <f>IFERROR(INDEX('4'!C$300:C$400,MATCH("*"&amp;H185&amp;"*",'4'!B$300:B$400,0)),"  ")</f>
        <v xml:space="preserve">  </v>
      </c>
      <c r="AB185" s="75" t="str">
        <f>IFERROR(INDEX('5'!C$300:C$400,MATCH("*"&amp;H185&amp;"*",'5'!B$300:B$400,0)),"  ")</f>
        <v xml:space="preserve">  </v>
      </c>
      <c r="AC185" s="75" t="str">
        <f>IFERROR(INDEX('6'!C$300:C$400,MATCH("*"&amp;H185&amp;"*",'6'!B$300:B$400,0)),"  ")</f>
        <v xml:space="preserve">  </v>
      </c>
      <c r="AD185" s="75" t="str">
        <f>IFERROR(INDEX('7'!C$300:C$400,MATCH("*"&amp;H185&amp;"*",'7'!B$300:B$400,0)),"  ")</f>
        <v xml:space="preserve">  </v>
      </c>
      <c r="AE185" s="75" t="str">
        <f>IF(I185="",IFERROR(INDEX('8M'!C$300:C$400,MATCH("*"&amp;H185&amp;"*",'8M'!B$300:B$400,0)),"  "),IFERROR(INDEX('8N'!D$300:D$400,MATCH("*"&amp;H185&amp;"*",'8N'!B$300:B$400,0)),"  "))</f>
        <v xml:space="preserve">  </v>
      </c>
      <c r="AF185" s="908" t="str">
        <f>IFERROR(INDEX('8M'!C$300:C$400,MATCH("*"&amp;H185&amp;"*",'8M'!B$300:B$400,0)),"  ")</f>
        <v xml:space="preserve">  </v>
      </c>
      <c r="AG185" s="907" t="str">
        <f>IFERROR(INDEX('8N'!C$300:C$400,MATCH("*"&amp;H185&amp;"*",'8N'!B$300:B$400,0)),"  ")</f>
        <v xml:space="preserve">  </v>
      </c>
      <c r="AH185" s="440"/>
      <c r="AI185" s="75" t="str">
        <f>IFERROR(INDEX('9'!C$300:C$400,MATCH("*"&amp;H185&amp;"*",'9'!B$300:B$400,0)),"  ")</f>
        <v xml:space="preserve">  </v>
      </c>
      <c r="AJ185" s="830" t="str">
        <f>IFERROR(INDEX('10'!C$300:C$400,MATCH("*"&amp;H185&amp;"*",'10'!B$300:B$400,0)),"  ")</f>
        <v xml:space="preserve">  </v>
      </c>
      <c r="AK185" s="75" t="str">
        <f>IFERROR(INDEX('11'!C$300:C$400,MATCH("*"&amp;H185&amp;"*",'11'!B$300:B$400,0)),"  ")</f>
        <v xml:space="preserve">  </v>
      </c>
      <c r="AL185" s="75" t="str">
        <f>IFERROR(INDEX('12'!C$300:C$400,MATCH("*"&amp;H185&amp;"*",'12'!B$300:B$400,0)),"  ")</f>
        <v xml:space="preserve">  </v>
      </c>
      <c r="AM185" s="26">
        <f t="shared" ca="1" si="87"/>
        <v>0</v>
      </c>
      <c r="AN185" s="579">
        <f t="shared" ca="1" si="78"/>
        <v>0</v>
      </c>
      <c r="AO185" s="580">
        <f t="shared" ca="1" si="88"/>
        <v>0</v>
      </c>
      <c r="AP185" s="27">
        <f t="shared" ca="1" si="89"/>
        <v>0</v>
      </c>
      <c r="AQ185" s="933">
        <f t="shared" si="75"/>
        <v>2.0000000000000001E-4</v>
      </c>
      <c r="AR185" s="933">
        <f t="shared" ca="1" si="76"/>
        <v>1E-4</v>
      </c>
    </row>
    <row r="186" spans="1:44" ht="12.75" hidden="1" customHeight="1" x14ac:dyDescent="0.2">
      <c r="A186" s="851" t="str">
        <f t="shared" ca="1" si="79"/>
        <v/>
      </c>
      <c r="B186" s="77">
        <f t="shared" ca="1" si="80"/>
        <v>10000</v>
      </c>
      <c r="C186" s="853" t="str">
        <f t="shared" ca="1" si="73"/>
        <v/>
      </c>
      <c r="D186" s="76">
        <f t="shared" si="81"/>
        <v>0</v>
      </c>
      <c r="E186" s="855" t="str">
        <f t="shared" ca="1" si="74"/>
        <v/>
      </c>
      <c r="F186" s="899">
        <f t="shared" si="82"/>
        <v>0</v>
      </c>
      <c r="G186" s="897" t="str">
        <f t="shared" ca="1" si="77"/>
        <v/>
      </c>
      <c r="H186" s="133" t="s">
        <v>621</v>
      </c>
      <c r="I186" s="38"/>
      <c r="J186" s="585"/>
      <c r="K186" s="586"/>
      <c r="L186" s="587"/>
      <c r="M186" s="857">
        <f ca="1">(IF(COUNT(V186,AA186,AD186,AI186,AJ186,AL186)&lt;5,SUM(V186,AA186,AD186,AI186,AJ186,AL186),SUM(LARGE((V186,AA186,AD186,AI186,AJ186,AL186),{1;2;3;4;5}))))+(IF(COUNT(U186,W186,AB186,AC186,AE186,AK186)&lt;5,SUM(U186,W186,AB186,AC186,AE186,AK186),SUM(LARGE((U186,W186,AB186,AC186,AE186,AK186),{1;2;3;4;5}))))+T186</f>
        <v>0</v>
      </c>
      <c r="N186" s="862">
        <f>IF(I186="n",((IF(COUNT(V186,AA186,AD186,AI186,AJ186,AL186)&lt;5,SUM(V186,AA186,AD186,AI186,AJ186,AL186),SUM(LARGE((V186,AA186,AD186,AI186,AJ186,AL186),{1;2;3;4;5}))))+(IF(COUNT(U186,Y186,AB186,AC186,AG186,AK186)&lt;5,SUM(U186,Y186,AB186,AC186,AG186,AK186),SUM(LARGE((U186,Y186,AB186,AC186,AG186,AK186),{1;2;3;4;5}))))+T186),0)</f>
        <v>0</v>
      </c>
      <c r="O186" s="863">
        <f>IF(J186="j",((IF(COUNT(V186,AA186,AD186,AI186,AJ186,AL186)&lt;5,SUM(V186,AA186,AD186,AI186,AJ186,AL186),SUM(LARGE((V186,AA186,AD186,AI186,AJ186,AL186),{1;2;3;4;5}))))+(IF(COUNT(U186,W186,AB186,AC186,AE186,AK186)&lt;5,SUM(U186,W186,AB186,AC186,AE186,AK186),SUM(LARGE((U186,W186,AB186,AC186,AE186,AK186),{1;2;3;4;5}))))+T186),0)</f>
        <v>0</v>
      </c>
      <c r="P186" s="886" t="str">
        <f t="shared" ca="1" si="83"/>
        <v>000,0</v>
      </c>
      <c r="Q186" s="890">
        <f t="shared" si="84"/>
        <v>72</v>
      </c>
      <c r="R186" s="886" t="str">
        <f t="shared" ca="1" si="85"/>
        <v>0000,0-072</v>
      </c>
      <c r="S186" s="889">
        <f t="shared" ca="1" si="86"/>
        <v>16</v>
      </c>
      <c r="T186" s="847"/>
      <c r="U186" s="75" t="str">
        <f>IFERROR(INDEX('1'!C$300:C$400,MATCH("*"&amp;H186&amp;"*",'1'!B$300:B$400,0)),"  ")</f>
        <v xml:space="preserve">  </v>
      </c>
      <c r="V186" s="199" t="str">
        <f>IFERROR(INDEX('2'!C$300:C$400,MATCH("*"&amp;H186&amp;"*",'2'!B$300:B$400,0)),"  ")</f>
        <v xml:space="preserve">  </v>
      </c>
      <c r="W186" s="199" t="str">
        <f ca="1">IF(I186="",IFERROR(INDEX('3M'!C$300:C$400,MATCH("*"&amp;H186&amp;"*",'3M'!B$300:B$400,0)),"  "),IFERROR(INDEX('3N'!D$300:D$400,MATCH("*"&amp;H186&amp;"*",'3N'!B$300:B$400,0)),"  "))</f>
        <v xml:space="preserve">  </v>
      </c>
      <c r="X186" s="908" t="str">
        <f ca="1">IFERROR(INDEX('3M'!C$300:C$400,MATCH("*"&amp;H186&amp;"*",'3M'!B$300:B$400,0)),"  ")</f>
        <v xml:space="preserve">  </v>
      </c>
      <c r="Y186" s="907" t="str">
        <f ca="1">IFERROR(INDEX('3N'!C$300:C$400,MATCH("*"&amp;H186&amp;"*",'3N'!B$300:B$400,0)),"  ")</f>
        <v xml:space="preserve">  </v>
      </c>
      <c r="Z186" s="440"/>
      <c r="AA186" s="75" t="str">
        <f>IFERROR(INDEX('4'!C$300:C$400,MATCH("*"&amp;H186&amp;"*",'4'!B$300:B$400,0)),"  ")</f>
        <v xml:space="preserve">  </v>
      </c>
      <c r="AB186" s="75" t="str">
        <f>IFERROR(INDEX('5'!C$300:C$400,MATCH("*"&amp;H186&amp;"*",'5'!B$300:B$400,0)),"  ")</f>
        <v xml:space="preserve">  </v>
      </c>
      <c r="AC186" s="75" t="str">
        <f>IFERROR(INDEX('6'!C$300:C$400,MATCH("*"&amp;H186&amp;"*",'6'!B$300:B$400,0)),"  ")</f>
        <v xml:space="preserve">  </v>
      </c>
      <c r="AD186" s="75" t="str">
        <f>IFERROR(INDEX('7'!C$300:C$400,MATCH("*"&amp;H186&amp;"*",'7'!B$300:B$400,0)),"  ")</f>
        <v xml:space="preserve">  </v>
      </c>
      <c r="AE186" s="75" t="str">
        <f>IF(I186="",IFERROR(INDEX('8M'!C$300:C$400,MATCH("*"&amp;H186&amp;"*",'8M'!B$300:B$400,0)),"  "),IFERROR(INDEX('8N'!D$300:D$400,MATCH("*"&amp;H186&amp;"*",'8N'!B$300:B$400,0)),"  "))</f>
        <v xml:space="preserve">  </v>
      </c>
      <c r="AF186" s="908" t="str">
        <f>IFERROR(INDEX('8M'!C$300:C$400,MATCH("*"&amp;H186&amp;"*",'8M'!B$300:B$400,0)),"  ")</f>
        <v xml:space="preserve">  </v>
      </c>
      <c r="AG186" s="907" t="str">
        <f>IFERROR(INDEX('8N'!C$300:C$400,MATCH("*"&amp;H186&amp;"*",'8N'!B$300:B$400,0)),"  ")</f>
        <v xml:space="preserve">  </v>
      </c>
      <c r="AH186" s="440"/>
      <c r="AI186" s="75" t="str">
        <f>IFERROR(INDEX('9'!C$300:C$400,MATCH("*"&amp;H186&amp;"*",'9'!B$300:B$400,0)),"  ")</f>
        <v xml:space="preserve">  </v>
      </c>
      <c r="AJ186" s="830" t="str">
        <f>IFERROR(INDEX('10'!C$300:C$400,MATCH("*"&amp;H186&amp;"*",'10'!B$300:B$400,0)),"  ")</f>
        <v xml:space="preserve">  </v>
      </c>
      <c r="AK186" s="75" t="str">
        <f>IFERROR(INDEX('11'!C$300:C$400,MATCH("*"&amp;H186&amp;"*",'11'!B$300:B$400,0)),"  ")</f>
        <v xml:space="preserve">  </v>
      </c>
      <c r="AL186" s="75" t="str">
        <f>IFERROR(INDEX('12'!C$300:C$400,MATCH("*"&amp;H186&amp;"*",'12'!B$300:B$400,0)),"  ")</f>
        <v xml:space="preserve">  </v>
      </c>
      <c r="AM186" s="26">
        <f t="shared" ca="1" si="87"/>
        <v>0</v>
      </c>
      <c r="AN186" s="579">
        <f t="shared" ca="1" si="78"/>
        <v>0</v>
      </c>
      <c r="AO186" s="580">
        <f t="shared" ca="1" si="88"/>
        <v>0</v>
      </c>
      <c r="AP186" s="27">
        <f t="shared" ca="1" si="89"/>
        <v>0</v>
      </c>
      <c r="AQ186" s="933">
        <f t="shared" si="75"/>
        <v>2.0000000000000001E-4</v>
      </c>
      <c r="AR186" s="933">
        <f t="shared" ca="1" si="76"/>
        <v>1E-4</v>
      </c>
    </row>
    <row r="187" spans="1:44" ht="12.75" hidden="1" customHeight="1" x14ac:dyDescent="0.2">
      <c r="A187" s="851" t="str">
        <f t="shared" ca="1" si="79"/>
        <v/>
      </c>
      <c r="B187" s="77">
        <f t="shared" ca="1" si="80"/>
        <v>10000</v>
      </c>
      <c r="C187" s="853" t="str">
        <f t="shared" ca="1" si="73"/>
        <v/>
      </c>
      <c r="D187" s="76">
        <f t="shared" si="81"/>
        <v>0</v>
      </c>
      <c r="E187" s="855" t="str">
        <f t="shared" ca="1" si="74"/>
        <v/>
      </c>
      <c r="F187" s="899">
        <f t="shared" si="82"/>
        <v>0</v>
      </c>
      <c r="G187" s="897" t="str">
        <f t="shared" ca="1" si="77"/>
        <v/>
      </c>
      <c r="H187" s="133" t="s">
        <v>147</v>
      </c>
      <c r="I187" s="38"/>
      <c r="J187" s="589"/>
      <c r="K187" s="586" t="s">
        <v>718</v>
      </c>
      <c r="L187" s="587"/>
      <c r="M187" s="857">
        <f ca="1">(IF(COUNT(V187,AA187,AD187,AI187,AJ187,AL187)&lt;5,SUM(V187,AA187,AD187,AI187,AJ187,AL187),SUM(LARGE((V187,AA187,AD187,AI187,AJ187,AL187),{1;2;3;4;5}))))+(IF(COUNT(U187,W187,AB187,AC187,AE187,AK187)&lt;5,SUM(U187,W187,AB187,AC187,AE187,AK187),SUM(LARGE((U187,W187,AB187,AC187,AE187,AK187),{1;2;3;4;5}))))+T187</f>
        <v>0</v>
      </c>
      <c r="N187" s="862">
        <f>IF(I187="n",((IF(COUNT(V187,AA187,AD187,AI187,AJ187,AL187)&lt;5,SUM(V187,AA187,AD187,AI187,AJ187,AL187),SUM(LARGE((V187,AA187,AD187,AI187,AJ187,AL187),{1;2;3;4;5}))))+(IF(COUNT(U187,Y187,AB187,AC187,AG187,AK187)&lt;5,SUM(U187,Y187,AB187,AC187,AG187,AK187),SUM(LARGE((U187,Y187,AB187,AC187,AG187,AK187),{1;2;3;4;5}))))+T187),0)</f>
        <v>0</v>
      </c>
      <c r="O187" s="863">
        <f>IF(J187="j",((IF(COUNT(V187,AA187,AD187,AI187,AJ187,AL187)&lt;5,SUM(V187,AA187,AD187,AI187,AJ187,AL187),SUM(LARGE((V187,AA187,AD187,AI187,AJ187,AL187),{1;2;3;4;5}))))+(IF(COUNT(U187,W187,AB187,AC187,AE187,AK187)&lt;5,SUM(U187,W187,AB187,AC187,AE187,AK187),SUM(LARGE((U187,W187,AB187,AC187,AE187,AK187),{1;2;3;4;5}))))+T187),0)</f>
        <v>0</v>
      </c>
      <c r="P187" s="886" t="str">
        <f t="shared" ca="1" si="83"/>
        <v>000,0</v>
      </c>
      <c r="Q187" s="890">
        <f t="shared" si="84"/>
        <v>64</v>
      </c>
      <c r="R187" s="886" t="str">
        <f t="shared" ca="1" si="85"/>
        <v>0000,0-064</v>
      </c>
      <c r="S187" s="889">
        <f t="shared" ca="1" si="86"/>
        <v>15</v>
      </c>
      <c r="T187" s="847"/>
      <c r="U187" s="75" t="str">
        <f>IFERROR(INDEX('1'!C$300:C$400,MATCH("*"&amp;H187&amp;"*",'1'!B$300:B$400,0)),"  ")</f>
        <v xml:space="preserve">  </v>
      </c>
      <c r="V187" s="199" t="str">
        <f>IFERROR(INDEX('2'!C$300:C$400,MATCH("*"&amp;H187&amp;"*",'2'!B$300:B$400,0)),"  ")</f>
        <v xml:space="preserve">  </v>
      </c>
      <c r="W187" s="199" t="str">
        <f ca="1">IF(I187="",IFERROR(INDEX('3M'!C$300:C$400,MATCH("*"&amp;H187&amp;"*",'3M'!B$300:B$400,0)),"  "),IFERROR(INDEX('3N'!D$300:D$400,MATCH("*"&amp;H187&amp;"*",'3N'!B$300:B$400,0)),"  "))</f>
        <v xml:space="preserve">  </v>
      </c>
      <c r="X187" s="908" t="str">
        <f ca="1">IFERROR(INDEX('3M'!C$300:C$400,MATCH("*"&amp;H187&amp;"*",'3M'!B$300:B$400,0)),"  ")</f>
        <v xml:space="preserve">  </v>
      </c>
      <c r="Y187" s="907" t="str">
        <f ca="1">IFERROR(INDEX('3N'!C$300:C$400,MATCH("*"&amp;H187&amp;"*",'3N'!B$300:B$400,0)),"  ")</f>
        <v xml:space="preserve">  </v>
      </c>
      <c r="Z187" s="440"/>
      <c r="AA187" s="75" t="str">
        <f>IFERROR(INDEX('4'!C$300:C$400,MATCH("*"&amp;H187&amp;"*",'4'!B$300:B$400,0)),"  ")</f>
        <v xml:space="preserve">  </v>
      </c>
      <c r="AB187" s="75" t="str">
        <f>IFERROR(INDEX('5'!C$300:C$400,MATCH("*"&amp;H187&amp;"*",'5'!B$300:B$400,0)),"  ")</f>
        <v xml:space="preserve">  </v>
      </c>
      <c r="AC187" s="75" t="str">
        <f>IFERROR(INDEX('6'!C$300:C$400,MATCH("*"&amp;H187&amp;"*",'6'!B$300:B$400,0)),"  ")</f>
        <v xml:space="preserve">  </v>
      </c>
      <c r="AD187" s="75" t="str">
        <f>IFERROR(INDEX('7'!C$300:C$400,MATCH("*"&amp;H187&amp;"*",'7'!B$300:B$400,0)),"  ")</f>
        <v xml:space="preserve">  </v>
      </c>
      <c r="AE187" s="75" t="str">
        <f>IF(I187="",IFERROR(INDEX('8M'!C$300:C$400,MATCH("*"&amp;H187&amp;"*",'8M'!B$300:B$400,0)),"  "),IFERROR(INDEX('8N'!D$300:D$400,MATCH("*"&amp;H187&amp;"*",'8N'!B$300:B$400,0)),"  "))</f>
        <v xml:space="preserve">  </v>
      </c>
      <c r="AF187" s="908" t="str">
        <f>IFERROR(INDEX('8M'!C$300:C$400,MATCH("*"&amp;H187&amp;"*",'8M'!B$300:B$400,0)),"  ")</f>
        <v xml:space="preserve">  </v>
      </c>
      <c r="AG187" s="907" t="str">
        <f>IFERROR(INDEX('8N'!C$300:C$400,MATCH("*"&amp;H187&amp;"*",'8N'!B$300:B$400,0)),"  ")</f>
        <v xml:space="preserve">  </v>
      </c>
      <c r="AH187" s="440"/>
      <c r="AI187" s="75" t="str">
        <f>IFERROR(INDEX('9'!C$300:C$400,MATCH("*"&amp;H187&amp;"*",'9'!B$300:B$400,0)),"  ")</f>
        <v xml:space="preserve">  </v>
      </c>
      <c r="AJ187" s="830" t="str">
        <f>IFERROR(INDEX('10'!C$300:C$400,MATCH("*"&amp;H187&amp;"*",'10'!B$300:B$400,0)),"  ")</f>
        <v xml:space="preserve">  </v>
      </c>
      <c r="AK187" s="75" t="str">
        <f>IFERROR(INDEX('11'!C$300:C$400,MATCH("*"&amp;H187&amp;"*",'11'!B$300:B$400,0)),"  ")</f>
        <v xml:space="preserve">  </v>
      </c>
      <c r="AL187" s="75" t="str">
        <f>IFERROR(INDEX('12'!C$300:C$400,MATCH("*"&amp;H187&amp;"*",'12'!B$300:B$400,0)),"  ")</f>
        <v xml:space="preserve">  </v>
      </c>
      <c r="AM187" s="26">
        <f t="shared" ca="1" si="87"/>
        <v>0</v>
      </c>
      <c r="AN187" s="579">
        <f t="shared" ca="1" si="78"/>
        <v>0</v>
      </c>
      <c r="AO187" s="580">
        <f t="shared" ca="1" si="88"/>
        <v>0</v>
      </c>
      <c r="AP187" s="27">
        <f t="shared" ca="1" si="89"/>
        <v>0</v>
      </c>
      <c r="AQ187" s="933">
        <f t="shared" si="75"/>
        <v>2.0000000000000001E-4</v>
      </c>
      <c r="AR187" s="933">
        <f t="shared" ca="1" si="76"/>
        <v>1E-4</v>
      </c>
    </row>
    <row r="188" spans="1:44" ht="12.75" hidden="1" customHeight="1" x14ac:dyDescent="0.2">
      <c r="A188" s="851" t="str">
        <f t="shared" ca="1" si="79"/>
        <v/>
      </c>
      <c r="B188" s="77">
        <f t="shared" si="80"/>
        <v>0</v>
      </c>
      <c r="C188" s="853" t="str">
        <f t="shared" ca="1" si="73"/>
        <v/>
      </c>
      <c r="D188" s="76">
        <f t="shared" ca="1" si="81"/>
        <v>10000</v>
      </c>
      <c r="E188" s="855" t="str">
        <f t="shared" ca="1" si="74"/>
        <v/>
      </c>
      <c r="F188" s="899">
        <f t="shared" si="82"/>
        <v>0</v>
      </c>
      <c r="G188" s="897" t="str">
        <f t="shared" ca="1" si="77"/>
        <v/>
      </c>
      <c r="H188" s="133" t="s">
        <v>315</v>
      </c>
      <c r="I188" s="38" t="s">
        <v>32</v>
      </c>
      <c r="J188" s="585"/>
      <c r="K188" s="586"/>
      <c r="L188" s="588" t="s">
        <v>720</v>
      </c>
      <c r="M188" s="857">
        <f ca="1">(IF(COUNT(V188,AA188,AD188,AI188,AJ188,AL188)&lt;5,SUM(V188,AA188,AD188,AI188,AJ188,AL188),SUM(LARGE((V188,AA188,AD188,AI188,AJ188,AL188),{1;2;3;4;5}))))+(IF(COUNT(U188,W188,AB188,AC188,AE188,AK188)&lt;5,SUM(U188,W188,AB188,AC188,AE188,AK188),SUM(LARGE((U188,W188,AB188,AC188,AE188,AK188),{1;2;3;4;5}))))+T188</f>
        <v>0</v>
      </c>
      <c r="N188" s="862">
        <f ca="1">IF(I188="n",((IF(COUNT(V188,AA188,AD188,AI188,AJ188,AL188)&lt;5,SUM(V188,AA188,AD188,AI188,AJ188,AL188),SUM(LARGE((V188,AA188,AD188,AI188,AJ188,AL188),{1;2;3;4;5}))))+(IF(COUNT(U188,Y188,AB188,AC188,AG188,AK188)&lt;5,SUM(U188,Y188,AB188,AC188,AG188,AK188),SUM(LARGE((U188,Y188,AB188,AC188,AG188,AK188),{1;2;3;4;5}))))+T188),0)</f>
        <v>0</v>
      </c>
      <c r="O188" s="863">
        <f>IF(J188="j",((IF(COUNT(V188,AA188,AD188,AI188,AJ188,AL188)&lt;5,SUM(V188,AA188,AD188,AI188,AJ188,AL188),SUM(LARGE((V188,AA188,AD188,AI188,AJ188,AL188),{1;2;3;4;5}))))+(IF(COUNT(U188,W188,AB188,AC188,AE188,AK188)&lt;5,SUM(U188,W188,AB188,AC188,AE188,AK188),SUM(LARGE((U188,W188,AB188,AC188,AE188,AK188),{1;2;3;4;5}))))+T188),0)</f>
        <v>0</v>
      </c>
      <c r="P188" s="886" t="str">
        <f t="shared" ca="1" si="83"/>
        <v>000,0</v>
      </c>
      <c r="Q188" s="890">
        <f t="shared" si="84"/>
        <v>61</v>
      </c>
      <c r="R188" s="886" t="str">
        <f t="shared" ca="1" si="85"/>
        <v>0000,0-061</v>
      </c>
      <c r="S188" s="889">
        <f t="shared" ca="1" si="86"/>
        <v>14</v>
      </c>
      <c r="T188" s="847"/>
      <c r="U188" s="75" t="str">
        <f>IFERROR(INDEX('1'!C$300:C$400,MATCH("*"&amp;H188&amp;"*",'1'!B$300:B$400,0)),"  ")</f>
        <v xml:space="preserve">  </v>
      </c>
      <c r="V188" s="199" t="str">
        <f>IFERROR(INDEX('2'!C$300:C$400,MATCH("*"&amp;H188&amp;"*",'2'!B$300:B$400,0)),"  ")</f>
        <v xml:space="preserve">  </v>
      </c>
      <c r="W188" s="199" t="str">
        <f ca="1">IF(I188="",IFERROR(INDEX('3M'!C$300:C$400,MATCH("*"&amp;H188&amp;"*",'3M'!B$300:B$400,0)),"  "),IFERROR(INDEX('3N'!D$300:D$400,MATCH("*"&amp;H188&amp;"*",'3N'!B$300:B$400,0)),"  "))</f>
        <v xml:space="preserve">  </v>
      </c>
      <c r="X188" s="908" t="str">
        <f ca="1">IFERROR(INDEX('3M'!C$300:C$400,MATCH("*"&amp;H188&amp;"*",'3M'!B$300:B$400,0)),"  ")</f>
        <v xml:space="preserve">  </v>
      </c>
      <c r="Y188" s="907" t="str">
        <f ca="1">IFERROR(INDEX('3N'!C$300:C$400,MATCH("*"&amp;H188&amp;"*",'3N'!B$300:B$400,0)),"  ")</f>
        <v xml:space="preserve">  </v>
      </c>
      <c r="Z188" s="440"/>
      <c r="AA188" s="75" t="str">
        <f>IFERROR(INDEX('4'!C$300:C$400,MATCH("*"&amp;H188&amp;"*",'4'!B$300:B$400,0)),"  ")</f>
        <v xml:space="preserve">  </v>
      </c>
      <c r="AB188" s="75" t="str">
        <f>IFERROR(INDEX('5'!C$300:C$400,MATCH("*"&amp;H188&amp;"*",'5'!B$300:B$400,0)),"  ")</f>
        <v xml:space="preserve">  </v>
      </c>
      <c r="AC188" s="75" t="str">
        <f>IFERROR(INDEX('6'!C$300:C$400,MATCH("*"&amp;H188&amp;"*",'6'!B$300:B$400,0)),"  ")</f>
        <v xml:space="preserve">  </v>
      </c>
      <c r="AD188" s="75" t="str">
        <f>IFERROR(INDEX('7'!C$300:C$400,MATCH("*"&amp;H188&amp;"*",'7'!B$300:B$400,0)),"  ")</f>
        <v xml:space="preserve">  </v>
      </c>
      <c r="AE188" s="75" t="str">
        <f>IF(I188="",IFERROR(INDEX('8M'!C$300:C$400,MATCH("*"&amp;H188&amp;"*",'8M'!B$300:B$400,0)),"  "),IFERROR(INDEX('8N'!D$300:D$400,MATCH("*"&amp;H188&amp;"*",'8N'!B$300:B$400,0)),"  "))</f>
        <v xml:space="preserve">  </v>
      </c>
      <c r="AF188" s="908" t="str">
        <f>IFERROR(INDEX('8M'!C$300:C$400,MATCH("*"&amp;H188&amp;"*",'8M'!B$300:B$400,0)),"  ")</f>
        <v xml:space="preserve">  </v>
      </c>
      <c r="AG188" s="907" t="str">
        <f>IFERROR(INDEX('8N'!C$300:C$400,MATCH("*"&amp;H188&amp;"*",'8N'!B$300:B$400,0)),"  ")</f>
        <v xml:space="preserve">  </v>
      </c>
      <c r="AH188" s="440"/>
      <c r="AI188" s="75" t="str">
        <f>IFERROR(INDEX('9'!C$300:C$400,MATCH("*"&amp;H188&amp;"*",'9'!B$300:B$400,0)),"  ")</f>
        <v xml:space="preserve">  </v>
      </c>
      <c r="AJ188" s="830" t="str">
        <f>IFERROR(INDEX('10'!C$300:C$400,MATCH("*"&amp;H188&amp;"*",'10'!B$300:B$400,0)),"  ")</f>
        <v xml:space="preserve">  </v>
      </c>
      <c r="AK188" s="75" t="str">
        <f>IFERROR(INDEX('11'!C$300:C$400,MATCH("*"&amp;H188&amp;"*",'11'!B$300:B$400,0)),"  ")</f>
        <v xml:space="preserve">  </v>
      </c>
      <c r="AL188" s="75" t="str">
        <f>IFERROR(INDEX('12'!C$300:C$400,MATCH("*"&amp;H188&amp;"*",'12'!B$300:B$400,0)),"  ")</f>
        <v xml:space="preserve">  </v>
      </c>
      <c r="AM188" s="26">
        <f t="shared" ca="1" si="87"/>
        <v>0</v>
      </c>
      <c r="AN188" s="579">
        <f t="shared" ca="1" si="78"/>
        <v>0</v>
      </c>
      <c r="AO188" s="580">
        <f t="shared" ca="1" si="88"/>
        <v>0</v>
      </c>
      <c r="AP188" s="27">
        <f t="shared" ca="1" si="89"/>
        <v>0</v>
      </c>
      <c r="AQ188" s="933">
        <f t="shared" si="75"/>
        <v>2.0000000000000001E-4</v>
      </c>
      <c r="AR188" s="933">
        <f t="shared" ca="1" si="76"/>
        <v>1E-4</v>
      </c>
    </row>
    <row r="189" spans="1:44" ht="12.75" hidden="1" customHeight="1" x14ac:dyDescent="0.2">
      <c r="A189" s="851" t="str">
        <f t="shared" ca="1" si="79"/>
        <v/>
      </c>
      <c r="B189" s="77">
        <f t="shared" ca="1" si="80"/>
        <v>10000</v>
      </c>
      <c r="C189" s="853" t="str">
        <f t="shared" ca="1" si="73"/>
        <v/>
      </c>
      <c r="D189" s="76">
        <f t="shared" si="81"/>
        <v>0</v>
      </c>
      <c r="E189" s="855" t="str">
        <f t="shared" ca="1" si="74"/>
        <v/>
      </c>
      <c r="F189" s="899">
        <f t="shared" si="82"/>
        <v>0</v>
      </c>
      <c r="G189" s="897" t="str">
        <f t="shared" ca="1" si="77"/>
        <v/>
      </c>
      <c r="H189" s="133" t="s">
        <v>644</v>
      </c>
      <c r="I189" s="38"/>
      <c r="J189" s="585"/>
      <c r="K189" s="586" t="s">
        <v>718</v>
      </c>
      <c r="L189" s="588" t="s">
        <v>720</v>
      </c>
      <c r="M189" s="857">
        <f ca="1">(IF(COUNT(V189,AA189,AD189,AI189,AJ189,AL189)&lt;5,SUM(V189,AA189,AD189,AI189,AJ189,AL189),SUM(LARGE((V189,AA189,AD189,AI189,AJ189,AL189),{1;2;3;4;5}))))+(IF(COUNT(U189,W189,AB189,AC189,AE189,AK189)&lt;5,SUM(U189,W189,AB189,AC189,AE189,AK189),SUM(LARGE((U189,W189,AB189,AC189,AE189,AK189),{1;2;3;4;5}))))+T189</f>
        <v>0</v>
      </c>
      <c r="N189" s="862">
        <f>IF(I189="n",((IF(COUNT(V189,AA189,AD189,AI189,AJ189,AL189)&lt;5,SUM(V189,AA189,AD189,AI189,AJ189,AL189),SUM(LARGE((V189,AA189,AD189,AI189,AJ189,AL189),{1;2;3;4;5}))))+(IF(COUNT(U189,Y189,AB189,AC189,AG189,AK189)&lt;5,SUM(U189,Y189,AB189,AC189,AG189,AK189),SUM(LARGE((U189,Y189,AB189,AC189,AG189,AK189),{1;2;3;4;5}))))+T189),0)</f>
        <v>0</v>
      </c>
      <c r="O189" s="863">
        <f>IF(J189="j",((IF(COUNT(V189,AA189,AD189,AI189,AJ189,AL189)&lt;5,SUM(V189,AA189,AD189,AI189,AJ189,AL189),SUM(LARGE((V189,AA189,AD189,AI189,AJ189,AL189),{1;2;3;4;5}))))+(IF(COUNT(U189,W189,AB189,AC189,AE189,AK189)&lt;5,SUM(U189,W189,AB189,AC189,AE189,AK189),SUM(LARGE((U189,W189,AB189,AC189,AE189,AK189),{1;2;3;4;5}))))+T189),0)</f>
        <v>0</v>
      </c>
      <c r="P189" s="886" t="str">
        <f t="shared" ca="1" si="83"/>
        <v>000,0</v>
      </c>
      <c r="Q189" s="890">
        <f t="shared" si="84"/>
        <v>54</v>
      </c>
      <c r="R189" s="886" t="str">
        <f t="shared" ca="1" si="85"/>
        <v>0000,0-054</v>
      </c>
      <c r="S189" s="889">
        <f t="shared" ca="1" si="86"/>
        <v>13</v>
      </c>
      <c r="T189" s="847"/>
      <c r="U189" s="75" t="str">
        <f>IFERROR(INDEX('1'!C$300:C$400,MATCH("*"&amp;H189&amp;"*",'1'!B$300:B$400,0)),"  ")</f>
        <v xml:space="preserve">  </v>
      </c>
      <c r="V189" s="199" t="str">
        <f>IFERROR(INDEX('2'!C$300:C$400,MATCH("*"&amp;H189&amp;"*",'2'!B$300:B$400,0)),"  ")</f>
        <v xml:space="preserve">  </v>
      </c>
      <c r="W189" s="199" t="str">
        <f ca="1">IF(I189="",IFERROR(INDEX('3M'!C$300:C$400,MATCH("*"&amp;H189&amp;"*",'3M'!B$300:B$400,0)),"  "),IFERROR(INDEX('3N'!D$300:D$400,MATCH("*"&amp;H189&amp;"*",'3N'!B$300:B$400,0)),"  "))</f>
        <v xml:space="preserve">  </v>
      </c>
      <c r="X189" s="908" t="str">
        <f ca="1">IFERROR(INDEX('3M'!C$300:C$400,MATCH("*"&amp;H189&amp;"*",'3M'!B$300:B$400,0)),"  ")</f>
        <v xml:space="preserve">  </v>
      </c>
      <c r="Y189" s="907" t="str">
        <f ca="1">IFERROR(INDEX('3N'!C$300:C$400,MATCH("*"&amp;H189&amp;"*",'3N'!B$300:B$400,0)),"  ")</f>
        <v xml:space="preserve">  </v>
      </c>
      <c r="Z189" s="440"/>
      <c r="AA189" s="75" t="str">
        <f>IFERROR(INDEX('4'!C$300:C$400,MATCH("*"&amp;H189&amp;"*",'4'!B$300:B$400,0)),"  ")</f>
        <v xml:space="preserve">  </v>
      </c>
      <c r="AB189" s="75" t="str">
        <f>IFERROR(INDEX('5'!C$300:C$400,MATCH("*"&amp;H189&amp;"*",'5'!B$300:B$400,0)),"  ")</f>
        <v xml:space="preserve">  </v>
      </c>
      <c r="AC189" s="75" t="str">
        <f>IFERROR(INDEX('6'!C$300:C$400,MATCH("*"&amp;H189&amp;"*",'6'!B$300:B$400,0)),"  ")</f>
        <v xml:space="preserve">  </v>
      </c>
      <c r="AD189" s="75" t="str">
        <f>IFERROR(INDEX('7'!C$300:C$400,MATCH("*"&amp;H189&amp;"*",'7'!B$300:B$400,0)),"  ")</f>
        <v xml:space="preserve">  </v>
      </c>
      <c r="AE189" s="75" t="str">
        <f>IF(I189="",IFERROR(INDEX('8M'!C$300:C$400,MATCH("*"&amp;H189&amp;"*",'8M'!B$300:B$400,0)),"  "),IFERROR(INDEX('8N'!D$300:D$400,MATCH("*"&amp;H189&amp;"*",'8N'!B$300:B$400,0)),"  "))</f>
        <v xml:space="preserve">  </v>
      </c>
      <c r="AF189" s="908" t="str">
        <f>IFERROR(INDEX('8M'!C$300:C$400,MATCH("*"&amp;H189&amp;"*",'8M'!B$300:B$400,0)),"  ")</f>
        <v xml:space="preserve">  </v>
      </c>
      <c r="AG189" s="907" t="str">
        <f>IFERROR(INDEX('8N'!C$300:C$400,MATCH("*"&amp;H189&amp;"*",'8N'!B$300:B$400,0)),"  ")</f>
        <v xml:space="preserve">  </v>
      </c>
      <c r="AH189" s="440"/>
      <c r="AI189" s="75" t="str">
        <f>IFERROR(INDEX('9'!C$300:C$400,MATCH("*"&amp;H189&amp;"*",'9'!B$300:B$400,0)),"  ")</f>
        <v xml:space="preserve">  </v>
      </c>
      <c r="AJ189" s="830" t="str">
        <f>IFERROR(INDEX('10'!C$300:C$400,MATCH("*"&amp;H189&amp;"*",'10'!B$300:B$400,0)),"  ")</f>
        <v xml:space="preserve">  </v>
      </c>
      <c r="AK189" s="75" t="str">
        <f>IFERROR(INDEX('11'!C$300:C$400,MATCH("*"&amp;H189&amp;"*",'11'!B$300:B$400,0)),"  ")</f>
        <v xml:space="preserve">  </v>
      </c>
      <c r="AL189" s="75" t="str">
        <f>IFERROR(INDEX('12'!C$300:C$400,MATCH("*"&amp;H189&amp;"*",'12'!B$300:B$400,0)),"  ")</f>
        <v xml:space="preserve">  </v>
      </c>
      <c r="AM189" s="26">
        <f t="shared" ca="1" si="87"/>
        <v>0</v>
      </c>
      <c r="AN189" s="579">
        <f t="shared" ca="1" si="78"/>
        <v>0</v>
      </c>
      <c r="AO189" s="580">
        <f t="shared" ca="1" si="88"/>
        <v>0</v>
      </c>
      <c r="AP189" s="27">
        <f t="shared" ca="1" si="89"/>
        <v>0</v>
      </c>
      <c r="AQ189" s="933">
        <f t="shared" si="75"/>
        <v>2.0000000000000001E-4</v>
      </c>
      <c r="AR189" s="933">
        <f t="shared" ca="1" si="76"/>
        <v>1E-4</v>
      </c>
    </row>
    <row r="190" spans="1:44" ht="12.75" hidden="1" customHeight="1" x14ac:dyDescent="0.2">
      <c r="A190" s="851" t="str">
        <f t="shared" ca="1" si="79"/>
        <v/>
      </c>
      <c r="B190" s="77">
        <f t="shared" ca="1" si="80"/>
        <v>10000</v>
      </c>
      <c r="C190" s="853" t="str">
        <f t="shared" ca="1" si="73"/>
        <v/>
      </c>
      <c r="D190" s="76">
        <f t="shared" si="81"/>
        <v>0</v>
      </c>
      <c r="E190" s="855" t="str">
        <f t="shared" ca="1" si="74"/>
        <v/>
      </c>
      <c r="F190" s="899">
        <f t="shared" si="82"/>
        <v>0</v>
      </c>
      <c r="G190" s="897" t="str">
        <f t="shared" ca="1" si="77"/>
        <v/>
      </c>
      <c r="H190" s="133" t="s">
        <v>71</v>
      </c>
      <c r="I190" s="38"/>
      <c r="J190" s="585"/>
      <c r="K190" s="586"/>
      <c r="L190" s="587"/>
      <c r="M190" s="857">
        <f ca="1">(IF(COUNT(V190,AA190,AD190,AI190,AJ190,AL190)&lt;5,SUM(V190,AA190,AD190,AI190,AJ190,AL190),SUM(LARGE((V190,AA190,AD190,AI190,AJ190,AL190),{1;2;3;4;5}))))+(IF(COUNT(U190,W190,AB190,AC190,AE190,AK190)&lt;5,SUM(U190,W190,AB190,AC190,AE190,AK190),SUM(LARGE((U190,W190,AB190,AC190,AE190,AK190),{1;2;3;4;5}))))+T190</f>
        <v>0</v>
      </c>
      <c r="N190" s="862">
        <f>IF(I190="n",((IF(COUNT(V190,AA190,AD190,AI190,AJ190,AL190)&lt;5,SUM(V190,AA190,AD190,AI190,AJ190,AL190),SUM(LARGE((V190,AA190,AD190,AI190,AJ190,AL190),{1;2;3;4;5}))))+(IF(COUNT(U190,Y190,AB190,AC190,AG190,AK190)&lt;5,SUM(U190,Y190,AB190,AC190,AG190,AK190),SUM(LARGE((U190,Y190,AB190,AC190,AG190,AK190),{1;2;3;4;5}))))+T190),0)</f>
        <v>0</v>
      </c>
      <c r="O190" s="863">
        <f>IF(J190="j",((IF(COUNT(V190,AA190,AD190,AI190,AJ190,AL190)&lt;5,SUM(V190,AA190,AD190,AI190,AJ190,AL190),SUM(LARGE((V190,AA190,AD190,AI190,AJ190,AL190),{1;2;3;4;5}))))+(IF(COUNT(U190,W190,AB190,AC190,AE190,AK190)&lt;5,SUM(U190,W190,AB190,AC190,AE190,AK190),SUM(LARGE((U190,W190,AB190,AC190,AE190,AK190),{1;2;3;4;5}))))+T190),0)</f>
        <v>0</v>
      </c>
      <c r="P190" s="886" t="str">
        <f t="shared" ca="1" si="83"/>
        <v>000,0</v>
      </c>
      <c r="Q190" s="890">
        <f t="shared" si="84"/>
        <v>51</v>
      </c>
      <c r="R190" s="886" t="str">
        <f t="shared" ca="1" si="85"/>
        <v>0000,0-051</v>
      </c>
      <c r="S190" s="889">
        <f t="shared" ca="1" si="86"/>
        <v>12</v>
      </c>
      <c r="T190" s="847"/>
      <c r="U190" s="75" t="str">
        <f>IFERROR(INDEX('1'!C$300:C$400,MATCH("*"&amp;H190&amp;"*",'1'!B$300:B$400,0)),"  ")</f>
        <v xml:space="preserve">  </v>
      </c>
      <c r="V190" s="199" t="str">
        <f>IFERROR(INDEX('2'!C$300:C$400,MATCH("*"&amp;H190&amp;"*",'2'!B$300:B$400,0)),"  ")</f>
        <v xml:space="preserve">  </v>
      </c>
      <c r="W190" s="199" t="str">
        <f ca="1">IF(I190="",IFERROR(INDEX('3M'!C$300:C$400,MATCH("*"&amp;H190&amp;"*",'3M'!B$300:B$400,0)),"  "),IFERROR(INDEX('3N'!D$300:D$400,MATCH("*"&amp;H190&amp;"*",'3N'!B$300:B$400,0)),"  "))</f>
        <v xml:space="preserve">  </v>
      </c>
      <c r="X190" s="908" t="str">
        <f ca="1">IFERROR(INDEX('3M'!C$300:C$400,MATCH("*"&amp;H190&amp;"*",'3M'!B$300:B$400,0)),"  ")</f>
        <v xml:space="preserve">  </v>
      </c>
      <c r="Y190" s="907" t="str">
        <f ca="1">IFERROR(INDEX('3N'!C$300:C$400,MATCH("*"&amp;H190&amp;"*",'3N'!B$300:B$400,0)),"  ")</f>
        <v xml:space="preserve">  </v>
      </c>
      <c r="Z190" s="440"/>
      <c r="AA190" s="75" t="str">
        <f>IFERROR(INDEX('4'!C$300:C$400,MATCH("*"&amp;H190&amp;"*",'4'!B$300:B$400,0)),"  ")</f>
        <v xml:space="preserve">  </v>
      </c>
      <c r="AB190" s="75" t="str">
        <f>IFERROR(INDEX('5'!C$300:C$400,MATCH("*"&amp;H190&amp;"*",'5'!B$300:B$400,0)),"  ")</f>
        <v xml:space="preserve">  </v>
      </c>
      <c r="AC190" s="75" t="str">
        <f>IFERROR(INDEX('6'!C$300:C$400,MATCH("*"&amp;H190&amp;"*",'6'!B$300:B$400,0)),"  ")</f>
        <v xml:space="preserve">  </v>
      </c>
      <c r="AD190" s="75" t="str">
        <f>IFERROR(INDEX('7'!C$300:C$400,MATCH("*"&amp;H190&amp;"*",'7'!B$300:B$400,0)),"  ")</f>
        <v xml:space="preserve">  </v>
      </c>
      <c r="AE190" s="75" t="str">
        <f>IF(I190="",IFERROR(INDEX('8M'!C$300:C$400,MATCH("*"&amp;H190&amp;"*",'8M'!B$300:B$400,0)),"  "),IFERROR(INDEX('8N'!D$300:D$400,MATCH("*"&amp;H190&amp;"*",'8N'!B$300:B$400,0)),"  "))</f>
        <v xml:space="preserve">  </v>
      </c>
      <c r="AF190" s="908" t="str">
        <f>IFERROR(INDEX('8M'!C$300:C$400,MATCH("*"&amp;H190&amp;"*",'8M'!B$300:B$400,0)),"  ")</f>
        <v xml:space="preserve">  </v>
      </c>
      <c r="AG190" s="907" t="str">
        <f>IFERROR(INDEX('8N'!C$300:C$400,MATCH("*"&amp;H190&amp;"*",'8N'!B$300:B$400,0)),"  ")</f>
        <v xml:space="preserve">  </v>
      </c>
      <c r="AH190" s="440"/>
      <c r="AI190" s="75" t="str">
        <f>IFERROR(INDEX('9'!C$300:C$400,MATCH("*"&amp;H190&amp;"*",'9'!B$300:B$400,0)),"  ")</f>
        <v xml:space="preserve">  </v>
      </c>
      <c r="AJ190" s="830" t="str">
        <f>IFERROR(INDEX('10'!C$300:C$400,MATCH("*"&amp;H190&amp;"*",'10'!B$300:B$400,0)),"  ")</f>
        <v xml:space="preserve">  </v>
      </c>
      <c r="AK190" s="75" t="str">
        <f>IFERROR(INDEX('11'!C$300:C$400,MATCH("*"&amp;H190&amp;"*",'11'!B$300:B$400,0)),"  ")</f>
        <v xml:space="preserve">  </v>
      </c>
      <c r="AL190" s="75" t="str">
        <f>IFERROR(INDEX('12'!C$300:C$400,MATCH("*"&amp;H190&amp;"*",'12'!B$300:B$400,0)),"  ")</f>
        <v xml:space="preserve">  </v>
      </c>
      <c r="AM190" s="26">
        <f t="shared" ca="1" si="87"/>
        <v>0</v>
      </c>
      <c r="AN190" s="579">
        <f t="shared" ref="AN190:AN201" ca="1" si="90">COUNTIF(V190,"&gt;=97")+COUNTIF(AA190,"&gt;=97")+COUNTIF(AI190,"&gt;=97")+COUNTIF(AJ190,"&gt;=97")+COUNTIF(AD190,"&gt;=97")+COUNTIF(AL190,"&gt;=97")+COUNTIF(U190,"&gt;=146")+COUNTIF(AE190,"&gt;=146")+COUNTIF(W190,"&gt;=146")+COUNTIF(AB190,"&gt;=146")+COUNTIF(AC190,"&gt;=146")+COUNTIF(AK190,"&gt;=146")+IF((I190="n"),(COUNTIF(AE190,"=83")+COUNTIF(AE190,"=93")+COUNTIF(AE190,"=105")+COUNTIF(W190,"=83")+COUNTIF(W190,"=93")+COUNTIF(W190,"=105")))+IF((J190="j"),(COUNTIF(AE190,"=33")+COUNTIF(AE190,"=42")+COUNTIF(AE190,"=53")+COUNTIF(W190,"=33")+COUNTIF(W190,"=42")+COUNTIF(W190,"=53")))</f>
        <v>0</v>
      </c>
      <c r="AO190" s="580">
        <f t="shared" ca="1" si="88"/>
        <v>0</v>
      </c>
      <c r="AP190" s="27">
        <f t="shared" ca="1" si="89"/>
        <v>0</v>
      </c>
      <c r="AQ190" s="933">
        <f t="shared" si="75"/>
        <v>2.0000000000000001E-4</v>
      </c>
      <c r="AR190" s="933">
        <f t="shared" ca="1" si="76"/>
        <v>1E-4</v>
      </c>
    </row>
    <row r="191" spans="1:44" ht="12.75" hidden="1" customHeight="1" x14ac:dyDescent="0.2">
      <c r="A191" s="851" t="str">
        <f t="shared" ca="1" si="79"/>
        <v/>
      </c>
      <c r="B191" s="77">
        <f t="shared" ca="1" si="80"/>
        <v>10000</v>
      </c>
      <c r="C191" s="853" t="str">
        <f t="shared" ca="1" si="73"/>
        <v/>
      </c>
      <c r="D191" s="76">
        <f t="shared" si="81"/>
        <v>0</v>
      </c>
      <c r="E191" s="855" t="str">
        <f t="shared" ca="1" si="74"/>
        <v/>
      </c>
      <c r="F191" s="899">
        <f t="shared" si="82"/>
        <v>0</v>
      </c>
      <c r="G191" s="897" t="str">
        <f t="shared" ca="1" si="77"/>
        <v/>
      </c>
      <c r="H191" s="133" t="s">
        <v>305</v>
      </c>
      <c r="I191" s="38"/>
      <c r="J191" s="585"/>
      <c r="K191" s="586"/>
      <c r="L191" s="587"/>
      <c r="M191" s="857">
        <f ca="1">(IF(COUNT(V191,AA191,AD191,AI191,AJ191,AL191)&lt;5,SUM(V191,AA191,AD191,AI191,AJ191,AL191),SUM(LARGE((V191,AA191,AD191,AI191,AJ191,AL191),{1;2;3;4;5}))))+(IF(COUNT(U191,W191,AB191,AC191,AE191,AK191)&lt;5,SUM(U191,W191,AB191,AC191,AE191,AK191),SUM(LARGE((U191,W191,AB191,AC191,AE191,AK191),{1;2;3;4;5}))))+T191</f>
        <v>0</v>
      </c>
      <c r="N191" s="862">
        <f>IF(I191="n",((IF(COUNT(V191,AA191,AD191,AI191,AJ191,AL191)&lt;5,SUM(V191,AA191,AD191,AI191,AJ191,AL191),SUM(LARGE((V191,AA191,AD191,AI191,AJ191,AL191),{1;2;3;4;5}))))+(IF(COUNT(U191,Y191,AB191,AC191,AG191,AK191)&lt;5,SUM(U191,Y191,AB191,AC191,AG191,AK191),SUM(LARGE((U191,Y191,AB191,AC191,AG191,AK191),{1;2;3;4;5}))))+T191),0)</f>
        <v>0</v>
      </c>
      <c r="O191" s="863">
        <f>IF(J191="j",((IF(COUNT(V191,AA191,AD191,AI191,AJ191,AL191)&lt;5,SUM(V191,AA191,AD191,AI191,AJ191,AL191),SUM(LARGE((V191,AA191,AD191,AI191,AJ191,AL191),{1;2;3;4;5}))))+(IF(COUNT(U191,W191,AB191,AC191,AE191,AK191)&lt;5,SUM(U191,W191,AB191,AC191,AE191,AK191),SUM(LARGE((U191,W191,AB191,AC191,AE191,AK191),{1;2;3;4;5}))))+T191),0)</f>
        <v>0</v>
      </c>
      <c r="P191" s="886" t="str">
        <f t="shared" ca="1" si="83"/>
        <v>000,0</v>
      </c>
      <c r="Q191" s="890">
        <f t="shared" si="84"/>
        <v>49</v>
      </c>
      <c r="R191" s="886" t="str">
        <f t="shared" ca="1" si="85"/>
        <v>0000,0-049</v>
      </c>
      <c r="S191" s="889">
        <f t="shared" ca="1" si="86"/>
        <v>11</v>
      </c>
      <c r="T191" s="847"/>
      <c r="U191" s="75" t="str">
        <f>IFERROR(INDEX('1'!C$300:C$400,MATCH("*"&amp;H191&amp;"*",'1'!B$300:B$400,0)),"  ")</f>
        <v xml:space="preserve">  </v>
      </c>
      <c r="V191" s="199" t="str">
        <f>IFERROR(INDEX('2'!C$300:C$400,MATCH("*"&amp;H191&amp;"*",'2'!B$300:B$400,0)),"  ")</f>
        <v xml:space="preserve">  </v>
      </c>
      <c r="W191" s="199" t="str">
        <f ca="1">IF(I191="",IFERROR(INDEX('3M'!C$300:C$400,MATCH("*"&amp;H191&amp;"*",'3M'!B$300:B$400,0)),"  "),IFERROR(INDEX('3N'!D$300:D$400,MATCH("*"&amp;H191&amp;"*",'3N'!B$300:B$400,0)),"  "))</f>
        <v xml:space="preserve">  </v>
      </c>
      <c r="X191" s="908" t="str">
        <f ca="1">IFERROR(INDEX('3M'!C$300:C$400,MATCH("*"&amp;H191&amp;"*",'3M'!B$300:B$400,0)),"  ")</f>
        <v xml:space="preserve">  </v>
      </c>
      <c r="Y191" s="907" t="str">
        <f ca="1">IFERROR(INDEX('3N'!C$300:C$400,MATCH("*"&amp;H191&amp;"*",'3N'!B$300:B$400,0)),"  ")</f>
        <v xml:space="preserve">  </v>
      </c>
      <c r="Z191" s="440"/>
      <c r="AA191" s="75" t="str">
        <f>IFERROR(INDEX('4'!C$300:C$400,MATCH("*"&amp;H191&amp;"*",'4'!B$300:B$400,0)),"  ")</f>
        <v xml:space="preserve">  </v>
      </c>
      <c r="AB191" s="75" t="str">
        <f>IFERROR(INDEX('5'!C$300:C$400,MATCH("*"&amp;H191&amp;"*",'5'!B$300:B$400,0)),"  ")</f>
        <v xml:space="preserve">  </v>
      </c>
      <c r="AC191" s="75" t="str">
        <f>IFERROR(INDEX('6'!C$300:C$400,MATCH("*"&amp;H191&amp;"*",'6'!B$300:B$400,0)),"  ")</f>
        <v xml:space="preserve">  </v>
      </c>
      <c r="AD191" s="75" t="str">
        <f>IFERROR(INDEX('7'!C$300:C$400,MATCH("*"&amp;H191&amp;"*",'7'!B$300:B$400,0)),"  ")</f>
        <v xml:space="preserve">  </v>
      </c>
      <c r="AE191" s="75" t="str">
        <f>IF(I191="",IFERROR(INDEX('8M'!C$300:C$400,MATCH("*"&amp;H191&amp;"*",'8M'!B$300:B$400,0)),"  "),IFERROR(INDEX('8N'!D$300:D$400,MATCH("*"&amp;H191&amp;"*",'8N'!B$300:B$400,0)),"  "))</f>
        <v xml:space="preserve">  </v>
      </c>
      <c r="AF191" s="908" t="str">
        <f>IFERROR(INDEX('8M'!C$300:C$400,MATCH("*"&amp;H191&amp;"*",'8M'!B$300:B$400,0)),"  ")</f>
        <v xml:space="preserve">  </v>
      </c>
      <c r="AG191" s="907" t="str">
        <f>IFERROR(INDEX('8N'!C$300:C$400,MATCH("*"&amp;H191&amp;"*",'8N'!B$300:B$400,0)),"  ")</f>
        <v xml:space="preserve">  </v>
      </c>
      <c r="AH191" s="440"/>
      <c r="AI191" s="75" t="str">
        <f>IFERROR(INDEX('9'!C$300:C$400,MATCH("*"&amp;H191&amp;"*",'9'!B$300:B$400,0)),"  ")</f>
        <v xml:space="preserve">  </v>
      </c>
      <c r="AJ191" s="830" t="str">
        <f>IFERROR(INDEX('10'!C$300:C$400,MATCH("*"&amp;H191&amp;"*",'10'!B$300:B$400,0)),"  ")</f>
        <v xml:space="preserve">  </v>
      </c>
      <c r="AK191" s="75" t="str">
        <f>IFERROR(INDEX('11'!C$300:C$400,MATCH("*"&amp;H191&amp;"*",'11'!B$300:B$400,0)),"  ")</f>
        <v xml:space="preserve">  </v>
      </c>
      <c r="AL191" s="75" t="str">
        <f>IFERROR(INDEX('12'!C$300:C$400,MATCH("*"&amp;H191&amp;"*",'12'!B$300:B$400,0)),"  ")</f>
        <v xml:space="preserve">  </v>
      </c>
      <c r="AM191" s="26">
        <f t="shared" ca="1" si="87"/>
        <v>0</v>
      </c>
      <c r="AN191" s="579">
        <f t="shared" ca="1" si="90"/>
        <v>0</v>
      </c>
      <c r="AO191" s="580">
        <f t="shared" ca="1" si="88"/>
        <v>0</v>
      </c>
      <c r="AP191" s="27">
        <f t="shared" ca="1" si="89"/>
        <v>0</v>
      </c>
      <c r="AQ191" s="933">
        <f t="shared" si="75"/>
        <v>2.0000000000000001E-4</v>
      </c>
      <c r="AR191" s="933">
        <f t="shared" ca="1" si="76"/>
        <v>1E-4</v>
      </c>
    </row>
    <row r="192" spans="1:44" ht="12.75" hidden="1" customHeight="1" x14ac:dyDescent="0.2">
      <c r="A192" s="851" t="str">
        <f t="shared" ca="1" si="79"/>
        <v/>
      </c>
      <c r="B192" s="77">
        <f t="shared" ca="1" si="80"/>
        <v>10000</v>
      </c>
      <c r="C192" s="853" t="str">
        <f t="shared" ca="1" si="73"/>
        <v/>
      </c>
      <c r="D192" s="76">
        <f t="shared" si="81"/>
        <v>0</v>
      </c>
      <c r="E192" s="855" t="str">
        <f t="shared" ca="1" si="74"/>
        <v/>
      </c>
      <c r="F192" s="899">
        <f t="shared" ca="1" si="82"/>
        <v>10000</v>
      </c>
      <c r="G192" s="897" t="str">
        <f t="shared" ca="1" si="77"/>
        <v/>
      </c>
      <c r="H192" s="133" t="s">
        <v>571</v>
      </c>
      <c r="I192" s="38"/>
      <c r="J192" s="589" t="s">
        <v>45</v>
      </c>
      <c r="K192" s="586" t="s">
        <v>718</v>
      </c>
      <c r="L192" s="587"/>
      <c r="M192" s="857">
        <f ca="1">(IF(COUNT(V192,AA192,AD192,AI192,AJ192,AL192)&lt;5,SUM(V192,AA192,AD192,AI192,AJ192,AL192),SUM(LARGE((V192,AA192,AD192,AI192,AJ192,AL192),{1;2;3;4;5}))))+(IF(COUNT(U192,W192,AB192,AC192,AE192,AK192)&lt;5,SUM(U192,W192,AB192,AC192,AE192,AK192),SUM(LARGE((U192,W192,AB192,AC192,AE192,AK192),{1;2;3;4;5}))))+T192</f>
        <v>0</v>
      </c>
      <c r="N192" s="862">
        <f>IF(I192="n",((IF(COUNT(V192,AA192,AD192,AI192,AJ192,AL192)&lt;5,SUM(V192,AA192,AD192,AI192,AJ192,AL192),SUM(LARGE((V192,AA192,AD192,AI192,AJ192,AL192),{1;2;3;4;5}))))+(IF(COUNT(U192,Y192,AB192,AC192,AG192,AK192)&lt;5,SUM(U192,Y192,AB192,AC192,AG192,AK192),SUM(LARGE((U192,Y192,AB192,AC192,AG192,AK192),{1;2;3;4;5}))))+T192),0)</f>
        <v>0</v>
      </c>
      <c r="O192" s="863">
        <f ca="1">IF(J192="j",((IF(COUNT(V192,AA192,AD192,AI192,AJ192,AL192)&lt;5,SUM(V192,AA192,AD192,AI192,AJ192,AL192),SUM(LARGE((V192,AA192,AD192,AI192,AJ192,AL192),{1;2;3;4;5}))))+(IF(COUNT(U192,W192,AB192,AC192,AE192,AK192)&lt;5,SUM(U192,W192,AB192,AC192,AE192,AK192),SUM(LARGE((U192,W192,AB192,AC192,AE192,AK192),{1;2;3;4;5}))))+T192),0)</f>
        <v>0</v>
      </c>
      <c r="P192" s="886" t="str">
        <f t="shared" ca="1" si="83"/>
        <v>000,0</v>
      </c>
      <c r="Q192" s="890">
        <f t="shared" si="84"/>
        <v>48</v>
      </c>
      <c r="R192" s="886" t="str">
        <f t="shared" ca="1" si="85"/>
        <v>0000,0-048</v>
      </c>
      <c r="S192" s="889">
        <f t="shared" ca="1" si="86"/>
        <v>10</v>
      </c>
      <c r="T192" s="847"/>
      <c r="U192" s="75" t="str">
        <f>IFERROR(INDEX('1'!C$300:C$400,MATCH("*"&amp;H192&amp;"*",'1'!B$300:B$400,0)),"  ")</f>
        <v xml:space="preserve">  </v>
      </c>
      <c r="V192" s="199" t="str">
        <f>IFERROR(INDEX('2'!C$300:C$400,MATCH("*"&amp;H192&amp;"*",'2'!B$300:B$400,0)),"  ")</f>
        <v xml:space="preserve">  </v>
      </c>
      <c r="W192" s="199" t="str">
        <f ca="1">IF(I192="",IFERROR(INDEX('3M'!C$300:C$400,MATCH("*"&amp;H192&amp;"*",'3M'!B$300:B$400,0)),"  "),IFERROR(INDEX('3N'!D$300:D$400,MATCH("*"&amp;H192&amp;"*",'3N'!B$300:B$400,0)),"  "))</f>
        <v xml:space="preserve">  </v>
      </c>
      <c r="X192" s="908" t="str">
        <f ca="1">IFERROR(INDEX('3M'!C$300:C$400,MATCH("*"&amp;H192&amp;"*",'3M'!B$300:B$400,0)),"  ")</f>
        <v xml:space="preserve">  </v>
      </c>
      <c r="Y192" s="907" t="str">
        <f ca="1">IFERROR(INDEX('3N'!C$300:C$400,MATCH("*"&amp;H192&amp;"*",'3N'!B$300:B$400,0)),"  ")</f>
        <v xml:space="preserve">  </v>
      </c>
      <c r="Z192" s="440"/>
      <c r="AA192" s="75" t="str">
        <f>IFERROR(INDEX('4'!C$300:C$400,MATCH("*"&amp;H192&amp;"*",'4'!B$300:B$400,0)),"  ")</f>
        <v xml:space="preserve">  </v>
      </c>
      <c r="AB192" s="75" t="str">
        <f>IFERROR(INDEX('5'!C$300:C$400,MATCH("*"&amp;H192&amp;"*",'5'!B$300:B$400,0)),"  ")</f>
        <v xml:space="preserve">  </v>
      </c>
      <c r="AC192" s="75" t="str">
        <f>IFERROR(INDEX('6'!C$300:C$400,MATCH("*"&amp;H192&amp;"*",'6'!B$300:B$400,0)),"  ")</f>
        <v xml:space="preserve">  </v>
      </c>
      <c r="AD192" s="75" t="str">
        <f>IFERROR(INDEX('7'!C$300:C$400,MATCH("*"&amp;H192&amp;"*",'7'!B$300:B$400,0)),"  ")</f>
        <v xml:space="preserve">  </v>
      </c>
      <c r="AE192" s="75" t="str">
        <f>IF(I192="",IFERROR(INDEX('8M'!C$300:C$400,MATCH("*"&amp;H192&amp;"*",'8M'!B$300:B$400,0)),"  "),IFERROR(INDEX('8N'!D$300:D$400,MATCH("*"&amp;H192&amp;"*",'8N'!B$300:B$400,0)),"  "))</f>
        <v xml:space="preserve">  </v>
      </c>
      <c r="AF192" s="908" t="str">
        <f>IFERROR(INDEX('8M'!C$300:C$400,MATCH("*"&amp;H192&amp;"*",'8M'!B$300:B$400,0)),"  ")</f>
        <v xml:space="preserve">  </v>
      </c>
      <c r="AG192" s="907" t="str">
        <f>IFERROR(INDEX('8N'!C$300:C$400,MATCH("*"&amp;H192&amp;"*",'8N'!B$300:B$400,0)),"  ")</f>
        <v xml:space="preserve">  </v>
      </c>
      <c r="AH192" s="440"/>
      <c r="AI192" s="75" t="str">
        <f>IFERROR(INDEX('9'!C$300:C$400,MATCH("*"&amp;H192&amp;"*",'9'!B$300:B$400,0)),"  ")</f>
        <v xml:space="preserve">  </v>
      </c>
      <c r="AJ192" s="830" t="str">
        <f>IFERROR(INDEX('10'!C$300:C$400,MATCH("*"&amp;H192&amp;"*",'10'!B$300:B$400,0)),"  ")</f>
        <v xml:space="preserve">  </v>
      </c>
      <c r="AK192" s="75" t="str">
        <f>IFERROR(INDEX('11'!C$300:C$400,MATCH("*"&amp;H192&amp;"*",'11'!B$300:B$400,0)),"  ")</f>
        <v xml:space="preserve">  </v>
      </c>
      <c r="AL192" s="75" t="str">
        <f>IFERROR(INDEX('12'!C$300:C$400,MATCH("*"&amp;H192&amp;"*",'12'!B$300:B$400,0)),"  ")</f>
        <v xml:space="preserve">  </v>
      </c>
      <c r="AM192" s="26">
        <f t="shared" ca="1" si="87"/>
        <v>0</v>
      </c>
      <c r="AN192" s="579">
        <f t="shared" ca="1" si="90"/>
        <v>0</v>
      </c>
      <c r="AO192" s="580">
        <f t="shared" ca="1" si="88"/>
        <v>0</v>
      </c>
      <c r="AP192" s="27">
        <f t="shared" ca="1" si="89"/>
        <v>0</v>
      </c>
      <c r="AQ192" s="933">
        <f t="shared" si="75"/>
        <v>2.0000000000000001E-4</v>
      </c>
      <c r="AR192" s="933">
        <f t="shared" ca="1" si="76"/>
        <v>1E-4</v>
      </c>
    </row>
    <row r="193" spans="1:44" ht="12.75" hidden="1" customHeight="1" x14ac:dyDescent="0.2">
      <c r="A193" s="851" t="str">
        <f t="shared" ca="1" si="79"/>
        <v/>
      </c>
      <c r="B193" s="77">
        <f t="shared" si="80"/>
        <v>0</v>
      </c>
      <c r="C193" s="853" t="str">
        <f t="shared" ca="1" si="73"/>
        <v/>
      </c>
      <c r="D193" s="76">
        <f t="shared" ca="1" si="81"/>
        <v>10000</v>
      </c>
      <c r="E193" s="855" t="str">
        <f t="shared" ca="1" si="74"/>
        <v/>
      </c>
      <c r="F193" s="899">
        <f t="shared" si="82"/>
        <v>0</v>
      </c>
      <c r="G193" s="897" t="str">
        <f t="shared" ca="1" si="77"/>
        <v/>
      </c>
      <c r="H193" s="133" t="s">
        <v>640</v>
      </c>
      <c r="I193" s="38" t="s">
        <v>32</v>
      </c>
      <c r="J193" s="585"/>
      <c r="K193" s="586"/>
      <c r="L193" s="587"/>
      <c r="M193" s="857">
        <f ca="1">(IF(COUNT(V193,AA193,AD193,AI193,AJ193,AL193)&lt;5,SUM(V193,AA193,AD193,AI193,AJ193,AL193),SUM(LARGE((V193,AA193,AD193,AI193,AJ193,AL193),{1;2;3;4;5}))))+(IF(COUNT(U193,W193,AB193,AC193,AE193,AK193)&lt;5,SUM(U193,W193,AB193,AC193,AE193,AK193),SUM(LARGE((U193,W193,AB193,AC193,AE193,AK193),{1;2;3;4;5}))))+T193</f>
        <v>0</v>
      </c>
      <c r="N193" s="862">
        <f ca="1">IF(I193="n",((IF(COUNT(V193,AA193,AD193,AI193,AJ193,AL193)&lt;5,SUM(V193,AA193,AD193,AI193,AJ193,AL193),SUM(LARGE((V193,AA193,AD193,AI193,AJ193,AL193),{1;2;3;4;5}))))+(IF(COUNT(U193,Y193,AB193,AC193,AG193,AK193)&lt;5,SUM(U193,Y193,AB193,AC193,AG193,AK193),SUM(LARGE((U193,Y193,AB193,AC193,AG193,AK193),{1;2;3;4;5}))))+T193),0)</f>
        <v>0</v>
      </c>
      <c r="O193" s="863">
        <f>IF(J193="j",((IF(COUNT(V193,AA193,AD193,AI193,AJ193,AL193)&lt;5,SUM(V193,AA193,AD193,AI193,AJ193,AL193),SUM(LARGE((V193,AA193,AD193,AI193,AJ193,AL193),{1;2;3;4;5}))))+(IF(COUNT(U193,W193,AB193,AC193,AE193,AK193)&lt;5,SUM(U193,W193,AB193,AC193,AE193,AK193),SUM(LARGE((U193,W193,AB193,AC193,AE193,AK193),{1;2;3;4;5}))))+T193),0)</f>
        <v>0</v>
      </c>
      <c r="P193" s="886" t="str">
        <f t="shared" ca="1" si="83"/>
        <v>000,0</v>
      </c>
      <c r="Q193" s="890">
        <f t="shared" si="84"/>
        <v>44</v>
      </c>
      <c r="R193" s="886" t="str">
        <f t="shared" ca="1" si="85"/>
        <v>0000,0-044</v>
      </c>
      <c r="S193" s="889">
        <f t="shared" ca="1" si="86"/>
        <v>9</v>
      </c>
      <c r="T193" s="847"/>
      <c r="U193" s="75" t="str">
        <f>IFERROR(INDEX('1'!C$300:C$400,MATCH("*"&amp;H193&amp;"*",'1'!B$300:B$400,0)),"  ")</f>
        <v xml:space="preserve">  </v>
      </c>
      <c r="V193" s="199" t="str">
        <f>IFERROR(INDEX('2'!C$300:C$400,MATCH("*"&amp;H193&amp;"*",'2'!B$300:B$400,0)),"  ")</f>
        <v xml:space="preserve">  </v>
      </c>
      <c r="W193" s="199" t="str">
        <f ca="1">IF(I193="",IFERROR(INDEX('3M'!C$300:C$400,MATCH("*"&amp;H193&amp;"*",'3M'!B$300:B$400,0)),"  "),IFERROR(INDEX('3N'!D$300:D$400,MATCH("*"&amp;H193&amp;"*",'3N'!B$300:B$400,0)),"  "))</f>
        <v xml:space="preserve">  </v>
      </c>
      <c r="X193" s="908" t="str">
        <f ca="1">IFERROR(INDEX('3M'!C$300:C$400,MATCH("*"&amp;H193&amp;"*",'3M'!B$300:B$400,0)),"  ")</f>
        <v xml:space="preserve">  </v>
      </c>
      <c r="Y193" s="907" t="str">
        <f ca="1">IFERROR(INDEX('3N'!C$300:C$400,MATCH("*"&amp;H193&amp;"*",'3N'!B$300:B$400,0)),"  ")</f>
        <v xml:space="preserve">  </v>
      </c>
      <c r="Z193" s="440"/>
      <c r="AA193" s="75" t="str">
        <f>IFERROR(INDEX('4'!C$300:C$400,MATCH("*"&amp;H193&amp;"*",'4'!B$300:B$400,0)),"  ")</f>
        <v xml:space="preserve">  </v>
      </c>
      <c r="AB193" s="75" t="str">
        <f>IFERROR(INDEX('5'!C$300:C$400,MATCH("*"&amp;H193&amp;"*",'5'!B$300:B$400,0)),"  ")</f>
        <v xml:space="preserve">  </v>
      </c>
      <c r="AC193" s="75" t="str">
        <f>IFERROR(INDEX('6'!C$300:C$400,MATCH("*"&amp;H193&amp;"*",'6'!B$300:B$400,0)),"  ")</f>
        <v xml:space="preserve">  </v>
      </c>
      <c r="AD193" s="75" t="str">
        <f>IFERROR(INDEX('7'!C$300:C$400,MATCH("*"&amp;H193&amp;"*",'7'!B$300:B$400,0)),"  ")</f>
        <v xml:space="preserve">  </v>
      </c>
      <c r="AE193" s="75" t="str">
        <f>IF(I193="",IFERROR(INDEX('8M'!C$300:C$400,MATCH("*"&amp;H193&amp;"*",'8M'!B$300:B$400,0)),"  "),IFERROR(INDEX('8N'!D$300:D$400,MATCH("*"&amp;H193&amp;"*",'8N'!B$300:B$400,0)),"  "))</f>
        <v xml:space="preserve">  </v>
      </c>
      <c r="AF193" s="908" t="str">
        <f>IFERROR(INDEX('8M'!C$300:C$400,MATCH("*"&amp;H193&amp;"*",'8M'!B$300:B$400,0)),"  ")</f>
        <v xml:space="preserve">  </v>
      </c>
      <c r="AG193" s="907" t="str">
        <f>IFERROR(INDEX('8N'!C$300:C$400,MATCH("*"&amp;H193&amp;"*",'8N'!B$300:B$400,0)),"  ")</f>
        <v xml:space="preserve">  </v>
      </c>
      <c r="AH193" s="440"/>
      <c r="AI193" s="75" t="str">
        <f>IFERROR(INDEX('9'!C$300:C$400,MATCH("*"&amp;H193&amp;"*",'9'!B$300:B$400,0)),"  ")</f>
        <v xml:space="preserve">  </v>
      </c>
      <c r="AJ193" s="830" t="str">
        <f>IFERROR(INDEX('10'!C$300:C$400,MATCH("*"&amp;H193&amp;"*",'10'!B$300:B$400,0)),"  ")</f>
        <v xml:space="preserve">  </v>
      </c>
      <c r="AK193" s="75" t="str">
        <f>IFERROR(INDEX('11'!C$300:C$400,MATCH("*"&amp;H193&amp;"*",'11'!B$300:B$400,0)),"  ")</f>
        <v xml:space="preserve">  </v>
      </c>
      <c r="AL193" s="75" t="str">
        <f>IFERROR(INDEX('12'!C$300:C$400,MATCH("*"&amp;H193&amp;"*",'12'!B$300:B$400,0)),"  ")</f>
        <v xml:space="preserve">  </v>
      </c>
      <c r="AM193" s="26">
        <f t="shared" ca="1" si="87"/>
        <v>0</v>
      </c>
      <c r="AN193" s="579">
        <f t="shared" ca="1" si="90"/>
        <v>0</v>
      </c>
      <c r="AO193" s="580">
        <f t="shared" ca="1" si="88"/>
        <v>0</v>
      </c>
      <c r="AP193" s="27">
        <f t="shared" ca="1" si="89"/>
        <v>0</v>
      </c>
      <c r="AQ193" s="933">
        <f t="shared" si="75"/>
        <v>2.0000000000000001E-4</v>
      </c>
      <c r="AR193" s="933">
        <f t="shared" ca="1" si="76"/>
        <v>1E-4</v>
      </c>
    </row>
    <row r="194" spans="1:44" ht="12.75" hidden="1" customHeight="1" x14ac:dyDescent="0.2">
      <c r="A194" s="851" t="str">
        <f t="shared" ca="1" si="79"/>
        <v/>
      </c>
      <c r="B194" s="77">
        <f t="shared" si="80"/>
        <v>0</v>
      </c>
      <c r="C194" s="853" t="str">
        <f t="shared" ca="1" si="73"/>
        <v/>
      </c>
      <c r="D194" s="76">
        <f t="shared" ca="1" si="81"/>
        <v>10000</v>
      </c>
      <c r="E194" s="855" t="str">
        <f t="shared" ca="1" si="74"/>
        <v/>
      </c>
      <c r="F194" s="899">
        <f t="shared" si="82"/>
        <v>0</v>
      </c>
      <c r="G194" s="897" t="str">
        <f t="shared" ca="1" si="77"/>
        <v/>
      </c>
      <c r="H194" s="133" t="s">
        <v>210</v>
      </c>
      <c r="I194" s="38" t="s">
        <v>32</v>
      </c>
      <c r="J194" s="585"/>
      <c r="K194" s="586"/>
      <c r="L194" s="587"/>
      <c r="M194" s="857">
        <f ca="1">(IF(COUNT(V194,AA194,AD194,AI194,AJ194,AL194)&lt;5,SUM(V194,AA194,AD194,AI194,AJ194,AL194),SUM(LARGE((V194,AA194,AD194,AI194,AJ194,AL194),{1;2;3;4;5}))))+(IF(COUNT(U194,W194,AB194,AC194,AE194,AK194)&lt;5,SUM(U194,W194,AB194,AC194,AE194,AK194),SUM(LARGE((U194,W194,AB194,AC194,AE194,AK194),{1;2;3;4;5}))))+T194</f>
        <v>0</v>
      </c>
      <c r="N194" s="862">
        <f ca="1">IF(I194="n",((IF(COUNT(V194,AA194,AD194,AI194,AJ194,AL194)&lt;5,SUM(V194,AA194,AD194,AI194,AJ194,AL194),SUM(LARGE((V194,AA194,AD194,AI194,AJ194,AL194),{1;2;3;4;5}))))+(IF(COUNT(U194,Y194,AB194,AC194,AG194,AK194)&lt;5,SUM(U194,Y194,AB194,AC194,AG194,AK194),SUM(LARGE((U194,Y194,AB194,AC194,AG194,AK194),{1;2;3;4;5}))))+T194),0)</f>
        <v>0</v>
      </c>
      <c r="O194" s="863">
        <f>IF(J194="j",((IF(COUNT(V194,AA194,AD194,AI194,AJ194,AL194)&lt;5,SUM(V194,AA194,AD194,AI194,AJ194,AL194),SUM(LARGE((V194,AA194,AD194,AI194,AJ194,AL194),{1;2;3;4;5}))))+(IF(COUNT(U194,W194,AB194,AC194,AE194,AK194)&lt;5,SUM(U194,W194,AB194,AC194,AE194,AK194),SUM(LARGE((U194,W194,AB194,AC194,AE194,AK194),{1;2;3;4;5}))))+T194),0)</f>
        <v>0</v>
      </c>
      <c r="P194" s="886" t="str">
        <f t="shared" ca="1" si="83"/>
        <v>000,0</v>
      </c>
      <c r="Q194" s="890">
        <f t="shared" si="84"/>
        <v>41</v>
      </c>
      <c r="R194" s="886" t="str">
        <f t="shared" ca="1" si="85"/>
        <v>0000,0-041</v>
      </c>
      <c r="S194" s="889">
        <f t="shared" ca="1" si="86"/>
        <v>8</v>
      </c>
      <c r="T194" s="847"/>
      <c r="U194" s="75" t="str">
        <f>IFERROR(INDEX('1'!C$300:C$400,MATCH("*"&amp;H194&amp;"*",'1'!B$300:B$400,0)),"  ")</f>
        <v xml:space="preserve">  </v>
      </c>
      <c r="V194" s="199" t="str">
        <f>IFERROR(INDEX('2'!C$300:C$400,MATCH("*"&amp;H194&amp;"*",'2'!B$300:B$400,0)),"  ")</f>
        <v xml:space="preserve">  </v>
      </c>
      <c r="W194" s="199" t="str">
        <f ca="1">IF(I194="",IFERROR(INDEX('3M'!C$300:C$400,MATCH("*"&amp;H194&amp;"*",'3M'!B$300:B$400,0)),"  "),IFERROR(INDEX('3N'!D$300:D$400,MATCH("*"&amp;H194&amp;"*",'3N'!B$300:B$400,0)),"  "))</f>
        <v xml:space="preserve">  </v>
      </c>
      <c r="X194" s="908" t="str">
        <f ca="1">IFERROR(INDEX('3M'!C$300:C$400,MATCH("*"&amp;H194&amp;"*",'3M'!B$300:B$400,0)),"  ")</f>
        <v xml:space="preserve">  </v>
      </c>
      <c r="Y194" s="907" t="str">
        <f ca="1">IFERROR(INDEX('3N'!C$300:C$400,MATCH("*"&amp;H194&amp;"*",'3N'!B$300:B$400,0)),"  ")</f>
        <v xml:space="preserve">  </v>
      </c>
      <c r="Z194" s="440"/>
      <c r="AA194" s="75" t="str">
        <f>IFERROR(INDEX('4'!C$300:C$400,MATCH("*"&amp;H194&amp;"*",'4'!B$300:B$400,0)),"  ")</f>
        <v xml:space="preserve">  </v>
      </c>
      <c r="AB194" s="75" t="str">
        <f>IFERROR(INDEX('5'!C$300:C$400,MATCH("*"&amp;H194&amp;"*",'5'!B$300:B$400,0)),"  ")</f>
        <v xml:space="preserve">  </v>
      </c>
      <c r="AC194" s="75" t="str">
        <f>IFERROR(INDEX('6'!C$300:C$400,MATCH("*"&amp;H194&amp;"*",'6'!B$300:B$400,0)),"  ")</f>
        <v xml:space="preserve">  </v>
      </c>
      <c r="AD194" s="75" t="str">
        <f>IFERROR(INDEX('7'!C$300:C$400,MATCH("*"&amp;H194&amp;"*",'7'!B$300:B$400,0)),"  ")</f>
        <v xml:space="preserve">  </v>
      </c>
      <c r="AE194" s="75" t="str">
        <f>IF(I194="",IFERROR(INDEX('8M'!C$300:C$400,MATCH("*"&amp;H194&amp;"*",'8M'!B$300:B$400,0)),"  "),IFERROR(INDEX('8N'!D$300:D$400,MATCH("*"&amp;H194&amp;"*",'8N'!B$300:B$400,0)),"  "))</f>
        <v xml:space="preserve">  </v>
      </c>
      <c r="AF194" s="908" t="str">
        <f>IFERROR(INDEX('8M'!C$300:C$400,MATCH("*"&amp;H194&amp;"*",'8M'!B$300:B$400,0)),"  ")</f>
        <v xml:space="preserve">  </v>
      </c>
      <c r="AG194" s="907" t="str">
        <f>IFERROR(INDEX('8N'!C$300:C$400,MATCH("*"&amp;H194&amp;"*",'8N'!B$300:B$400,0)),"  ")</f>
        <v xml:space="preserve">  </v>
      </c>
      <c r="AH194" s="440"/>
      <c r="AI194" s="75" t="str">
        <f>IFERROR(INDEX('9'!C$300:C$400,MATCH("*"&amp;H194&amp;"*",'9'!B$300:B$400,0)),"  ")</f>
        <v xml:space="preserve">  </v>
      </c>
      <c r="AJ194" s="830" t="str">
        <f>IFERROR(INDEX('10'!C$300:C$400,MATCH("*"&amp;H194&amp;"*",'10'!B$300:B$400,0)),"  ")</f>
        <v xml:space="preserve">  </v>
      </c>
      <c r="AK194" s="75" t="str">
        <f>IFERROR(INDEX('11'!C$300:C$400,MATCH("*"&amp;H194&amp;"*",'11'!B$300:B$400,0)),"  ")</f>
        <v xml:space="preserve">  </v>
      </c>
      <c r="AL194" s="75" t="str">
        <f>IFERROR(INDEX('12'!C$300:C$400,MATCH("*"&amp;H194&amp;"*",'12'!B$300:B$400,0)),"  ")</f>
        <v xml:space="preserve">  </v>
      </c>
      <c r="AM194" s="26">
        <f t="shared" ca="1" si="87"/>
        <v>0</v>
      </c>
      <c r="AN194" s="579">
        <f t="shared" ca="1" si="90"/>
        <v>0</v>
      </c>
      <c r="AO194" s="580">
        <f t="shared" ca="1" si="88"/>
        <v>0</v>
      </c>
      <c r="AP194" s="27">
        <f t="shared" ca="1" si="89"/>
        <v>0</v>
      </c>
      <c r="AQ194" s="933">
        <f t="shared" si="75"/>
        <v>2.0000000000000001E-4</v>
      </c>
      <c r="AR194" s="933">
        <f t="shared" ca="1" si="76"/>
        <v>1E-4</v>
      </c>
    </row>
    <row r="195" spans="1:44" ht="12.75" hidden="1" customHeight="1" x14ac:dyDescent="0.2">
      <c r="A195" s="851" t="str">
        <f t="shared" ca="1" si="79"/>
        <v/>
      </c>
      <c r="B195" s="77">
        <f t="shared" si="80"/>
        <v>0</v>
      </c>
      <c r="C195" s="853" t="str">
        <f t="shared" ca="1" si="73"/>
        <v/>
      </c>
      <c r="D195" s="76">
        <f t="shared" ca="1" si="81"/>
        <v>10000</v>
      </c>
      <c r="E195" s="855" t="str">
        <f t="shared" ca="1" si="74"/>
        <v/>
      </c>
      <c r="F195" s="899">
        <f t="shared" si="82"/>
        <v>0</v>
      </c>
      <c r="G195" s="897" t="str">
        <f t="shared" ca="1" si="77"/>
        <v/>
      </c>
      <c r="H195" s="133" t="s">
        <v>151</v>
      </c>
      <c r="I195" s="38" t="s">
        <v>32</v>
      </c>
      <c r="J195" s="585"/>
      <c r="K195" s="586"/>
      <c r="L195" s="587"/>
      <c r="M195" s="857">
        <f ca="1">(IF(COUNT(V195,AA195,AD195,AI195,AJ195,AL195)&lt;5,SUM(V195,AA195,AD195,AI195,AJ195,AL195),SUM(LARGE((V195,AA195,AD195,AI195,AJ195,AL195),{1;2;3;4;5}))))+(IF(COUNT(U195,W195,AB195,AC195,AE195,AK195)&lt;5,SUM(U195,W195,AB195,AC195,AE195,AK195),SUM(LARGE((U195,W195,AB195,AC195,AE195,AK195),{1;2;3;4;5}))))+T195</f>
        <v>0</v>
      </c>
      <c r="N195" s="862">
        <f ca="1">IF(I195="n",((IF(COUNT(V195,AA195,AD195,AI195,AJ195,AL195)&lt;5,SUM(V195,AA195,AD195,AI195,AJ195,AL195),SUM(LARGE((V195,AA195,AD195,AI195,AJ195,AL195),{1;2;3;4;5}))))+(IF(COUNT(U195,Y195,AB195,AC195,AG195,AK195)&lt;5,SUM(U195,Y195,AB195,AC195,AG195,AK195),SUM(LARGE((U195,Y195,AB195,AC195,AG195,AK195),{1;2;3;4;5}))))+T195),0)</f>
        <v>0</v>
      </c>
      <c r="O195" s="863">
        <f>IF(J195="j",((IF(COUNT(V195,AA195,AD195,AI195,AJ195,AL195)&lt;5,SUM(V195,AA195,AD195,AI195,AJ195,AL195),SUM(LARGE((V195,AA195,AD195,AI195,AJ195,AL195),{1;2;3;4;5}))))+(IF(COUNT(U195,W195,AB195,AC195,AE195,AK195)&lt;5,SUM(U195,W195,AB195,AC195,AE195,AK195),SUM(LARGE((U195,W195,AB195,AC195,AE195,AK195),{1;2;3;4;5}))))+T195),0)</f>
        <v>0</v>
      </c>
      <c r="P195" s="886" t="str">
        <f t="shared" ca="1" si="83"/>
        <v>000,0</v>
      </c>
      <c r="Q195" s="890">
        <f t="shared" si="84"/>
        <v>40</v>
      </c>
      <c r="R195" s="886" t="str">
        <f t="shared" ca="1" si="85"/>
        <v>0000,0-040</v>
      </c>
      <c r="S195" s="889">
        <f t="shared" ca="1" si="86"/>
        <v>7</v>
      </c>
      <c r="T195" s="847"/>
      <c r="U195" s="75" t="str">
        <f>IFERROR(INDEX('1'!C$300:C$400,MATCH("*"&amp;H195&amp;"*",'1'!B$300:B$400,0)),"  ")</f>
        <v xml:space="preserve">  </v>
      </c>
      <c r="V195" s="199" t="str">
        <f>IFERROR(INDEX('2'!C$300:C$400,MATCH("*"&amp;H195&amp;"*",'2'!B$300:B$400,0)),"  ")</f>
        <v xml:space="preserve">  </v>
      </c>
      <c r="W195" s="199" t="str">
        <f ca="1">IF(I195="",IFERROR(INDEX('3M'!C$300:C$400,MATCH("*"&amp;H195&amp;"*",'3M'!B$300:B$400,0)),"  "),IFERROR(INDEX('3N'!D$300:D$400,MATCH("*"&amp;H195&amp;"*",'3N'!B$300:B$400,0)),"  "))</f>
        <v xml:space="preserve">  </v>
      </c>
      <c r="X195" s="908" t="str">
        <f ca="1">IFERROR(INDEX('3M'!C$300:C$400,MATCH("*"&amp;H195&amp;"*",'3M'!B$300:B$400,0)),"  ")</f>
        <v xml:space="preserve">  </v>
      </c>
      <c r="Y195" s="907" t="str">
        <f ca="1">IFERROR(INDEX('3N'!C$300:C$400,MATCH("*"&amp;H195&amp;"*",'3N'!B$300:B$400,0)),"  ")</f>
        <v xml:space="preserve">  </v>
      </c>
      <c r="Z195" s="440"/>
      <c r="AA195" s="75" t="str">
        <f>IFERROR(INDEX('4'!C$300:C$400,MATCH("*"&amp;H195&amp;"*",'4'!B$300:B$400,0)),"  ")</f>
        <v xml:space="preserve">  </v>
      </c>
      <c r="AB195" s="75" t="str">
        <f>IFERROR(INDEX('5'!C$300:C$400,MATCH("*"&amp;H195&amp;"*",'5'!B$300:B$400,0)),"  ")</f>
        <v xml:space="preserve">  </v>
      </c>
      <c r="AC195" s="75" t="str">
        <f>IFERROR(INDEX('6'!C$300:C$400,MATCH("*"&amp;H195&amp;"*",'6'!B$300:B$400,0)),"  ")</f>
        <v xml:space="preserve">  </v>
      </c>
      <c r="AD195" s="75" t="str">
        <f>IFERROR(INDEX('7'!C$300:C$400,MATCH("*"&amp;H195&amp;"*",'7'!B$300:B$400,0)),"  ")</f>
        <v xml:space="preserve">  </v>
      </c>
      <c r="AE195" s="75" t="str">
        <f>IF(I195="",IFERROR(INDEX('8M'!C$300:C$400,MATCH("*"&amp;H195&amp;"*",'8M'!B$300:B$400,0)),"  "),IFERROR(INDEX('8N'!D$300:D$400,MATCH("*"&amp;H195&amp;"*",'8N'!B$300:B$400,0)),"  "))</f>
        <v xml:space="preserve">  </v>
      </c>
      <c r="AF195" s="908" t="str">
        <f>IFERROR(INDEX('8M'!C$300:C$400,MATCH("*"&amp;H195&amp;"*",'8M'!B$300:B$400,0)),"  ")</f>
        <v xml:space="preserve">  </v>
      </c>
      <c r="AG195" s="907" t="str">
        <f>IFERROR(INDEX('8N'!C$300:C$400,MATCH("*"&amp;H195&amp;"*",'8N'!B$300:B$400,0)),"  ")</f>
        <v xml:space="preserve">  </v>
      </c>
      <c r="AH195" s="440"/>
      <c r="AI195" s="75" t="str">
        <f>IFERROR(INDEX('9'!C$300:C$400,MATCH("*"&amp;H195&amp;"*",'9'!B$300:B$400,0)),"  ")</f>
        <v xml:space="preserve">  </v>
      </c>
      <c r="AJ195" s="830" t="str">
        <f>IFERROR(INDEX('10'!C$300:C$400,MATCH("*"&amp;H195&amp;"*",'10'!B$300:B$400,0)),"  ")</f>
        <v xml:space="preserve">  </v>
      </c>
      <c r="AK195" s="75" t="str">
        <f>IFERROR(INDEX('11'!C$300:C$400,MATCH("*"&amp;H195&amp;"*",'11'!B$300:B$400,0)),"  ")</f>
        <v xml:space="preserve">  </v>
      </c>
      <c r="AL195" s="75" t="str">
        <f>IFERROR(INDEX('12'!C$300:C$400,MATCH("*"&amp;H195&amp;"*",'12'!B$300:B$400,0)),"  ")</f>
        <v xml:space="preserve">  </v>
      </c>
      <c r="AM195" s="26">
        <f t="shared" ca="1" si="87"/>
        <v>0</v>
      </c>
      <c r="AN195" s="579">
        <f t="shared" ca="1" si="90"/>
        <v>0</v>
      </c>
      <c r="AO195" s="580">
        <f t="shared" ca="1" si="88"/>
        <v>0</v>
      </c>
      <c r="AP195" s="27">
        <f t="shared" ca="1" si="89"/>
        <v>0</v>
      </c>
      <c r="AQ195" s="933">
        <f t="shared" si="75"/>
        <v>2.0000000000000001E-4</v>
      </c>
      <c r="AR195" s="933">
        <f t="shared" ca="1" si="76"/>
        <v>1E-4</v>
      </c>
    </row>
    <row r="196" spans="1:44" ht="12.75" hidden="1" customHeight="1" x14ac:dyDescent="0.2">
      <c r="A196" s="851" t="str">
        <f t="shared" ca="1" si="79"/>
        <v/>
      </c>
      <c r="B196" s="77">
        <f t="shared" ca="1" si="80"/>
        <v>10000</v>
      </c>
      <c r="C196" s="853" t="str">
        <f t="shared" ca="1" si="73"/>
        <v/>
      </c>
      <c r="D196" s="76">
        <f t="shared" si="81"/>
        <v>0</v>
      </c>
      <c r="E196" s="855" t="str">
        <f t="shared" ca="1" si="74"/>
        <v/>
      </c>
      <c r="F196" s="899">
        <f t="shared" si="82"/>
        <v>0</v>
      </c>
      <c r="G196" s="897" t="str">
        <f t="shared" ca="1" si="77"/>
        <v/>
      </c>
      <c r="H196" s="133" t="s">
        <v>638</v>
      </c>
      <c r="I196" s="38"/>
      <c r="J196" s="585"/>
      <c r="K196" s="586"/>
      <c r="L196" s="588" t="s">
        <v>720</v>
      </c>
      <c r="M196" s="857">
        <f ca="1">(IF(COUNT(V196,AA196,AD196,AI196,AJ196,AL196)&lt;5,SUM(V196,AA196,AD196,AI196,AJ196,AL196),SUM(LARGE((V196,AA196,AD196,AI196,AJ196,AL196),{1;2;3;4;5}))))+(IF(COUNT(U196,W196,AB196,AC196,AE196,AK196)&lt;5,SUM(U196,W196,AB196,AC196,AE196,AK196),SUM(LARGE((U196,W196,AB196,AC196,AE196,AK196),{1;2;3;4;5}))))+T196</f>
        <v>0</v>
      </c>
      <c r="N196" s="862">
        <f>IF(I196="n",((IF(COUNT(V196,AA196,AD196,AI196,AJ196,AL196)&lt;5,SUM(V196,AA196,AD196,AI196,AJ196,AL196),SUM(LARGE((V196,AA196,AD196,AI196,AJ196,AL196),{1;2;3;4;5}))))+(IF(COUNT(U196,Y196,AB196,AC196,AG196,AK196)&lt;5,SUM(U196,Y196,AB196,AC196,AG196,AK196),SUM(LARGE((U196,Y196,AB196,AC196,AG196,AK196),{1;2;3;4;5}))))+T196),0)</f>
        <v>0</v>
      </c>
      <c r="O196" s="863">
        <f>IF(J196="j",((IF(COUNT(V196,AA196,AD196,AI196,AJ196,AL196)&lt;5,SUM(V196,AA196,AD196,AI196,AJ196,AL196),SUM(LARGE((V196,AA196,AD196,AI196,AJ196,AL196),{1;2;3;4;5}))))+(IF(COUNT(U196,W196,AB196,AC196,AE196,AK196)&lt;5,SUM(U196,W196,AB196,AC196,AE196,AK196),SUM(LARGE((U196,W196,AB196,AC196,AE196,AK196),{1;2;3;4;5}))))+T196),0)</f>
        <v>0</v>
      </c>
      <c r="P196" s="886" t="str">
        <f t="shared" ca="1" si="83"/>
        <v>000,0</v>
      </c>
      <c r="Q196" s="890">
        <f t="shared" si="84"/>
        <v>35</v>
      </c>
      <c r="R196" s="886" t="str">
        <f t="shared" ca="1" si="85"/>
        <v>0000,0-035</v>
      </c>
      <c r="S196" s="889">
        <f t="shared" ca="1" si="86"/>
        <v>6</v>
      </c>
      <c r="T196" s="847"/>
      <c r="U196" s="75" t="str">
        <f>IFERROR(INDEX('1'!C$300:C$400,MATCH("*"&amp;H196&amp;"*",'1'!B$300:B$400,0)),"  ")</f>
        <v xml:space="preserve">  </v>
      </c>
      <c r="V196" s="199" t="str">
        <f>IFERROR(INDEX('2'!C$300:C$400,MATCH("*"&amp;H196&amp;"*",'2'!B$300:B$400,0)),"  ")</f>
        <v xml:space="preserve">  </v>
      </c>
      <c r="W196" s="199" t="str">
        <f ca="1">IF(I196="",IFERROR(INDEX('3M'!C$300:C$400,MATCH("*"&amp;H196&amp;"*",'3M'!B$300:B$400,0)),"  "),IFERROR(INDEX('3N'!D$300:D$400,MATCH("*"&amp;H196&amp;"*",'3N'!B$300:B$400,0)),"  "))</f>
        <v xml:space="preserve">  </v>
      </c>
      <c r="X196" s="908" t="str">
        <f ca="1">IFERROR(INDEX('3M'!C$300:C$400,MATCH("*"&amp;H196&amp;"*",'3M'!B$300:B$400,0)),"  ")</f>
        <v xml:space="preserve">  </v>
      </c>
      <c r="Y196" s="907" t="str">
        <f ca="1">IFERROR(INDEX('3N'!C$300:C$400,MATCH("*"&amp;H196&amp;"*",'3N'!B$300:B$400,0)),"  ")</f>
        <v xml:space="preserve">  </v>
      </c>
      <c r="Z196" s="440"/>
      <c r="AA196" s="75" t="str">
        <f>IFERROR(INDEX('4'!C$300:C$400,MATCH("*"&amp;H196&amp;"*",'4'!B$300:B$400,0)),"  ")</f>
        <v xml:space="preserve">  </v>
      </c>
      <c r="AB196" s="75" t="str">
        <f>IFERROR(INDEX('5'!C$300:C$400,MATCH("*"&amp;H196&amp;"*",'5'!B$300:B$400,0)),"  ")</f>
        <v xml:space="preserve">  </v>
      </c>
      <c r="AC196" s="75" t="str">
        <f>IFERROR(INDEX('6'!C$300:C$400,MATCH("*"&amp;H196&amp;"*",'6'!B$300:B$400,0)),"  ")</f>
        <v xml:space="preserve">  </v>
      </c>
      <c r="AD196" s="75" t="str">
        <f>IFERROR(INDEX('7'!C$300:C$400,MATCH("*"&amp;H196&amp;"*",'7'!B$300:B$400,0)),"  ")</f>
        <v xml:space="preserve">  </v>
      </c>
      <c r="AE196" s="75" t="str">
        <f>IF(I196="",IFERROR(INDEX('8M'!C$300:C$400,MATCH("*"&amp;H196&amp;"*",'8M'!B$300:B$400,0)),"  "),IFERROR(INDEX('8N'!D$300:D$400,MATCH("*"&amp;H196&amp;"*",'8N'!B$300:B$400,0)),"  "))</f>
        <v xml:space="preserve">  </v>
      </c>
      <c r="AF196" s="908" t="str">
        <f>IFERROR(INDEX('8M'!C$300:C$400,MATCH("*"&amp;H196&amp;"*",'8M'!B$300:B$400,0)),"  ")</f>
        <v xml:space="preserve">  </v>
      </c>
      <c r="AG196" s="907" t="str">
        <f>IFERROR(INDEX('8N'!C$300:C$400,MATCH("*"&amp;H196&amp;"*",'8N'!B$300:B$400,0)),"  ")</f>
        <v xml:space="preserve">  </v>
      </c>
      <c r="AH196" s="440"/>
      <c r="AI196" s="75" t="str">
        <f>IFERROR(INDEX('9'!C$300:C$400,MATCH("*"&amp;H196&amp;"*",'9'!B$300:B$400,0)),"  ")</f>
        <v xml:space="preserve">  </v>
      </c>
      <c r="AJ196" s="830" t="str">
        <f>IFERROR(INDEX('10'!C$300:C$400,MATCH("*"&amp;H196&amp;"*",'10'!B$300:B$400,0)),"  ")</f>
        <v xml:space="preserve">  </v>
      </c>
      <c r="AK196" s="75" t="str">
        <f>IFERROR(INDEX('11'!C$300:C$400,MATCH("*"&amp;H196&amp;"*",'11'!B$300:B$400,0)),"  ")</f>
        <v xml:space="preserve">  </v>
      </c>
      <c r="AL196" s="75" t="str">
        <f>IFERROR(INDEX('12'!C$300:C$400,MATCH("*"&amp;H196&amp;"*",'12'!B$300:B$400,0)),"  ")</f>
        <v xml:space="preserve">  </v>
      </c>
      <c r="AM196" s="26">
        <f t="shared" ca="1" si="87"/>
        <v>0</v>
      </c>
      <c r="AN196" s="579">
        <f t="shared" ca="1" si="90"/>
        <v>0</v>
      </c>
      <c r="AO196" s="580">
        <f t="shared" ca="1" si="88"/>
        <v>0</v>
      </c>
      <c r="AP196" s="27">
        <f t="shared" ca="1" si="89"/>
        <v>0</v>
      </c>
      <c r="AQ196" s="933">
        <f t="shared" si="75"/>
        <v>2.0000000000000001E-4</v>
      </c>
      <c r="AR196" s="933">
        <f t="shared" ca="1" si="76"/>
        <v>1E-4</v>
      </c>
    </row>
    <row r="197" spans="1:44" ht="12.75" hidden="1" customHeight="1" x14ac:dyDescent="0.2">
      <c r="A197" s="851" t="str">
        <f t="shared" ca="1" si="79"/>
        <v/>
      </c>
      <c r="B197" s="77">
        <f t="shared" si="80"/>
        <v>0</v>
      </c>
      <c r="C197" s="853" t="str">
        <f t="shared" ca="1" si="73"/>
        <v/>
      </c>
      <c r="D197" s="76">
        <f t="shared" ca="1" si="81"/>
        <v>10000</v>
      </c>
      <c r="E197" s="855" t="str">
        <f t="shared" ca="1" si="74"/>
        <v/>
      </c>
      <c r="F197" s="899">
        <f t="shared" si="82"/>
        <v>0</v>
      </c>
      <c r="G197" s="897" t="str">
        <f t="shared" ca="1" si="77"/>
        <v/>
      </c>
      <c r="H197" s="133" t="s">
        <v>310</v>
      </c>
      <c r="I197" s="38" t="s">
        <v>32</v>
      </c>
      <c r="J197" s="585"/>
      <c r="K197" s="586"/>
      <c r="L197" s="587"/>
      <c r="M197" s="857">
        <f ca="1">(IF(COUNT(V197,AA197,AD197,AI197,AJ197,AL197)&lt;5,SUM(V197,AA197,AD197,AI197,AJ197,AL197),SUM(LARGE((V197,AA197,AD197,AI197,AJ197,AL197),{1;2;3;4;5}))))+(IF(COUNT(U197,W197,AB197,AC197,AE197,AK197)&lt;5,SUM(U197,W197,AB197,AC197,AE197,AK197),SUM(LARGE((U197,W197,AB197,AC197,AE197,AK197),{1;2;3;4;5}))))+T197</f>
        <v>0</v>
      </c>
      <c r="N197" s="862">
        <f ca="1">IF(I197="n",((IF(COUNT(V197,AA197,AD197,AI197,AJ197,AL197)&lt;5,SUM(V197,AA197,AD197,AI197,AJ197,AL197),SUM(LARGE((V197,AA197,AD197,AI197,AJ197,AL197),{1;2;3;4;5}))))+(IF(COUNT(U197,Y197,AB197,AC197,AG197,AK197)&lt;5,SUM(U197,Y197,AB197,AC197,AG197,AK197),SUM(LARGE((U197,Y197,AB197,AC197,AG197,AK197),{1;2;3;4;5}))))+T197),0)</f>
        <v>0</v>
      </c>
      <c r="O197" s="863">
        <f>IF(J197="j",((IF(COUNT(V197,AA197,AD197,AI197,AJ197,AL197)&lt;5,SUM(V197,AA197,AD197,AI197,AJ197,AL197),SUM(LARGE((V197,AA197,AD197,AI197,AJ197,AL197),{1;2;3;4;5}))))+(IF(COUNT(U197,W197,AB197,AC197,AE197,AK197)&lt;5,SUM(U197,W197,AB197,AC197,AE197,AK197),SUM(LARGE((U197,W197,AB197,AC197,AE197,AK197),{1;2;3;4;5}))))+T197),0)</f>
        <v>0</v>
      </c>
      <c r="P197" s="886" t="str">
        <f t="shared" ca="1" si="83"/>
        <v>000,0</v>
      </c>
      <c r="Q197" s="890">
        <f t="shared" si="84"/>
        <v>27</v>
      </c>
      <c r="R197" s="886" t="str">
        <f t="shared" ca="1" si="85"/>
        <v>0000,0-027</v>
      </c>
      <c r="S197" s="889">
        <f t="shared" ca="1" si="86"/>
        <v>5</v>
      </c>
      <c r="T197" s="847"/>
      <c r="U197" s="75" t="str">
        <f>IFERROR(INDEX('1'!C$300:C$400,MATCH("*"&amp;H197&amp;"*",'1'!B$300:B$400,0)),"  ")</f>
        <v xml:space="preserve">  </v>
      </c>
      <c r="V197" s="199" t="str">
        <f>IFERROR(INDEX('2'!C$300:C$400,MATCH("*"&amp;H197&amp;"*",'2'!B$300:B$400,0)),"  ")</f>
        <v xml:space="preserve">  </v>
      </c>
      <c r="W197" s="199" t="str">
        <f ca="1">IF(I197="",IFERROR(INDEX('3M'!C$300:C$400,MATCH("*"&amp;H197&amp;"*",'3M'!B$300:B$400,0)),"  "),IFERROR(INDEX('3N'!D$300:D$400,MATCH("*"&amp;H197&amp;"*",'3N'!B$300:B$400,0)),"  "))</f>
        <v xml:space="preserve">  </v>
      </c>
      <c r="X197" s="908" t="str">
        <f ca="1">IFERROR(INDEX('3M'!C$300:C$400,MATCH("*"&amp;H197&amp;"*",'3M'!B$300:B$400,0)),"  ")</f>
        <v xml:space="preserve">  </v>
      </c>
      <c r="Y197" s="907" t="str">
        <f ca="1">IFERROR(INDEX('3N'!C$300:C$400,MATCH("*"&amp;H197&amp;"*",'3N'!B$300:B$400,0)),"  ")</f>
        <v xml:space="preserve">  </v>
      </c>
      <c r="Z197" s="440"/>
      <c r="AA197" s="75" t="str">
        <f>IFERROR(INDEX('4'!C$300:C$400,MATCH("*"&amp;H197&amp;"*",'4'!B$300:B$400,0)),"  ")</f>
        <v xml:space="preserve">  </v>
      </c>
      <c r="AB197" s="75" t="str">
        <f>IFERROR(INDEX('5'!C$300:C$400,MATCH("*"&amp;H197&amp;"*",'5'!B$300:B$400,0)),"  ")</f>
        <v xml:space="preserve">  </v>
      </c>
      <c r="AC197" s="75" t="str">
        <f>IFERROR(INDEX('6'!C$300:C$400,MATCH("*"&amp;H197&amp;"*",'6'!B$300:B$400,0)),"  ")</f>
        <v xml:space="preserve">  </v>
      </c>
      <c r="AD197" s="75" t="str">
        <f>IFERROR(INDEX('7'!C$300:C$400,MATCH("*"&amp;H197&amp;"*",'7'!B$300:B$400,0)),"  ")</f>
        <v xml:space="preserve">  </v>
      </c>
      <c r="AE197" s="75" t="str">
        <f>IF(I197="",IFERROR(INDEX('8M'!C$300:C$400,MATCH("*"&amp;H197&amp;"*",'8M'!B$300:B$400,0)),"  "),IFERROR(INDEX('8N'!D$300:D$400,MATCH("*"&amp;H197&amp;"*",'8N'!B$300:B$400,0)),"  "))</f>
        <v xml:space="preserve">  </v>
      </c>
      <c r="AF197" s="908" t="str">
        <f>IFERROR(INDEX('8M'!C$300:C$400,MATCH("*"&amp;H197&amp;"*",'8M'!B$300:B$400,0)),"  ")</f>
        <v xml:space="preserve">  </v>
      </c>
      <c r="AG197" s="907" t="str">
        <f>IFERROR(INDEX('8N'!C$300:C$400,MATCH("*"&amp;H197&amp;"*",'8N'!B$300:B$400,0)),"  ")</f>
        <v xml:space="preserve">  </v>
      </c>
      <c r="AH197" s="440"/>
      <c r="AI197" s="75" t="str">
        <f>IFERROR(INDEX('9'!C$300:C$400,MATCH("*"&amp;H197&amp;"*",'9'!B$300:B$400,0)),"  ")</f>
        <v xml:space="preserve">  </v>
      </c>
      <c r="AJ197" s="830" t="str">
        <f>IFERROR(INDEX('10'!C$300:C$400,MATCH("*"&amp;H197&amp;"*",'10'!B$300:B$400,0)),"  ")</f>
        <v xml:space="preserve">  </v>
      </c>
      <c r="AK197" s="75" t="str">
        <f>IFERROR(INDEX('11'!C$300:C$400,MATCH("*"&amp;H197&amp;"*",'11'!B$300:B$400,0)),"  ")</f>
        <v xml:space="preserve">  </v>
      </c>
      <c r="AL197" s="75" t="str">
        <f>IFERROR(INDEX('12'!C$300:C$400,MATCH("*"&amp;H197&amp;"*",'12'!B$300:B$400,0)),"  ")</f>
        <v xml:space="preserve">  </v>
      </c>
      <c r="AM197" s="26">
        <f t="shared" ca="1" si="87"/>
        <v>0</v>
      </c>
      <c r="AN197" s="579">
        <f t="shared" ca="1" si="90"/>
        <v>0</v>
      </c>
      <c r="AO197" s="580">
        <f t="shared" ca="1" si="88"/>
        <v>0</v>
      </c>
      <c r="AP197" s="27">
        <f t="shared" ca="1" si="89"/>
        <v>0</v>
      </c>
      <c r="AQ197" s="933">
        <f t="shared" si="75"/>
        <v>2.0000000000000001E-4</v>
      </c>
      <c r="AR197" s="933">
        <f t="shared" ca="1" si="76"/>
        <v>1E-4</v>
      </c>
    </row>
    <row r="198" spans="1:44" ht="12.75" hidden="1" customHeight="1" x14ac:dyDescent="0.2">
      <c r="A198" s="851" t="str">
        <f t="shared" ca="1" si="79"/>
        <v/>
      </c>
      <c r="B198" s="77">
        <f t="shared" si="80"/>
        <v>0</v>
      </c>
      <c r="C198" s="853" t="str">
        <f t="shared" ca="1" si="73"/>
        <v/>
      </c>
      <c r="D198" s="76">
        <f t="shared" ca="1" si="81"/>
        <v>10000</v>
      </c>
      <c r="E198" s="855" t="str">
        <f t="shared" ca="1" si="74"/>
        <v/>
      </c>
      <c r="F198" s="899">
        <f t="shared" si="82"/>
        <v>0</v>
      </c>
      <c r="G198" s="897" t="str">
        <f t="shared" ca="1" si="77"/>
        <v/>
      </c>
      <c r="H198" s="133" t="s">
        <v>645</v>
      </c>
      <c r="I198" s="38" t="s">
        <v>32</v>
      </c>
      <c r="J198" s="585"/>
      <c r="K198" s="586"/>
      <c r="L198" s="588" t="s">
        <v>720</v>
      </c>
      <c r="M198" s="857">
        <f ca="1">(IF(COUNT(V198,AA198,AD198,AI198,AJ198,AL198)&lt;5,SUM(V198,AA198,AD198,AI198,AJ198,AL198),SUM(LARGE((V198,AA198,AD198,AI198,AJ198,AL198),{1;2;3;4;5}))))+(IF(COUNT(U198,W198,AB198,AC198,AE198,AK198)&lt;5,SUM(U198,W198,AB198,AC198,AE198,AK198),SUM(LARGE((U198,W198,AB198,AC198,AE198,AK198),{1;2;3;4;5}))))+T198</f>
        <v>0</v>
      </c>
      <c r="N198" s="862">
        <f ca="1">IF(I198="n",((IF(COUNT(V198,AA198,AD198,AI198,AJ198,AL198)&lt;5,SUM(V198,AA198,AD198,AI198,AJ198,AL198),SUM(LARGE((V198,AA198,AD198,AI198,AJ198,AL198),{1;2;3;4;5}))))+(IF(COUNT(U198,Y198,AB198,AC198,AG198,AK198)&lt;5,SUM(U198,Y198,AB198,AC198,AG198,AK198),SUM(LARGE((U198,Y198,AB198,AC198,AG198,AK198),{1;2;3;4;5}))))+T198),0)</f>
        <v>0</v>
      </c>
      <c r="O198" s="863">
        <f>IF(J198="j",((IF(COUNT(V198,AA198,AD198,AI198,AJ198,AL198)&lt;5,SUM(V198,AA198,AD198,AI198,AJ198,AL198),SUM(LARGE((V198,AA198,AD198,AI198,AJ198,AL198),{1;2;3;4;5}))))+(IF(COUNT(U198,W198,AB198,AC198,AE198,AK198)&lt;5,SUM(U198,W198,AB198,AC198,AE198,AK198),SUM(LARGE((U198,W198,AB198,AC198,AE198,AK198),{1;2;3;4;5}))))+T198),0)</f>
        <v>0</v>
      </c>
      <c r="P198" s="886" t="str">
        <f t="shared" ca="1" si="83"/>
        <v>000,0</v>
      </c>
      <c r="Q198" s="890">
        <f t="shared" si="84"/>
        <v>26</v>
      </c>
      <c r="R198" s="886" t="str">
        <f t="shared" ca="1" si="85"/>
        <v>0000,0-026</v>
      </c>
      <c r="S198" s="889">
        <f t="shared" ca="1" si="86"/>
        <v>4</v>
      </c>
      <c r="T198" s="847"/>
      <c r="U198" s="75" t="str">
        <f>IFERROR(INDEX('1'!C$300:C$400,MATCH("*"&amp;H198&amp;"*",'1'!B$300:B$400,0)),"  ")</f>
        <v xml:space="preserve">  </v>
      </c>
      <c r="V198" s="199" t="str">
        <f>IFERROR(INDEX('2'!C$300:C$400,MATCH("*"&amp;H198&amp;"*",'2'!B$300:B$400,0)),"  ")</f>
        <v xml:space="preserve">  </v>
      </c>
      <c r="W198" s="199" t="str">
        <f ca="1">IF(I198="",IFERROR(INDEX('3M'!C$300:C$400,MATCH("*"&amp;H198&amp;"*",'3M'!B$300:B$400,0)),"  "),IFERROR(INDEX('3N'!D$300:D$400,MATCH("*"&amp;H198&amp;"*",'3N'!B$300:B$400,0)),"  "))</f>
        <v xml:space="preserve">  </v>
      </c>
      <c r="X198" s="908" t="str">
        <f ca="1">IFERROR(INDEX('3M'!C$300:C$400,MATCH("*"&amp;H198&amp;"*",'3M'!B$300:B$400,0)),"  ")</f>
        <v xml:space="preserve">  </v>
      </c>
      <c r="Y198" s="907" t="str">
        <f ca="1">IFERROR(INDEX('3N'!C$300:C$400,MATCH("*"&amp;H198&amp;"*",'3N'!B$300:B$400,0)),"  ")</f>
        <v xml:space="preserve">  </v>
      </c>
      <c r="Z198" s="440"/>
      <c r="AA198" s="75" t="str">
        <f>IFERROR(INDEX('4'!C$300:C$400,MATCH("*"&amp;H198&amp;"*",'4'!B$300:B$400,0)),"  ")</f>
        <v xml:space="preserve">  </v>
      </c>
      <c r="AB198" s="75" t="str">
        <f>IFERROR(INDEX('5'!C$300:C$400,MATCH("*"&amp;H198&amp;"*",'5'!B$300:B$400,0)),"  ")</f>
        <v xml:space="preserve">  </v>
      </c>
      <c r="AC198" s="75" t="str">
        <f>IFERROR(INDEX('6'!C$300:C$400,MATCH("*"&amp;H198&amp;"*",'6'!B$300:B$400,0)),"  ")</f>
        <v xml:space="preserve">  </v>
      </c>
      <c r="AD198" s="75" t="str">
        <f>IFERROR(INDEX('7'!C$300:C$400,MATCH("*"&amp;H198&amp;"*",'7'!B$300:B$400,0)),"  ")</f>
        <v xml:space="preserve">  </v>
      </c>
      <c r="AE198" s="75" t="str">
        <f>IF(I198="",IFERROR(INDEX('8M'!C$300:C$400,MATCH("*"&amp;H198&amp;"*",'8M'!B$300:B$400,0)),"  "),IFERROR(INDEX('8N'!D$300:D$400,MATCH("*"&amp;H198&amp;"*",'8N'!B$300:B$400,0)),"  "))</f>
        <v xml:space="preserve">  </v>
      </c>
      <c r="AF198" s="908" t="str">
        <f>IFERROR(INDEX('8M'!C$300:C$400,MATCH("*"&amp;H198&amp;"*",'8M'!B$300:B$400,0)),"  ")</f>
        <v xml:space="preserve">  </v>
      </c>
      <c r="AG198" s="907" t="str">
        <f>IFERROR(INDEX('8N'!C$300:C$400,MATCH("*"&amp;H198&amp;"*",'8N'!B$300:B$400,0)),"  ")</f>
        <v xml:space="preserve">  </v>
      </c>
      <c r="AH198" s="440"/>
      <c r="AI198" s="75" t="str">
        <f>IFERROR(INDEX('9'!C$300:C$400,MATCH("*"&amp;H198&amp;"*",'9'!B$300:B$400,0)),"  ")</f>
        <v xml:space="preserve">  </v>
      </c>
      <c r="AJ198" s="830" t="str">
        <f>IFERROR(INDEX('10'!C$300:C$400,MATCH("*"&amp;H198&amp;"*",'10'!B$300:B$400,0)),"  ")</f>
        <v xml:space="preserve">  </v>
      </c>
      <c r="AK198" s="75" t="str">
        <f>IFERROR(INDEX('11'!C$300:C$400,MATCH("*"&amp;H198&amp;"*",'11'!B$300:B$400,0)),"  ")</f>
        <v xml:space="preserve">  </v>
      </c>
      <c r="AL198" s="75" t="str">
        <f>IFERROR(INDEX('12'!C$300:C$400,MATCH("*"&amp;H198&amp;"*",'12'!B$300:B$400,0)),"  ")</f>
        <v xml:space="preserve">  </v>
      </c>
      <c r="AM198" s="26">
        <f t="shared" ca="1" si="87"/>
        <v>0</v>
      </c>
      <c r="AN198" s="579">
        <f t="shared" ca="1" si="90"/>
        <v>0</v>
      </c>
      <c r="AO198" s="580">
        <f t="shared" ca="1" si="88"/>
        <v>0</v>
      </c>
      <c r="AP198" s="27">
        <f t="shared" ca="1" si="89"/>
        <v>0</v>
      </c>
      <c r="AQ198" s="933">
        <f t="shared" si="75"/>
        <v>2.0000000000000001E-4</v>
      </c>
      <c r="AR198" s="933">
        <f t="shared" ca="1" si="76"/>
        <v>1E-4</v>
      </c>
    </row>
    <row r="199" spans="1:44" ht="12.75" hidden="1" customHeight="1" x14ac:dyDescent="0.2">
      <c r="A199" s="851" t="str">
        <f t="shared" ca="1" si="79"/>
        <v/>
      </c>
      <c r="B199" s="77">
        <f t="shared" ca="1" si="80"/>
        <v>10000</v>
      </c>
      <c r="C199" s="853" t="str">
        <f t="shared" ca="1" si="73"/>
        <v/>
      </c>
      <c r="D199" s="76">
        <f t="shared" si="81"/>
        <v>0</v>
      </c>
      <c r="E199" s="855" t="str">
        <f t="shared" ca="1" si="74"/>
        <v/>
      </c>
      <c r="F199" s="899">
        <f t="shared" si="82"/>
        <v>0</v>
      </c>
      <c r="G199" s="897" t="str">
        <f t="shared" ca="1" si="77"/>
        <v/>
      </c>
      <c r="H199" s="133" t="s">
        <v>626</v>
      </c>
      <c r="I199" s="38"/>
      <c r="J199" s="585"/>
      <c r="K199" s="586"/>
      <c r="L199" s="587"/>
      <c r="M199" s="857">
        <f ca="1">(IF(COUNT(V199,AA199,AD199,AI199,AJ199,AL199)&lt;5,SUM(V199,AA199,AD199,AI199,AJ199,AL199),SUM(LARGE((V199,AA199,AD199,AI199,AJ199,AL199),{1;2;3;4;5}))))+(IF(COUNT(U199,W199,AB199,AC199,AE199,AK199)&lt;5,SUM(U199,W199,AB199,AC199,AE199,AK199),SUM(LARGE((U199,W199,AB199,AC199,AE199,AK199),{1;2;3;4;5}))))+T199</f>
        <v>0</v>
      </c>
      <c r="N199" s="862">
        <f>IF(I199="n",((IF(COUNT(V199,AA199,AD199,AI199,AJ199,AL199)&lt;5,SUM(V199,AA199,AD199,AI199,AJ199,AL199),SUM(LARGE((V199,AA199,AD199,AI199,AJ199,AL199),{1;2;3;4;5}))))+(IF(COUNT(U199,Y199,AB199,AC199,AG199,AK199)&lt;5,SUM(U199,Y199,AB199,AC199,AG199,AK199),SUM(LARGE((U199,Y199,AB199,AC199,AG199,AK199),{1;2;3;4;5}))))+T199),0)</f>
        <v>0</v>
      </c>
      <c r="O199" s="863">
        <f>IF(J199="j",((IF(COUNT(V199,AA199,AD199,AI199,AJ199,AL199)&lt;5,SUM(V199,AA199,AD199,AI199,AJ199,AL199),SUM(LARGE((V199,AA199,AD199,AI199,AJ199,AL199),{1;2;3;4;5}))))+(IF(COUNT(U199,W199,AB199,AC199,AE199,AK199)&lt;5,SUM(U199,W199,AB199,AC199,AE199,AK199),SUM(LARGE((U199,W199,AB199,AC199,AE199,AK199),{1;2;3;4;5}))))+T199),0)</f>
        <v>0</v>
      </c>
      <c r="P199" s="886" t="str">
        <f t="shared" ca="1" si="83"/>
        <v>000,0</v>
      </c>
      <c r="Q199" s="890">
        <f t="shared" si="84"/>
        <v>17</v>
      </c>
      <c r="R199" s="886" t="str">
        <f t="shared" ca="1" si="85"/>
        <v>0000,0-017</v>
      </c>
      <c r="S199" s="889">
        <f t="shared" ca="1" si="86"/>
        <v>3</v>
      </c>
      <c r="T199" s="847"/>
      <c r="U199" s="75" t="str">
        <f>IFERROR(INDEX('1'!C$300:C$400,MATCH("*"&amp;H199&amp;"*",'1'!B$300:B$400,0)),"  ")</f>
        <v xml:space="preserve">  </v>
      </c>
      <c r="V199" s="199" t="str">
        <f>IFERROR(INDEX('2'!C$300:C$400,MATCH("*"&amp;H199&amp;"*",'2'!B$300:B$400,0)),"  ")</f>
        <v xml:space="preserve">  </v>
      </c>
      <c r="W199" s="199" t="str">
        <f ca="1">IF(I199="",IFERROR(INDEX('3M'!C$300:C$400,MATCH("*"&amp;H199&amp;"*",'3M'!B$300:B$400,0)),"  "),IFERROR(INDEX('3N'!D$300:D$400,MATCH("*"&amp;H199&amp;"*",'3N'!B$300:B$400,0)),"  "))</f>
        <v xml:space="preserve">  </v>
      </c>
      <c r="X199" s="908" t="str">
        <f ca="1">IFERROR(INDEX('3M'!C$300:C$400,MATCH("*"&amp;H199&amp;"*",'3M'!B$300:B$400,0)),"  ")</f>
        <v xml:space="preserve">  </v>
      </c>
      <c r="Y199" s="907" t="str">
        <f ca="1">IFERROR(INDEX('3N'!C$300:C$400,MATCH("*"&amp;H199&amp;"*",'3N'!B$300:B$400,0)),"  ")</f>
        <v xml:space="preserve">  </v>
      </c>
      <c r="Z199" s="440"/>
      <c r="AA199" s="75" t="str">
        <f>IFERROR(INDEX('4'!C$300:C$400,MATCH("*"&amp;H199&amp;"*",'4'!B$300:B$400,0)),"  ")</f>
        <v xml:space="preserve">  </v>
      </c>
      <c r="AB199" s="75" t="str">
        <f>IFERROR(INDEX('5'!C$300:C$400,MATCH("*"&amp;H199&amp;"*",'5'!B$300:B$400,0)),"  ")</f>
        <v xml:space="preserve">  </v>
      </c>
      <c r="AC199" s="75" t="str">
        <f>IFERROR(INDEX('6'!C$300:C$400,MATCH("*"&amp;H199&amp;"*",'6'!B$300:B$400,0)),"  ")</f>
        <v xml:space="preserve">  </v>
      </c>
      <c r="AD199" s="75" t="str">
        <f>IFERROR(INDEX('7'!C$300:C$400,MATCH("*"&amp;H199&amp;"*",'7'!B$300:B$400,0)),"  ")</f>
        <v xml:space="preserve">  </v>
      </c>
      <c r="AE199" s="75" t="str">
        <f>IF(I199="",IFERROR(INDEX('8M'!C$300:C$400,MATCH("*"&amp;H199&amp;"*",'8M'!B$300:B$400,0)),"  "),IFERROR(INDEX('8N'!D$300:D$400,MATCH("*"&amp;H199&amp;"*",'8N'!B$300:B$400,0)),"  "))</f>
        <v xml:space="preserve">  </v>
      </c>
      <c r="AF199" s="908" t="str">
        <f>IFERROR(INDEX('8M'!C$300:C$400,MATCH("*"&amp;H199&amp;"*",'8M'!B$300:B$400,0)),"  ")</f>
        <v xml:space="preserve">  </v>
      </c>
      <c r="AG199" s="907" t="str">
        <f>IFERROR(INDEX('8N'!C$300:C$400,MATCH("*"&amp;H199&amp;"*",'8N'!B$300:B$400,0)),"  ")</f>
        <v xml:space="preserve">  </v>
      </c>
      <c r="AH199" s="440"/>
      <c r="AI199" s="75" t="str">
        <f>IFERROR(INDEX('9'!C$300:C$400,MATCH("*"&amp;H199&amp;"*",'9'!B$300:B$400,0)),"  ")</f>
        <v xml:space="preserve">  </v>
      </c>
      <c r="AJ199" s="830" t="str">
        <f>IFERROR(INDEX('10'!C$300:C$400,MATCH("*"&amp;H199&amp;"*",'10'!B$300:B$400,0)),"  ")</f>
        <v xml:space="preserve">  </v>
      </c>
      <c r="AK199" s="75" t="str">
        <f>IFERROR(INDEX('11'!C$300:C$400,MATCH("*"&amp;H199&amp;"*",'11'!B$300:B$400,0)),"  ")</f>
        <v xml:space="preserve">  </v>
      </c>
      <c r="AL199" s="75" t="str">
        <f>IFERROR(INDEX('12'!C$300:C$400,MATCH("*"&amp;H199&amp;"*",'12'!B$300:B$400,0)),"  ")</f>
        <v xml:space="preserve">  </v>
      </c>
      <c r="AM199" s="26">
        <f t="shared" ca="1" si="87"/>
        <v>0</v>
      </c>
      <c r="AN199" s="579">
        <f t="shared" ca="1" si="90"/>
        <v>0</v>
      </c>
      <c r="AO199" s="580">
        <f t="shared" ca="1" si="88"/>
        <v>0</v>
      </c>
      <c r="AP199" s="27">
        <f t="shared" ca="1" si="89"/>
        <v>0</v>
      </c>
      <c r="AQ199" s="933">
        <f t="shared" si="75"/>
        <v>2.0000000000000001E-4</v>
      </c>
      <c r="AR199" s="933">
        <f t="shared" ca="1" si="76"/>
        <v>1E-4</v>
      </c>
    </row>
    <row r="200" spans="1:44" ht="12.75" hidden="1" customHeight="1" x14ac:dyDescent="0.2">
      <c r="A200" s="851" t="str">
        <f t="shared" ca="1" si="79"/>
        <v/>
      </c>
      <c r="B200" s="77">
        <f t="shared" ca="1" si="80"/>
        <v>10000</v>
      </c>
      <c r="C200" s="853" t="str">
        <f t="shared" ca="1" si="73"/>
        <v/>
      </c>
      <c r="D200" s="76">
        <f t="shared" si="81"/>
        <v>0</v>
      </c>
      <c r="E200" s="855" t="str">
        <f t="shared" ca="1" si="74"/>
        <v/>
      </c>
      <c r="F200" s="899">
        <f t="shared" si="82"/>
        <v>0</v>
      </c>
      <c r="G200" s="897" t="str">
        <f t="shared" ca="1" si="77"/>
        <v/>
      </c>
      <c r="H200" s="133" t="s">
        <v>311</v>
      </c>
      <c r="I200" s="38"/>
      <c r="J200" s="585"/>
      <c r="K200" s="586"/>
      <c r="L200" s="587"/>
      <c r="M200" s="857">
        <f ca="1">(IF(COUNT(V200,AA200,AD200,AI200,AJ200,AL200)&lt;5,SUM(V200,AA200,AD200,AI200,AJ200,AL200),SUM(LARGE((V200,AA200,AD200,AI200,AJ200,AL200),{1;2;3;4;5}))))+(IF(COUNT(U200,W200,AB200,AC200,AE200,AK200)&lt;5,SUM(U200,W200,AB200,AC200,AE200,AK200),SUM(LARGE((U200,W200,AB200,AC200,AE200,AK200),{1;2;3;4;5}))))+T200</f>
        <v>0</v>
      </c>
      <c r="N200" s="862">
        <f>IF(I200="n",((IF(COUNT(V200,AA200,AD200,AI200,AJ200,AL200)&lt;5,SUM(V200,AA200,AD200,AI200,AJ200,AL200),SUM(LARGE((V200,AA200,AD200,AI200,AJ200,AL200),{1;2;3;4;5}))))+(IF(COUNT(U200,Y200,AB200,AC200,AG200,AK200)&lt;5,SUM(U200,Y200,AB200,AC200,AG200,AK200),SUM(LARGE((U200,Y200,AB200,AC200,AG200,AK200),{1;2;3;4;5}))))+T200),0)</f>
        <v>0</v>
      </c>
      <c r="O200" s="863">
        <f>IF(J200="j",((IF(COUNT(V200,AA200,AD200,AI200,AJ200,AL200)&lt;5,SUM(V200,AA200,AD200,AI200,AJ200,AL200),SUM(LARGE((V200,AA200,AD200,AI200,AJ200,AL200),{1;2;3;4;5}))))+(IF(COUNT(U200,W200,AB200,AC200,AE200,AK200)&lt;5,SUM(U200,W200,AB200,AC200,AE200,AK200),SUM(LARGE((U200,W200,AB200,AC200,AE200,AK200),{1;2;3;4;5}))))+T200),0)</f>
        <v>0</v>
      </c>
      <c r="P200" s="886" t="str">
        <f t="shared" ca="1" si="83"/>
        <v>000,0</v>
      </c>
      <c r="Q200" s="890">
        <f t="shared" si="84"/>
        <v>15</v>
      </c>
      <c r="R200" s="886" t="str">
        <f t="shared" ca="1" si="85"/>
        <v>0000,0-015</v>
      </c>
      <c r="S200" s="889">
        <f t="shared" ca="1" si="86"/>
        <v>2</v>
      </c>
      <c r="T200" s="847"/>
      <c r="U200" s="75" t="str">
        <f>IFERROR(INDEX('1'!C$300:C$400,MATCH("*"&amp;H200&amp;"*",'1'!B$300:B$400,0)),"  ")</f>
        <v xml:space="preserve">  </v>
      </c>
      <c r="V200" s="199" t="str">
        <f>IFERROR(INDEX('2'!C$300:C$400,MATCH("*"&amp;H200&amp;"*",'2'!B$300:B$400,0)),"  ")</f>
        <v xml:space="preserve">  </v>
      </c>
      <c r="W200" s="199" t="str">
        <f ca="1">IF(I200="",IFERROR(INDEX('3M'!C$300:C$400,MATCH("*"&amp;H200&amp;"*",'3M'!B$300:B$400,0)),"  "),IFERROR(INDEX('3N'!D$300:D$400,MATCH("*"&amp;H200&amp;"*",'3N'!B$300:B$400,0)),"  "))</f>
        <v xml:space="preserve">  </v>
      </c>
      <c r="X200" s="908" t="str">
        <f ca="1">IFERROR(INDEX('3M'!C$300:C$400,MATCH("*"&amp;H200&amp;"*",'3M'!B$300:B$400,0)),"  ")</f>
        <v xml:space="preserve">  </v>
      </c>
      <c r="Y200" s="907" t="str">
        <f ca="1">IFERROR(INDEX('3N'!C$300:C$400,MATCH("*"&amp;H200&amp;"*",'3N'!B$300:B$400,0)),"  ")</f>
        <v xml:space="preserve">  </v>
      </c>
      <c r="Z200" s="440"/>
      <c r="AA200" s="75" t="str">
        <f>IFERROR(INDEX('4'!C$300:C$400,MATCH("*"&amp;H200&amp;"*",'4'!B$300:B$400,0)),"  ")</f>
        <v xml:space="preserve">  </v>
      </c>
      <c r="AB200" s="75" t="str">
        <f>IFERROR(INDEX('5'!C$300:C$400,MATCH("*"&amp;H200&amp;"*",'5'!B$300:B$400,0)),"  ")</f>
        <v xml:space="preserve">  </v>
      </c>
      <c r="AC200" s="75" t="str">
        <f>IFERROR(INDEX('6'!C$300:C$400,MATCH("*"&amp;H200&amp;"*",'6'!B$300:B$400,0)),"  ")</f>
        <v xml:space="preserve">  </v>
      </c>
      <c r="AD200" s="75" t="str">
        <f>IFERROR(INDEX('7'!C$300:C$400,MATCH("*"&amp;H200&amp;"*",'7'!B$300:B$400,0)),"  ")</f>
        <v xml:space="preserve">  </v>
      </c>
      <c r="AE200" s="75" t="str">
        <f>IF(I200="",IFERROR(INDEX('8M'!C$300:C$400,MATCH("*"&amp;H200&amp;"*",'8M'!B$300:B$400,0)),"  "),IFERROR(INDEX('8N'!D$300:D$400,MATCH("*"&amp;H200&amp;"*",'8N'!B$300:B$400,0)),"  "))</f>
        <v xml:space="preserve">  </v>
      </c>
      <c r="AF200" s="908" t="str">
        <f>IFERROR(INDEX('8M'!C$300:C$400,MATCH("*"&amp;H200&amp;"*",'8M'!B$300:B$400,0)),"  ")</f>
        <v xml:space="preserve">  </v>
      </c>
      <c r="AG200" s="907" t="str">
        <f>IFERROR(INDEX('8N'!C$300:C$400,MATCH("*"&amp;H200&amp;"*",'8N'!B$300:B$400,0)),"  ")</f>
        <v xml:space="preserve">  </v>
      </c>
      <c r="AH200" s="440"/>
      <c r="AI200" s="75" t="str">
        <f>IFERROR(INDEX('9'!C$300:C$400,MATCH("*"&amp;H200&amp;"*",'9'!B$300:B$400,0)),"  ")</f>
        <v xml:space="preserve">  </v>
      </c>
      <c r="AJ200" s="830" t="str">
        <f>IFERROR(INDEX('10'!C$300:C$400,MATCH("*"&amp;H200&amp;"*",'10'!B$300:B$400,0)),"  ")</f>
        <v xml:space="preserve">  </v>
      </c>
      <c r="AK200" s="75" t="str">
        <f>IFERROR(INDEX('11'!C$300:C$400,MATCH("*"&amp;H200&amp;"*",'11'!B$300:B$400,0)),"  ")</f>
        <v xml:space="preserve">  </v>
      </c>
      <c r="AL200" s="75" t="str">
        <f>IFERROR(INDEX('12'!C$300:C$400,MATCH("*"&amp;H200&amp;"*",'12'!B$300:B$400,0)),"  ")</f>
        <v xml:space="preserve">  </v>
      </c>
      <c r="AM200" s="26">
        <f t="shared" ca="1" si="87"/>
        <v>0</v>
      </c>
      <c r="AN200" s="579">
        <f t="shared" ca="1" si="90"/>
        <v>0</v>
      </c>
      <c r="AO200" s="580">
        <f t="shared" ca="1" si="88"/>
        <v>0</v>
      </c>
      <c r="AP200" s="27">
        <f t="shared" ca="1" si="89"/>
        <v>0</v>
      </c>
      <c r="AQ200" s="933">
        <f t="shared" si="75"/>
        <v>2.0000000000000001E-4</v>
      </c>
      <c r="AR200" s="933">
        <f t="shared" ca="1" si="76"/>
        <v>1E-4</v>
      </c>
    </row>
    <row r="201" spans="1:44" ht="12.75" hidden="1" customHeight="1" x14ac:dyDescent="0.2">
      <c r="A201" s="851" t="str">
        <f t="shared" ref="A201" ca="1" si="91">IF(M201=0,"",IF(I201="n","",RANK(B201,B$9:B$201,0)))</f>
        <v/>
      </c>
      <c r="B201" s="77">
        <f t="shared" ca="1" si="80"/>
        <v>10000</v>
      </c>
      <c r="C201" s="853" t="str">
        <f t="shared" ca="1" si="73"/>
        <v/>
      </c>
      <c r="D201" s="76">
        <f t="shared" si="81"/>
        <v>0</v>
      </c>
      <c r="E201" s="855" t="str">
        <f t="shared" ca="1" si="74"/>
        <v/>
      </c>
      <c r="F201" s="899">
        <f t="shared" si="82"/>
        <v>0</v>
      </c>
      <c r="G201" s="897" t="str">
        <f t="shared" ca="1" si="77"/>
        <v/>
      </c>
      <c r="H201" s="133" t="s">
        <v>643</v>
      </c>
      <c r="I201" s="38"/>
      <c r="J201" s="585"/>
      <c r="K201" s="586"/>
      <c r="L201" s="588" t="s">
        <v>720</v>
      </c>
      <c r="M201" s="857">
        <f ca="1">(IF(COUNT(V201,AA201,AD201,AI201,AJ201,AL201)&lt;5,SUM(V201,AA201,AD201,AI201,AJ201,AL201),SUM(LARGE((V201,AA201,AD201,AI201,AJ201,AL201),{1;2;3;4;5}))))+(IF(COUNT(U201,W201,AB201,AC201,AE201,AK201)&lt;5,SUM(U201,W201,AB201,AC201,AE201,AK201),SUM(LARGE((U201,W201,AB201,AC201,AE201,AK201),{1;2;3;4;5}))))+T201</f>
        <v>0</v>
      </c>
      <c r="N201" s="862">
        <f>IF(I201="n",((IF(COUNT(V201,AA201,AD201,AI201,AJ201,AL201)&lt;5,SUM(V201,AA201,AD201,AI201,AJ201,AL201),SUM(LARGE((V201,AA201,AD201,AI201,AJ201,AL201),{1;2;3;4;5}))))+(IF(COUNT(U201,Y201,AB201,AC201,AG201,AK201)&lt;5,SUM(U201,Y201,AB201,AC201,AG201,AK201),SUM(LARGE((U201,Y201,AB201,AC201,AG201,AK201),{1;2;3;4;5}))))+T201),0)</f>
        <v>0</v>
      </c>
      <c r="O201" s="863">
        <f>IF(J201="j",((IF(COUNT(V201,AA201,AD201,AI201,AJ201,AL201)&lt;5,SUM(V201,AA201,AD201,AI201,AJ201,AL201),SUM(LARGE((V201,AA201,AD201,AI201,AJ201,AL201),{1;2;3;4;5}))))+(IF(COUNT(U201,W201,AB201,AC201,AE201,AK201)&lt;5,SUM(U201,W201,AB201,AC201,AE201,AK201),SUM(LARGE((U201,W201,AB201,AC201,AE201,AK201),{1;2;3;4;5}))))+T201),0)</f>
        <v>0</v>
      </c>
      <c r="P201" s="886" t="str">
        <f t="shared" ca="1" si="83"/>
        <v>000,0</v>
      </c>
      <c r="Q201" s="890">
        <f t="shared" si="84"/>
        <v>4</v>
      </c>
      <c r="R201" s="886" t="str">
        <f t="shared" ref="R201" ca="1" si="92">TEXT(M201,"0000,0")&amp;"-"&amp;TEXT(Q201,"000")</f>
        <v>0000,0-004</v>
      </c>
      <c r="S201" s="889">
        <f t="shared" ref="S201" ca="1" si="93">COUNTIF(R$9:R$201,"&lt;="&amp;R201)</f>
        <v>1</v>
      </c>
      <c r="T201" s="847"/>
      <c r="U201" s="75" t="str">
        <f>IFERROR(INDEX('1'!C$300:C$400,MATCH("*"&amp;H201&amp;"*",'1'!B$300:B$400,0)),"  ")</f>
        <v xml:space="preserve">  </v>
      </c>
      <c r="V201" s="199" t="str">
        <f>IFERROR(INDEX('2'!C$300:C$400,MATCH("*"&amp;H201&amp;"*",'2'!B$300:B$400,0)),"  ")</f>
        <v xml:space="preserve">  </v>
      </c>
      <c r="W201" s="199" t="str">
        <f ca="1">IF(I201="",IFERROR(INDEX('3M'!C$300:C$400,MATCH("*"&amp;H201&amp;"*",'3M'!B$300:B$400,0)),"  "),IFERROR(INDEX('3N'!D$300:D$400,MATCH("*"&amp;H201&amp;"*",'3N'!B$300:B$400,0)),"  "))</f>
        <v xml:space="preserve">  </v>
      </c>
      <c r="X201" s="908" t="str">
        <f ca="1">IFERROR(INDEX('3M'!C$300:C$400,MATCH("*"&amp;H201&amp;"*",'3M'!B$300:B$400,0)),"  ")</f>
        <v xml:space="preserve">  </v>
      </c>
      <c r="Y201" s="907" t="str">
        <f ca="1">IFERROR(INDEX('3N'!C$300:C$400,MATCH("*"&amp;H201&amp;"*",'3N'!B$300:B$400,0)),"  ")</f>
        <v xml:space="preserve">  </v>
      </c>
      <c r="Z201" s="440"/>
      <c r="AA201" s="75" t="str">
        <f>IFERROR(INDEX('4'!C$300:C$400,MATCH("*"&amp;H201&amp;"*",'4'!B$300:B$400,0)),"  ")</f>
        <v xml:space="preserve">  </v>
      </c>
      <c r="AB201" s="75" t="str">
        <f>IFERROR(INDEX('5'!C$300:C$400,MATCH("*"&amp;H201&amp;"*",'5'!B$300:B$400,0)),"  ")</f>
        <v xml:space="preserve">  </v>
      </c>
      <c r="AC201" s="75" t="str">
        <f>IFERROR(INDEX('6'!C$300:C$400,MATCH("*"&amp;H201&amp;"*",'6'!B$300:B$400,0)),"  ")</f>
        <v xml:space="preserve">  </v>
      </c>
      <c r="AD201" s="75" t="str">
        <f>IFERROR(INDEX('7'!C$300:C$400,MATCH("*"&amp;H201&amp;"*",'7'!B$300:B$400,0)),"  ")</f>
        <v xml:space="preserve">  </v>
      </c>
      <c r="AE201" s="75" t="str">
        <f>IF(I201="",IFERROR(INDEX('8M'!C$300:C$400,MATCH("*"&amp;H201&amp;"*",'8M'!B$300:B$400,0)),"  "),IFERROR(INDEX('8N'!D$300:D$400,MATCH("*"&amp;H201&amp;"*",'8N'!B$300:B$400,0)),"  "))</f>
        <v xml:space="preserve">  </v>
      </c>
      <c r="AF201" s="908" t="str">
        <f>IFERROR(INDEX('8M'!C$300:C$400,MATCH("*"&amp;H201&amp;"*",'8M'!B$300:B$400,0)),"  ")</f>
        <v xml:space="preserve">  </v>
      </c>
      <c r="AG201" s="907" t="str">
        <f>IFERROR(INDEX('8N'!C$300:C$400,MATCH("*"&amp;H201&amp;"*",'8N'!B$300:B$400,0)),"  ")</f>
        <v xml:space="preserve">  </v>
      </c>
      <c r="AH201" s="440"/>
      <c r="AI201" s="75" t="str">
        <f>IFERROR(INDEX('9'!C$300:C$400,MATCH("*"&amp;H201&amp;"*",'9'!B$300:B$400,0)),"  ")</f>
        <v xml:space="preserve">  </v>
      </c>
      <c r="AJ201" s="830" t="str">
        <f>IFERROR(INDEX('10'!C$300:C$400,MATCH("*"&amp;H201&amp;"*",'10'!B$300:B$400,0)),"  ")</f>
        <v xml:space="preserve">  </v>
      </c>
      <c r="AK201" s="75" t="str">
        <f>IFERROR(INDEX('11'!C$300:C$400,MATCH("*"&amp;H201&amp;"*",'11'!B$300:B$400,0)),"  ")</f>
        <v xml:space="preserve">  </v>
      </c>
      <c r="AL201" s="75" t="str">
        <f>IFERROR(INDEX('12'!C$300:C$400,MATCH("*"&amp;H201&amp;"*",'12'!B$300:B$400,0)),"  ")</f>
        <v xml:space="preserve">  </v>
      </c>
      <c r="AM201" s="26">
        <f t="shared" ref="AM201" ca="1" si="94">COUNTIF(U201:W201,"&gt;=0")+COUNTIF(AA201:AE201,"&gt;=0")+COUNTIF(AI201:AL201,"&gt;=0")</f>
        <v>0</v>
      </c>
      <c r="AN201" s="579">
        <f t="shared" ca="1" si="90"/>
        <v>0</v>
      </c>
      <c r="AO201" s="580">
        <f t="shared" ca="1" si="88"/>
        <v>0</v>
      </c>
      <c r="AP201" s="27">
        <f t="shared" ca="1" si="89"/>
        <v>0</v>
      </c>
      <c r="AQ201" s="933">
        <f t="shared" si="75"/>
        <v>2.0000000000000001E-4</v>
      </c>
      <c r="AR201" s="933">
        <f t="shared" ca="1" si="76"/>
        <v>1E-4</v>
      </c>
    </row>
    <row r="202" spans="1:44" x14ac:dyDescent="0.2">
      <c r="A202" s="47">
        <f ca="1">COUNT(A9:A201)</f>
        <v>110</v>
      </c>
      <c r="B202" s="28"/>
      <c r="C202" s="48">
        <f ca="1">COUNT(C9:C201)</f>
        <v>40</v>
      </c>
      <c r="D202" s="28"/>
      <c r="E202" s="219">
        <f ca="1">COUNT(E9:E201)</f>
        <v>9</v>
      </c>
      <c r="F202" s="219">
        <f t="shared" ref="F202:G202" ca="1" si="95">COUNT(F9:F201)</f>
        <v>193</v>
      </c>
      <c r="G202" s="856">
        <f t="shared" ca="1" si="95"/>
        <v>150</v>
      </c>
      <c r="H202" s="236" t="s">
        <v>89</v>
      </c>
      <c r="I202" s="29"/>
      <c r="J202" s="29"/>
      <c r="K202" s="584"/>
      <c r="L202" s="677"/>
      <c r="M202" s="29"/>
      <c r="N202" s="29"/>
      <c r="O202" s="29"/>
      <c r="T202" s="902">
        <f>COUNTIF(T9:T201,"&gt;=0")</f>
        <v>99</v>
      </c>
      <c r="U202" s="40">
        <f t="shared" ref="U202:AL202" si="96">COUNTIF(U9:U201,"&gt;=0")+COUNTIF(U9:U201,"=v")+COUNTIF(U9:U201,"=w")</f>
        <v>36</v>
      </c>
      <c r="V202" s="40">
        <f t="shared" si="96"/>
        <v>36</v>
      </c>
      <c r="W202" s="40">
        <f t="shared" ca="1" si="96"/>
        <v>28</v>
      </c>
      <c r="X202" s="40">
        <f t="shared" ca="1" si="96"/>
        <v>20</v>
      </c>
      <c r="Y202" s="40">
        <f t="shared" ca="1" si="96"/>
        <v>8</v>
      </c>
      <c r="Z202" s="40">
        <f t="shared" si="96"/>
        <v>0</v>
      </c>
      <c r="AA202" s="40">
        <f t="shared" si="96"/>
        <v>44</v>
      </c>
      <c r="AB202" s="40">
        <f t="shared" si="96"/>
        <v>50</v>
      </c>
      <c r="AC202" s="40">
        <f t="shared" si="96"/>
        <v>33</v>
      </c>
      <c r="AD202" s="40">
        <f t="shared" si="96"/>
        <v>31</v>
      </c>
      <c r="AE202" s="40">
        <f t="shared" si="96"/>
        <v>35</v>
      </c>
      <c r="AF202" s="40">
        <f t="shared" si="96"/>
        <v>25</v>
      </c>
      <c r="AG202" s="40">
        <f t="shared" si="96"/>
        <v>10</v>
      </c>
      <c r="AH202" s="40">
        <f t="shared" si="96"/>
        <v>0</v>
      </c>
      <c r="AI202" s="40">
        <f t="shared" si="96"/>
        <v>36</v>
      </c>
      <c r="AJ202" s="40">
        <f t="shared" si="96"/>
        <v>39</v>
      </c>
      <c r="AK202" s="40">
        <f t="shared" si="96"/>
        <v>57</v>
      </c>
      <c r="AL202" s="40">
        <f t="shared" si="96"/>
        <v>56</v>
      </c>
      <c r="AM202" s="29"/>
      <c r="AN202" s="30">
        <f ca="1">SUM(AN9:AN201)</f>
        <v>89</v>
      </c>
      <c r="AO202" s="30">
        <f ca="1">SUM(AO9:AO201)</f>
        <v>31</v>
      </c>
      <c r="AP202" s="31">
        <f ca="1">SUM(AP9:AP201)</f>
        <v>14</v>
      </c>
    </row>
    <row r="203" spans="1:44" x14ac:dyDescent="0.2">
      <c r="A203" s="32"/>
      <c r="B203" s="32"/>
      <c r="C203" s="32"/>
      <c r="D203" s="32"/>
      <c r="E203" s="32"/>
      <c r="F203" s="32"/>
      <c r="G203" s="32"/>
      <c r="H203" s="237" t="s">
        <v>90</v>
      </c>
      <c r="I203" s="10"/>
      <c r="J203" s="10"/>
      <c r="K203" s="10"/>
      <c r="L203" s="10"/>
      <c r="M203" s="10"/>
      <c r="N203" s="10"/>
      <c r="O203" s="10"/>
      <c r="T203" s="10"/>
      <c r="U203" s="39">
        <f>IF((U202/(LEN(U7)-LEN(SUBSTITUTE(U7,"*","")))-0.5)&lt;0,"",U202/(LEN(U7)-LEN(SUBSTITUTE(U7,"*","")))-0.5)</f>
        <v>17.5</v>
      </c>
      <c r="V203" s="39">
        <f>IF((V202/(LEN(V7)-LEN(SUBSTITUTE(V7,"*","")))-0.5)&lt;0,"",V202/(LEN(V7)-LEN(SUBSTITUTE(V7,"*","")))-0.5)</f>
        <v>11.5</v>
      </c>
      <c r="W203" s="39"/>
      <c r="X203" s="39"/>
      <c r="Y203" s="39"/>
      <c r="Z203" s="39"/>
      <c r="AA203" s="39">
        <f>IF((AA202/(LEN(AA7)-LEN(SUBSTITUTE(AA7,"*","")))-0.5)&lt;0,"",AA202/(LEN(AA7)-LEN(SUBSTITUTE(AA7,"*","")))-0.5)</f>
        <v>14.166666666666666</v>
      </c>
      <c r="AB203" s="39">
        <v>24</v>
      </c>
      <c r="AC203" s="39">
        <f>IF((AC202/(LEN(AC7)-LEN(SUBSTITUTE(AC7,"*","")))-0.5)&lt;0,"",AC202/(LEN(AC7)-LEN(SUBSTITUTE(AC7,"*","")))-0.5)</f>
        <v>10.5</v>
      </c>
      <c r="AD203" s="39">
        <f>IF((AD202/(LEN(AD7)-LEN(SUBSTITUTE(AD7,"*","")))-0.5)&lt;0,"",AD202/(LEN(AD7)-LEN(SUBSTITUTE(AD7,"*","")))-0.5)</f>
        <v>15</v>
      </c>
      <c r="AE203" s="39"/>
      <c r="AF203" s="39"/>
      <c r="AG203" s="39"/>
      <c r="AH203" s="39"/>
      <c r="AI203" s="39">
        <f>IF((AI202/(LEN(AI7)-LEN(SUBSTITUTE(AI7,"*","")))-0.5)&lt;0,"",AI202/(LEN(AI7)-LEN(SUBSTITUTE(AI7,"*","")))-0.5)</f>
        <v>17.5</v>
      </c>
      <c r="AJ203" s="39">
        <f>IF((AJ202/(LEN(AJ7)-LEN(SUBSTITUTE(AJ7,"*","")))-0.5)&lt;0,"",AJ202/(LEN(AJ7)-LEN(SUBSTITUTE(AJ7,"*","")))-0.5)</f>
        <v>12.5</v>
      </c>
      <c r="AK203" s="39">
        <f>IF((AK202/(LEN(AK7)-LEN(SUBSTITUTE(AK7,"*","")))-0.5)&lt;0,"",AK202/(LEN(AK7)-LEN(SUBSTITUTE(AK7,"*","")))-0.5)</f>
        <v>18.5</v>
      </c>
      <c r="AL203" s="39">
        <f>IF((AL202/(LEN(AL7)-LEN(SUBSTITUTE(AL7,"*","")))-0.5)&lt;0,"",AL202/(LEN(AL7)-LEN(SUBSTITUTE(AL7,"*","")))-0.5)</f>
        <v>27.5</v>
      </c>
      <c r="AM203" s="32"/>
      <c r="AN203" s="32"/>
      <c r="AO203" s="32"/>
      <c r="AP203" s="32"/>
    </row>
    <row r="204" spans="1:44" x14ac:dyDescent="0.2">
      <c r="AB204" s="4"/>
    </row>
  </sheetData>
  <autoFilter ref="A8:AP203"/>
  <sortState ref="A9:AP201">
    <sortCondition descending="1" ref="S9:S201"/>
  </sortState>
  <conditionalFormatting sqref="O9:O201">
    <cfRule type="expression" dxfId="1868" priority="4">
      <formula>O9=0</formula>
    </cfRule>
    <cfRule type="timePeriod" dxfId="1867" priority="189" stopIfTrue="1" timePeriod="yesterday">
      <formula>FLOOR(O9,1)=TODAY()-1</formula>
    </cfRule>
  </conditionalFormatting>
  <conditionalFormatting sqref="U202:AL202">
    <cfRule type="top10" dxfId="1866" priority="12564" stopIfTrue="1" rank="1"/>
  </conditionalFormatting>
  <conditionalFormatting sqref="V9:V201 AA9:AA201 AD9:AD201 AI9:AJ201 AL9:AL201">
    <cfRule type="cellIs" dxfId="1865" priority="202" operator="equal">
      <formula>115</formula>
    </cfRule>
  </conditionalFormatting>
  <conditionalFormatting sqref="U9:U201 X9:Z201 AB9:AC201 AF9:AH201 AK9:AK201">
    <cfRule type="cellIs" dxfId="1864" priority="155" operator="equal">
      <formula>146</formula>
    </cfRule>
    <cfRule type="cellIs" dxfId="1863" priority="156" operator="equal">
      <formula>158</formula>
    </cfRule>
    <cfRule type="cellIs" dxfId="1862" priority="157" operator="equal">
      <formula>173</formula>
    </cfRule>
  </conditionalFormatting>
  <conditionalFormatting sqref="V9:V201 AA9:AA201 AD9:AD201 AI9:AJ201 AL9:AL201">
    <cfRule type="cellIs" dxfId="1861" priority="200" operator="equal">
      <formula>97</formula>
    </cfRule>
    <cfRule type="cellIs" dxfId="1860" priority="201" operator="equal">
      <formula>105</formula>
    </cfRule>
  </conditionalFormatting>
  <conditionalFormatting sqref="N9:N201">
    <cfRule type="expression" dxfId="1859" priority="5">
      <formula>N9=0</formula>
    </cfRule>
    <cfRule type="duplicateValues" dxfId="1858" priority="15462" stopIfTrue="1"/>
  </conditionalFormatting>
  <conditionalFormatting sqref="AM9:AM201">
    <cfRule type="top10" dxfId="1857" priority="15464" stopIfTrue="1" rank="1"/>
  </conditionalFormatting>
  <conditionalFormatting sqref="AN9:AN201">
    <cfRule type="top10" dxfId="1856" priority="15466" stopIfTrue="1" rank="1"/>
  </conditionalFormatting>
  <conditionalFormatting sqref="AO9:AO201">
    <cfRule type="top10" dxfId="1855" priority="15468" stopIfTrue="1" rank="1"/>
  </conditionalFormatting>
  <conditionalFormatting sqref="AP9:AP201">
    <cfRule type="top10" dxfId="1854" priority="15470" stopIfTrue="1" rank="1"/>
  </conditionalFormatting>
  <conditionalFormatting sqref="G9:G201">
    <cfRule type="duplicateValues" dxfId="1853" priority="15472" stopIfTrue="1"/>
  </conditionalFormatting>
  <conditionalFormatting sqref="A9:A201">
    <cfRule type="duplicateValues" dxfId="1852" priority="15476" stopIfTrue="1"/>
  </conditionalFormatting>
  <conditionalFormatting sqref="C9:C201">
    <cfRule type="duplicateValues" dxfId="1851" priority="15478" stopIfTrue="1"/>
  </conditionalFormatting>
  <conditionalFormatting sqref="E9:E201">
    <cfRule type="duplicateValues" dxfId="1850" priority="15480" stopIfTrue="1"/>
  </conditionalFormatting>
  <conditionalFormatting sqref="M9:M201">
    <cfRule type="expression" dxfId="1849" priority="3">
      <formula>M9=0</formula>
    </cfRule>
    <cfRule type="expression" dxfId="1848" priority="15526">
      <formula>L9="v"</formula>
    </cfRule>
    <cfRule type="expression" dxfId="1847" priority="15527">
      <formula>K9="k"</formula>
    </cfRule>
    <cfRule type="duplicateValues" dxfId="1846" priority="15528" stopIfTrue="1"/>
  </conditionalFormatting>
  <conditionalFormatting sqref="H9:H201">
    <cfRule type="expression" dxfId="1845" priority="15532">
      <formula>L9="v"</formula>
    </cfRule>
    <cfRule type="expression" dxfId="1844" priority="15533">
      <formula>K9="k"</formula>
    </cfRule>
    <cfRule type="expression" dxfId="1843" priority="15534">
      <formula>J9="j"</formula>
    </cfRule>
    <cfRule type="expression" dxfId="1842" priority="15535">
      <formula>I9="n"</formula>
    </cfRule>
    <cfRule type="duplicateValues" dxfId="1841" priority="15536"/>
  </conditionalFormatting>
  <conditionalFormatting sqref="U9:U201 W9:W201 AB9:AC201 AE9:AE201 AK9:AK201">
    <cfRule type="expression" dxfId="1840" priority="2">
      <formula>IF(U9="  ",FALSE,U9)+U$8/10000=$AR9</formula>
    </cfRule>
  </conditionalFormatting>
  <conditionalFormatting sqref="V9:V201 AA9:AA201 AD9:AD201 AL9:AL201 AI9:AJ201">
    <cfRule type="expression" dxfId="1839" priority="1">
      <formula>IF(V9="  ",FALSE,V9)+V$8/10000=$AQ9</formula>
    </cfRule>
  </conditionalFormatting>
  <printOptions horizontalCentered="1"/>
  <pageMargins left="0.39370078740157483" right="0.39370078740157483" top="0.98425196850393704" bottom="0.39370078740157483" header="0.78740157480314965" footer="0"/>
  <pageSetup paperSize="9" fitToHeight="0" orientation="landscape" r:id="rId1"/>
  <headerFooter>
    <oddHeader>&amp;R&amp;"Arial,Regular"&amp;9Page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R1" sqref="R1"/>
    </sheetView>
  </sheetViews>
  <sheetFormatPr defaultRowHeight="12.75" x14ac:dyDescent="0.2"/>
  <cols>
    <col min="1" max="1" width="5.5703125" style="69" customWidth="1"/>
    <col min="2" max="2" width="34"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4" max="34" width="9.140625" style="69" hidden="1" customWidth="1"/>
    <col min="35" max="35" width="15.28515625" style="69" hidden="1" customWidth="1"/>
    <col min="36" max="36" width="6" style="69" hidden="1" customWidth="1"/>
    <col min="37" max="37" width="16.42578125" style="69" hidden="1" customWidth="1"/>
    <col min="38" max="38" width="6" style="69" hidden="1" customWidth="1"/>
    <col min="39" max="39" width="17.28515625" style="69" hidden="1" customWidth="1"/>
    <col min="40" max="40" width="6" style="69" hidden="1" customWidth="1"/>
    <col min="41" max="41" width="13.85546875" style="69" hidden="1" customWidth="1"/>
    <col min="42" max="42" width="6" style="69" hidden="1" customWidth="1"/>
    <col min="43" max="16384" width="9.140625" style="69"/>
  </cols>
  <sheetData>
    <row r="1" spans="1:42" x14ac:dyDescent="0.2">
      <c r="A1" s="605" t="str">
        <f>UPPER((Kalend!E12)&amp;" - "&amp;(Kalend!C12)&amp;" - "&amp;(Kalend!D12))</f>
        <v>1 - 21. EESTI MV - SEGADUO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2" x14ac:dyDescent="0.2">
      <c r="A2" s="67" t="str">
        <f>"Toimumisaeg: "&amp;(Kalend!A12)&amp;" kell "&amp;(Kalend!B12)</f>
        <v>Toimumisaeg: L, 09.06.2018 kell 10:00</v>
      </c>
      <c r="AC2" s="264"/>
    </row>
    <row r="3" spans="1:42" x14ac:dyDescent="0.2">
      <c r="A3" s="67" t="str">
        <f>"Toimumiskoht: "&amp;(Kalend!H12)</f>
        <v>Toimumiskoht: Uuskalda (Läänemaa, Kärbla küla)</v>
      </c>
      <c r="I3" s="262"/>
      <c r="J3" s="132"/>
      <c r="K3" s="130"/>
      <c r="L3" s="610"/>
      <c r="AH3" s="681" t="s">
        <v>771</v>
      </c>
    </row>
    <row r="4" spans="1:42" x14ac:dyDescent="0.2">
      <c r="A4" s="67" t="str">
        <f>"Korraldaja: "&amp;(Kalend!I12)</f>
        <v>Korraldaja: PK Wicia</v>
      </c>
      <c r="I4" s="262"/>
      <c r="J4" s="611"/>
      <c r="L4" s="612"/>
      <c r="AH4" s="667" t="s">
        <v>189</v>
      </c>
      <c r="AI4" s="668"/>
      <c r="AJ4" s="625"/>
      <c r="AK4" s="669"/>
      <c r="AL4" s="625"/>
      <c r="AM4" s="625"/>
      <c r="AN4" s="625"/>
      <c r="AO4" s="625"/>
      <c r="AP4" s="625"/>
    </row>
    <row r="5" spans="1:42" x14ac:dyDescent="0.2">
      <c r="A5" s="67"/>
      <c r="J5" s="132"/>
      <c r="K5" s="130"/>
      <c r="L5" s="610"/>
      <c r="AH5" s="667" t="s">
        <v>764</v>
      </c>
      <c r="AI5" s="670" t="s">
        <v>765</v>
      </c>
      <c r="AJ5" s="670"/>
      <c r="AK5" s="671" t="s">
        <v>766</v>
      </c>
      <c r="AL5" s="670"/>
      <c r="AM5" s="670" t="s">
        <v>767</v>
      </c>
      <c r="AN5" s="670"/>
      <c r="AO5" s="670" t="s">
        <v>768</v>
      </c>
      <c r="AP5" s="672"/>
    </row>
    <row r="6" spans="1:42"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68"/>
      <c r="AJ6" s="625"/>
      <c r="AK6" s="668"/>
      <c r="AL6" s="625"/>
      <c r="AM6" s="673"/>
      <c r="AN6" s="673"/>
      <c r="AO6" s="673"/>
      <c r="AP6" s="673"/>
    </row>
    <row r="7" spans="1:42" x14ac:dyDescent="0.2">
      <c r="A7" s="616">
        <v>1</v>
      </c>
      <c r="B7" s="22" t="s">
        <v>739</v>
      </c>
      <c r="C7" s="618">
        <v>13</v>
      </c>
      <c r="D7" s="619" t="s">
        <v>615</v>
      </c>
      <c r="E7" s="620">
        <v>5</v>
      </c>
      <c r="F7" s="621" t="str">
        <f>B12</f>
        <v>Külli Kariste, Urmo Auväärt</v>
      </c>
      <c r="G7" s="618">
        <v>13</v>
      </c>
      <c r="H7" s="619" t="s">
        <v>615</v>
      </c>
      <c r="I7" s="620">
        <v>1</v>
      </c>
      <c r="J7" s="621" t="str">
        <f>B10</f>
        <v>Kertu Palm, Marek Kolk</v>
      </c>
      <c r="K7" s="618">
        <v>13</v>
      </c>
      <c r="L7" s="619" t="s">
        <v>615</v>
      </c>
      <c r="M7" s="620">
        <v>3</v>
      </c>
      <c r="N7" s="621" t="str">
        <f>B9</f>
        <v>Aivar Sein, Maive Sein</v>
      </c>
      <c r="O7" s="618">
        <v>13</v>
      </c>
      <c r="P7" s="619" t="s">
        <v>615</v>
      </c>
      <c r="Q7" s="620">
        <v>11</v>
      </c>
      <c r="R7" s="621" t="str">
        <f>B8</f>
        <v>Irene Võrklaev, Ruudi Väärtnõu</v>
      </c>
      <c r="S7" s="618"/>
      <c r="T7" s="619" t="s">
        <v>615</v>
      </c>
      <c r="U7" s="620"/>
      <c r="V7" s="621"/>
      <c r="W7" s="618"/>
      <c r="X7" s="619" t="s">
        <v>615</v>
      </c>
      <c r="Y7" s="620"/>
      <c r="Z7" s="621"/>
      <c r="AA7" s="622">
        <f t="shared" ref="AA7:AA24" si="0">2*(IF(C7&gt;E7,1)+IF(G7&gt;I7,1)+IF(K7&gt;M7,1)+IF(O7&gt;Q7,1)+IF(S7&gt;U7,1)+IF(W7&gt;Y7,1))</f>
        <v>8</v>
      </c>
      <c r="AB7" s="626">
        <v>22</v>
      </c>
      <c r="AC7" s="629">
        <f t="shared" ref="AC7:AC24" si="1">C7+G7+K7+O7+S7+W7</f>
        <v>52</v>
      </c>
      <c r="AD7" s="630" t="s">
        <v>615</v>
      </c>
      <c r="AE7" s="631">
        <f t="shared" ref="AE7:AE24" si="2">E7+I7+M7+Q7+U7+Y7</f>
        <v>20</v>
      </c>
      <c r="AF7" s="803">
        <f t="shared" ref="AF7:AF24" si="3">AC7-AE7</f>
        <v>32</v>
      </c>
      <c r="AH7" s="672">
        <f t="shared" ref="AH7" ca="1" si="4">SUM(AJ7:AP7)</f>
        <v>1875.5</v>
      </c>
      <c r="AI7" s="674" t="str">
        <f t="shared" ref="AI7:AI24" si="5">IFERROR(LEFT($B300,(FIND(",",$B300,1)-1)),"")</f>
        <v>Katri Aavekukk</v>
      </c>
      <c r="AJ7" s="675">
        <f ca="1">IFERROR(INDEX(Üldreiting!$M:$M,MATCH(AI7,Üldreiting!$H:$H,0)),"")</f>
        <v>1079</v>
      </c>
      <c r="AK7" s="674" t="str">
        <f t="shared" ref="AK7:AK24" si="6">IFERROR(MID($B300,FIND(", ",$B300)+2,256),"")</f>
        <v>Margus Berkmann</v>
      </c>
      <c r="AL7" s="675">
        <f ca="1">IFERROR(INDEX(Üldreiting!$M:$M,MATCH(AK7,Üldreiting!$H:$H,0)),"")</f>
        <v>796.5</v>
      </c>
      <c r="AM7" s="676" t="str">
        <f t="shared" ref="AM7:AM24" si="7">IFERROR(MID($B300,FIND("^",SUBSTITUTE($B300,", ","^",1))+2,FIND("^",SUBSTITUTE($B300,", ","^",2))-FIND("^",SUBSTITUTE($B300,", ","^",1))-2),"")</f>
        <v/>
      </c>
      <c r="AN7" s="675" t="str">
        <f>IFERROR(INDEX(Üldreiting!$M:$M,MATCH(AM7,Üldreiting!$H:$H,0)),"")</f>
        <v/>
      </c>
      <c r="AO7" s="676" t="str">
        <f t="shared" ref="AO7:AO24" si="8">IFERROR(MID($B300,FIND(", ",$B300,FIND(", ",$B300,FIND(", ",$B300))+1)+2,30000),"")</f>
        <v/>
      </c>
      <c r="AP7" s="675" t="str">
        <f>IFERROR(INDEX(Üldreiting!$M:$M,MATCH(AO7,Üldreiting!$H:$H,0)),"")</f>
        <v/>
      </c>
    </row>
    <row r="8" spans="1:42" x14ac:dyDescent="0.2">
      <c r="A8" s="616">
        <v>2</v>
      </c>
      <c r="B8" s="22" t="s">
        <v>740</v>
      </c>
      <c r="C8" s="618">
        <v>12</v>
      </c>
      <c r="D8" s="619" t="s">
        <v>615</v>
      </c>
      <c r="E8" s="620">
        <v>11</v>
      </c>
      <c r="F8" s="621" t="str">
        <f>B15</f>
        <v>Kadri Arunurm, Meelis Münt</v>
      </c>
      <c r="G8" s="618">
        <v>8</v>
      </c>
      <c r="H8" s="619" t="s">
        <v>615</v>
      </c>
      <c r="I8" s="620">
        <v>3</v>
      </c>
      <c r="J8" s="621" t="str">
        <f>B13</f>
        <v>Aigi Orro, Kalle Orro</v>
      </c>
      <c r="K8" s="618">
        <v>13</v>
      </c>
      <c r="L8" s="619" t="s">
        <v>615</v>
      </c>
      <c r="M8" s="620">
        <v>7</v>
      </c>
      <c r="N8" s="621" t="str">
        <f>B11</f>
        <v>Katri Aavekukk, Margus Berkmann</v>
      </c>
      <c r="O8" s="618">
        <v>11</v>
      </c>
      <c r="P8" s="619" t="s">
        <v>615</v>
      </c>
      <c r="Q8" s="620">
        <v>13</v>
      </c>
      <c r="R8" s="621" t="str">
        <f>B7</f>
        <v>Andero Kelu, Maris Rõõm</v>
      </c>
      <c r="S8" s="618"/>
      <c r="T8" s="619" t="s">
        <v>615</v>
      </c>
      <c r="U8" s="620"/>
      <c r="V8" s="621"/>
      <c r="W8" s="618"/>
      <c r="X8" s="619" t="s">
        <v>615</v>
      </c>
      <c r="Y8" s="620"/>
      <c r="Z8" s="621"/>
      <c r="AA8" s="634">
        <f t="shared" si="0"/>
        <v>6</v>
      </c>
      <c r="AB8" s="635">
        <v>22</v>
      </c>
      <c r="AC8" s="629">
        <f t="shared" si="1"/>
        <v>44</v>
      </c>
      <c r="AD8" s="630" t="s">
        <v>615</v>
      </c>
      <c r="AE8" s="631">
        <f t="shared" si="2"/>
        <v>34</v>
      </c>
      <c r="AF8" s="803">
        <f t="shared" si="3"/>
        <v>10</v>
      </c>
      <c r="AH8" s="672">
        <f t="shared" ref="AH8:AH24" ca="1" si="9">SUM(AJ8:AP8)</f>
        <v>1220</v>
      </c>
      <c r="AI8" s="674" t="str">
        <f t="shared" si="5"/>
        <v>Irene Võrklaev</v>
      </c>
      <c r="AJ8" s="675">
        <f ca="1">IFERROR(INDEX(Üldreiting!$M:$M,MATCH(AI8,Üldreiting!$H:$H,0)),"")</f>
        <v>248</v>
      </c>
      <c r="AK8" s="674" t="str">
        <f t="shared" si="6"/>
        <v>Ruudi Väärtnõu</v>
      </c>
      <c r="AL8" s="675">
        <f ca="1">IFERROR(INDEX(Üldreiting!$M:$M,MATCH(AK8,Üldreiting!$H:$H,0)),"")</f>
        <v>972</v>
      </c>
      <c r="AM8" s="676" t="str">
        <f t="shared" si="7"/>
        <v/>
      </c>
      <c r="AN8" s="675" t="str">
        <f>IFERROR(INDEX(Üldreiting!$M:$M,MATCH(AM8,Üldreiting!$H:$H,0)),"")</f>
        <v/>
      </c>
      <c r="AO8" s="676" t="str">
        <f t="shared" si="8"/>
        <v/>
      </c>
      <c r="AP8" s="675" t="str">
        <f>IFERROR(INDEX(Üldreiting!$M:$M,MATCH(AO8,Üldreiting!$H:$H,0)),"")</f>
        <v/>
      </c>
    </row>
    <row r="9" spans="1:42" x14ac:dyDescent="0.2">
      <c r="A9" s="616">
        <v>3</v>
      </c>
      <c r="B9" s="617" t="s">
        <v>741</v>
      </c>
      <c r="C9" s="618">
        <v>11</v>
      </c>
      <c r="D9" s="619" t="s">
        <v>615</v>
      </c>
      <c r="E9" s="620">
        <v>9</v>
      </c>
      <c r="F9" s="621" t="str">
        <f>B14</f>
        <v>Kaido Kopel, Piret Kopel</v>
      </c>
      <c r="G9" s="618">
        <v>13</v>
      </c>
      <c r="H9" s="619" t="s">
        <v>615</v>
      </c>
      <c r="I9" s="620">
        <v>1</v>
      </c>
      <c r="J9" s="621" t="str">
        <f>B20</f>
        <v>Kevin Sten Liik, Mare Kingissepp</v>
      </c>
      <c r="K9" s="618">
        <v>3</v>
      </c>
      <c r="L9" s="619" t="s">
        <v>615</v>
      </c>
      <c r="M9" s="620">
        <v>13</v>
      </c>
      <c r="N9" s="621" t="str">
        <f>B7</f>
        <v>Andero Kelu, Maris Rõõm</v>
      </c>
      <c r="O9" s="618">
        <v>12</v>
      </c>
      <c r="P9" s="619" t="s">
        <v>615</v>
      </c>
      <c r="Q9" s="620">
        <v>6</v>
      </c>
      <c r="R9" s="621" t="str">
        <f>B12</f>
        <v>Külli Kariste, Urmo Auväärt</v>
      </c>
      <c r="S9" s="618"/>
      <c r="T9" s="619" t="s">
        <v>615</v>
      </c>
      <c r="U9" s="620"/>
      <c r="V9" s="621"/>
      <c r="W9" s="618"/>
      <c r="X9" s="619" t="s">
        <v>615</v>
      </c>
      <c r="Y9" s="620"/>
      <c r="Z9" s="621"/>
      <c r="AA9" s="634">
        <f t="shared" si="0"/>
        <v>6</v>
      </c>
      <c r="AB9" s="635">
        <v>18</v>
      </c>
      <c r="AC9" s="800">
        <f t="shared" si="1"/>
        <v>39</v>
      </c>
      <c r="AD9" s="801" t="s">
        <v>615</v>
      </c>
      <c r="AE9" s="802">
        <f t="shared" si="2"/>
        <v>29</v>
      </c>
      <c r="AF9" s="806">
        <f t="shared" si="3"/>
        <v>10</v>
      </c>
      <c r="AH9" s="672">
        <f t="shared" ca="1" si="9"/>
        <v>1729</v>
      </c>
      <c r="AI9" s="674" t="str">
        <f t="shared" si="5"/>
        <v>Külli Kariste</v>
      </c>
      <c r="AJ9" s="675">
        <f ca="1">IFERROR(INDEX(Üldreiting!$M:$M,MATCH(AI9,Üldreiting!$H:$H,0)),"")</f>
        <v>593</v>
      </c>
      <c r="AK9" s="674" t="str">
        <f t="shared" si="6"/>
        <v>Urmo Auväärt</v>
      </c>
      <c r="AL9" s="675">
        <f ca="1">IFERROR(INDEX(Üldreiting!$M:$M,MATCH(AK9,Üldreiting!$H:$H,0)),"")</f>
        <v>1136</v>
      </c>
      <c r="AM9" s="676" t="str">
        <f t="shared" si="7"/>
        <v/>
      </c>
      <c r="AN9" s="675" t="str">
        <f>IFERROR(INDEX(Üldreiting!$M:$M,MATCH(AM9,Üldreiting!$H:$H,0)),"")</f>
        <v/>
      </c>
      <c r="AO9" s="676" t="str">
        <f t="shared" si="8"/>
        <v/>
      </c>
      <c r="AP9" s="675" t="str">
        <f>IFERROR(INDEX(Üldreiting!$M:$M,MATCH(AO9,Üldreiting!$H:$H,0)),"")</f>
        <v/>
      </c>
    </row>
    <row r="10" spans="1:42" x14ac:dyDescent="0.2">
      <c r="A10" s="616">
        <v>4</v>
      </c>
      <c r="B10" s="617" t="s">
        <v>742</v>
      </c>
      <c r="C10" s="618">
        <v>13</v>
      </c>
      <c r="D10" s="619" t="s">
        <v>615</v>
      </c>
      <c r="E10" s="620">
        <v>7</v>
      </c>
      <c r="F10" s="621" t="str">
        <f>B17</f>
        <v>Silver Kingissepp, Triin Gretel Tauk</v>
      </c>
      <c r="G10" s="618">
        <v>1</v>
      </c>
      <c r="H10" s="619" t="s">
        <v>615</v>
      </c>
      <c r="I10" s="620">
        <v>13</v>
      </c>
      <c r="J10" s="621" t="str">
        <f>B7</f>
        <v>Andero Kelu, Maris Rõõm</v>
      </c>
      <c r="K10" s="618">
        <v>11</v>
      </c>
      <c r="L10" s="619" t="s">
        <v>615</v>
      </c>
      <c r="M10" s="620">
        <v>6</v>
      </c>
      <c r="N10" s="621" t="str">
        <f>B20</f>
        <v>Kevin Sten Liik, Mare Kingissepp</v>
      </c>
      <c r="O10" s="618">
        <v>11</v>
      </c>
      <c r="P10" s="619" t="s">
        <v>615</v>
      </c>
      <c r="Q10" s="620">
        <v>9</v>
      </c>
      <c r="R10" s="621" t="str">
        <f>B13</f>
        <v>Aigi Orro, Kalle Orro</v>
      </c>
      <c r="S10" s="618"/>
      <c r="T10" s="619" t="s">
        <v>615</v>
      </c>
      <c r="U10" s="620"/>
      <c r="V10" s="621"/>
      <c r="W10" s="618"/>
      <c r="X10" s="619" t="s">
        <v>615</v>
      </c>
      <c r="Y10" s="620"/>
      <c r="Z10" s="621"/>
      <c r="AA10" s="634">
        <f t="shared" si="0"/>
        <v>6</v>
      </c>
      <c r="AB10" s="635">
        <v>18</v>
      </c>
      <c r="AC10" s="800">
        <f t="shared" si="1"/>
        <v>36</v>
      </c>
      <c r="AD10" s="801" t="s">
        <v>615</v>
      </c>
      <c r="AE10" s="802">
        <f t="shared" si="2"/>
        <v>35</v>
      </c>
      <c r="AF10" s="806">
        <f t="shared" si="3"/>
        <v>1</v>
      </c>
      <c r="AH10" s="672">
        <f t="shared" ca="1" si="9"/>
        <v>921</v>
      </c>
      <c r="AI10" s="674" t="str">
        <f t="shared" si="5"/>
        <v>Kaido Kopel</v>
      </c>
      <c r="AJ10" s="675">
        <f ca="1">IFERROR(INDEX(Üldreiting!$M:$M,MATCH(AI10,Üldreiting!$H:$H,0)),"")</f>
        <v>720</v>
      </c>
      <c r="AK10" s="674" t="str">
        <f t="shared" si="6"/>
        <v>Piret Kopel</v>
      </c>
      <c r="AL10" s="675">
        <f ca="1">IFERROR(INDEX(Üldreiting!$M:$M,MATCH(AK10,Üldreiting!$H:$H,0)),"")</f>
        <v>201</v>
      </c>
      <c r="AM10" s="676" t="str">
        <f t="shared" si="7"/>
        <v/>
      </c>
      <c r="AN10" s="675" t="str">
        <f>IFERROR(INDEX(Üldreiting!$M:$M,MATCH(AM10,Üldreiting!$H:$H,0)),"")</f>
        <v/>
      </c>
      <c r="AO10" s="676" t="str">
        <f t="shared" si="8"/>
        <v/>
      </c>
      <c r="AP10" s="675" t="str">
        <f>IFERROR(INDEX(Üldreiting!$M:$M,MATCH(AO10,Üldreiting!$H:$H,0)),"")</f>
        <v/>
      </c>
    </row>
    <row r="11" spans="1:42" x14ac:dyDescent="0.2">
      <c r="A11" s="616">
        <v>5</v>
      </c>
      <c r="B11" s="617" t="s">
        <v>743</v>
      </c>
      <c r="C11" s="618">
        <v>13</v>
      </c>
      <c r="D11" s="619" t="s">
        <v>615</v>
      </c>
      <c r="E11" s="620">
        <v>2</v>
      </c>
      <c r="F11" s="621" t="str">
        <f>B22</f>
        <v>Martha Aavisto, Vahur Raudsepp</v>
      </c>
      <c r="G11" s="618">
        <v>13</v>
      </c>
      <c r="H11" s="619" t="s">
        <v>615</v>
      </c>
      <c r="I11" s="620">
        <v>2</v>
      </c>
      <c r="J11" s="621" t="str">
        <f>B16</f>
        <v>Kevin Kangur, Varje Reede</v>
      </c>
      <c r="K11" s="618">
        <v>7</v>
      </c>
      <c r="L11" s="619" t="s">
        <v>615</v>
      </c>
      <c r="M11" s="620">
        <v>13</v>
      </c>
      <c r="N11" s="621" t="str">
        <f>B8</f>
        <v>Irene Võrklaev, Ruudi Väärtnõu</v>
      </c>
      <c r="O11" s="618">
        <v>13</v>
      </c>
      <c r="P11" s="619" t="s">
        <v>615</v>
      </c>
      <c r="Q11" s="620">
        <v>4</v>
      </c>
      <c r="R11" s="621" t="str">
        <f>B15</f>
        <v>Kadri Arunurm, Meelis Münt</v>
      </c>
      <c r="S11" s="618"/>
      <c r="T11" s="619" t="s">
        <v>615</v>
      </c>
      <c r="U11" s="620"/>
      <c r="V11" s="621"/>
      <c r="W11" s="618"/>
      <c r="X11" s="619" t="s">
        <v>615</v>
      </c>
      <c r="Y11" s="620"/>
      <c r="Z11" s="621"/>
      <c r="AA11" s="634">
        <f t="shared" si="0"/>
        <v>6</v>
      </c>
      <c r="AB11" s="635">
        <v>16</v>
      </c>
      <c r="AC11" s="629">
        <f t="shared" si="1"/>
        <v>46</v>
      </c>
      <c r="AD11" s="630" t="s">
        <v>615</v>
      </c>
      <c r="AE11" s="631">
        <f t="shared" si="2"/>
        <v>21</v>
      </c>
      <c r="AF11" s="803">
        <f t="shared" si="3"/>
        <v>25</v>
      </c>
      <c r="AH11" s="672">
        <f t="shared" ca="1" si="9"/>
        <v>1837</v>
      </c>
      <c r="AI11" s="674" t="str">
        <f t="shared" si="5"/>
        <v>Aigi Orro</v>
      </c>
      <c r="AJ11" s="675">
        <f ca="1">IFERROR(INDEX(Üldreiting!$M:$M,MATCH(AI11,Üldreiting!$H:$H,0)),"")</f>
        <v>918.5</v>
      </c>
      <c r="AK11" s="674" t="str">
        <f t="shared" si="6"/>
        <v>Kalle Orro</v>
      </c>
      <c r="AL11" s="675">
        <f ca="1">IFERROR(INDEX(Üldreiting!$M:$M,MATCH(AK11,Üldreiting!$H:$H,0)),"")</f>
        <v>918.5</v>
      </c>
      <c r="AM11" s="676" t="str">
        <f t="shared" si="7"/>
        <v/>
      </c>
      <c r="AN11" s="675" t="str">
        <f>IFERROR(INDEX(Üldreiting!$M:$M,MATCH(AM11,Üldreiting!$H:$H,0)),"")</f>
        <v/>
      </c>
      <c r="AO11" s="676" t="str">
        <f t="shared" si="8"/>
        <v/>
      </c>
      <c r="AP11" s="675" t="str">
        <f>IFERROR(INDEX(Üldreiting!$M:$M,MATCH(AO11,Üldreiting!$H:$H,0)),"")</f>
        <v/>
      </c>
    </row>
    <row r="12" spans="1:42" x14ac:dyDescent="0.2">
      <c r="A12" s="616">
        <v>6</v>
      </c>
      <c r="B12" s="617" t="s">
        <v>744</v>
      </c>
      <c r="C12" s="618">
        <v>5</v>
      </c>
      <c r="D12" s="619" t="s">
        <v>615</v>
      </c>
      <c r="E12" s="620">
        <v>13</v>
      </c>
      <c r="F12" s="621" t="str">
        <f>B7</f>
        <v>Andero Kelu, Maris Rõõm</v>
      </c>
      <c r="G12" s="618">
        <v>13</v>
      </c>
      <c r="H12" s="619" t="s">
        <v>615</v>
      </c>
      <c r="I12" s="620">
        <v>7</v>
      </c>
      <c r="J12" s="621" t="str">
        <f>B17</f>
        <v>Silver Kingissepp, Triin Gretel Tauk</v>
      </c>
      <c r="K12" s="618">
        <v>11</v>
      </c>
      <c r="L12" s="619" t="s">
        <v>615</v>
      </c>
      <c r="M12" s="620">
        <v>2</v>
      </c>
      <c r="N12" s="621" t="str">
        <f>B21</f>
        <v>Egert Kingissepp, Marge Mägi</v>
      </c>
      <c r="O12" s="618">
        <v>6</v>
      </c>
      <c r="P12" s="619" t="s">
        <v>615</v>
      </c>
      <c r="Q12" s="620">
        <v>12</v>
      </c>
      <c r="R12" s="621" t="str">
        <f>B9</f>
        <v>Aivar Sein, Maive Sein</v>
      </c>
      <c r="S12" s="618"/>
      <c r="T12" s="619" t="s">
        <v>615</v>
      </c>
      <c r="U12" s="620"/>
      <c r="V12" s="621"/>
      <c r="W12" s="618"/>
      <c r="X12" s="619" t="s">
        <v>615</v>
      </c>
      <c r="Y12" s="620"/>
      <c r="Z12" s="621"/>
      <c r="AA12" s="636">
        <f t="shared" si="0"/>
        <v>4</v>
      </c>
      <c r="AB12" s="637">
        <v>20</v>
      </c>
      <c r="AC12" s="629">
        <f t="shared" si="1"/>
        <v>35</v>
      </c>
      <c r="AD12" s="630" t="s">
        <v>615</v>
      </c>
      <c r="AE12" s="631">
        <f t="shared" si="2"/>
        <v>34</v>
      </c>
      <c r="AF12" s="803">
        <f t="shared" si="3"/>
        <v>1</v>
      </c>
      <c r="AH12" s="672">
        <f t="shared" ca="1" si="9"/>
        <v>1317</v>
      </c>
      <c r="AI12" s="674" t="str">
        <f t="shared" si="5"/>
        <v>Andero Kelu</v>
      </c>
      <c r="AJ12" s="675">
        <f ca="1">IFERROR(INDEX(Üldreiting!$M:$M,MATCH(AI12,Üldreiting!$H:$H,0)),"")</f>
        <v>775</v>
      </c>
      <c r="AK12" s="674" t="str">
        <f t="shared" si="6"/>
        <v>Maris Rõõm</v>
      </c>
      <c r="AL12" s="675">
        <f ca="1">IFERROR(INDEX(Üldreiting!$M:$M,MATCH(AK12,Üldreiting!$H:$H,0)),"")</f>
        <v>542</v>
      </c>
      <c r="AM12" s="676" t="str">
        <f t="shared" si="7"/>
        <v/>
      </c>
      <c r="AN12" s="675" t="str">
        <f>IFERROR(INDEX(Üldreiting!$M:$M,MATCH(AM12,Üldreiting!$H:$H,0)),"")</f>
        <v/>
      </c>
      <c r="AO12" s="676" t="str">
        <f t="shared" si="8"/>
        <v/>
      </c>
      <c r="AP12" s="675" t="str">
        <f>IFERROR(INDEX(Üldreiting!$M:$M,MATCH(AO12,Üldreiting!$H:$H,0)),"")</f>
        <v/>
      </c>
    </row>
    <row r="13" spans="1:42" x14ac:dyDescent="0.2">
      <c r="A13" s="616">
        <v>7</v>
      </c>
      <c r="B13" s="617" t="s">
        <v>745</v>
      </c>
      <c r="C13" s="618">
        <v>8</v>
      </c>
      <c r="D13" s="619" t="s">
        <v>615</v>
      </c>
      <c r="E13" s="620">
        <v>7</v>
      </c>
      <c r="F13" s="621" t="str">
        <f>B21</f>
        <v>Egert Kingissepp, Marge Mägi</v>
      </c>
      <c r="G13" s="618">
        <v>3</v>
      </c>
      <c r="H13" s="619" t="s">
        <v>615</v>
      </c>
      <c r="I13" s="620">
        <v>8</v>
      </c>
      <c r="J13" s="621" t="str">
        <f>B8</f>
        <v>Irene Võrklaev, Ruudi Väärtnõu</v>
      </c>
      <c r="K13" s="618">
        <v>12</v>
      </c>
      <c r="L13" s="619" t="s">
        <v>615</v>
      </c>
      <c r="M13" s="620">
        <v>4</v>
      </c>
      <c r="N13" s="621" t="str">
        <f>B16</f>
        <v>Kevin Kangur, Varje Reede</v>
      </c>
      <c r="O13" s="618">
        <v>9</v>
      </c>
      <c r="P13" s="619" t="s">
        <v>615</v>
      </c>
      <c r="Q13" s="620">
        <v>11</v>
      </c>
      <c r="R13" s="621" t="str">
        <f>B10</f>
        <v>Kertu Palm, Marek Kolk</v>
      </c>
      <c r="S13" s="618"/>
      <c r="T13" s="619" t="s">
        <v>615</v>
      </c>
      <c r="U13" s="620"/>
      <c r="V13" s="621"/>
      <c r="W13" s="618"/>
      <c r="X13" s="619" t="s">
        <v>615</v>
      </c>
      <c r="Y13" s="620"/>
      <c r="Z13" s="621"/>
      <c r="AA13" s="636">
        <f t="shared" si="0"/>
        <v>4</v>
      </c>
      <c r="AB13" s="637">
        <v>18</v>
      </c>
      <c r="AC13" s="629">
        <f t="shared" si="1"/>
        <v>32</v>
      </c>
      <c r="AD13" s="630" t="s">
        <v>615</v>
      </c>
      <c r="AE13" s="631">
        <f t="shared" si="2"/>
        <v>30</v>
      </c>
      <c r="AF13" s="803">
        <f t="shared" si="3"/>
        <v>2</v>
      </c>
      <c r="AH13" s="672">
        <f t="shared" ca="1" si="9"/>
        <v>1708</v>
      </c>
      <c r="AI13" s="674" t="str">
        <f t="shared" si="5"/>
        <v>Kertu Palm</v>
      </c>
      <c r="AJ13" s="675">
        <f ca="1">IFERROR(INDEX(Üldreiting!$M:$M,MATCH(AI13,Üldreiting!$H:$H,0)),"")</f>
        <v>627</v>
      </c>
      <c r="AK13" s="674" t="str">
        <f t="shared" si="6"/>
        <v>Marek Kolk</v>
      </c>
      <c r="AL13" s="675">
        <f ca="1">IFERROR(INDEX(Üldreiting!$M:$M,MATCH(AK13,Üldreiting!$H:$H,0)),"")</f>
        <v>1081</v>
      </c>
      <c r="AM13" s="676" t="str">
        <f t="shared" si="7"/>
        <v/>
      </c>
      <c r="AN13" s="675" t="str">
        <f>IFERROR(INDEX(Üldreiting!$M:$M,MATCH(AM13,Üldreiting!$H:$H,0)),"")</f>
        <v/>
      </c>
      <c r="AO13" s="676" t="str">
        <f t="shared" si="8"/>
        <v/>
      </c>
      <c r="AP13" s="675" t="str">
        <f>IFERROR(INDEX(Üldreiting!$M:$M,MATCH(AO13,Üldreiting!$H:$H,0)),"")</f>
        <v/>
      </c>
    </row>
    <row r="14" spans="1:42" x14ac:dyDescent="0.2">
      <c r="A14" s="616">
        <v>8</v>
      </c>
      <c r="B14" s="617" t="s">
        <v>746</v>
      </c>
      <c r="C14" s="618">
        <v>9</v>
      </c>
      <c r="D14" s="619" t="s">
        <v>615</v>
      </c>
      <c r="E14" s="620">
        <v>11</v>
      </c>
      <c r="F14" s="621" t="str">
        <f>B9</f>
        <v>Aivar Sein, Maive Sein</v>
      </c>
      <c r="G14" s="618">
        <v>13</v>
      </c>
      <c r="H14" s="619" t="s">
        <v>615</v>
      </c>
      <c r="I14" s="620">
        <v>1</v>
      </c>
      <c r="J14" s="621" t="str">
        <f>B23</f>
        <v>Marta Ruus, Valmar Pantšenko</v>
      </c>
      <c r="K14" s="618">
        <v>8</v>
      </c>
      <c r="L14" s="619" t="s">
        <v>615</v>
      </c>
      <c r="M14" s="620">
        <v>12</v>
      </c>
      <c r="N14" s="621" t="str">
        <f>B15</f>
        <v>Kadri Arunurm, Meelis Münt</v>
      </c>
      <c r="O14" s="618">
        <v>13</v>
      </c>
      <c r="P14" s="619" t="s">
        <v>615</v>
      </c>
      <c r="Q14" s="620">
        <v>3</v>
      </c>
      <c r="R14" s="621" t="str">
        <f>B19</f>
        <v>Angelika Tauk, Toomas Tauk</v>
      </c>
      <c r="S14" s="618"/>
      <c r="T14" s="619" t="s">
        <v>615</v>
      </c>
      <c r="U14" s="620"/>
      <c r="V14" s="621"/>
      <c r="W14" s="618"/>
      <c r="X14" s="619" t="s">
        <v>615</v>
      </c>
      <c r="Y14" s="620"/>
      <c r="Z14" s="621"/>
      <c r="AA14" s="636">
        <f t="shared" si="0"/>
        <v>4</v>
      </c>
      <c r="AB14" s="637">
        <v>16</v>
      </c>
      <c r="AC14" s="638">
        <f t="shared" si="1"/>
        <v>43</v>
      </c>
      <c r="AD14" s="639" t="s">
        <v>615</v>
      </c>
      <c r="AE14" s="640">
        <f t="shared" si="2"/>
        <v>27</v>
      </c>
      <c r="AF14" s="805">
        <f t="shared" si="3"/>
        <v>16</v>
      </c>
      <c r="AH14" s="672">
        <f t="shared" ca="1" si="9"/>
        <v>1331</v>
      </c>
      <c r="AI14" s="674" t="str">
        <f t="shared" si="5"/>
        <v>Aivar Sein</v>
      </c>
      <c r="AJ14" s="675">
        <f ca="1">IFERROR(INDEX(Üldreiting!$M:$M,MATCH(AI14,Üldreiting!$H:$H,0)),"")</f>
        <v>546</v>
      </c>
      <c r="AK14" s="674" t="str">
        <f t="shared" si="6"/>
        <v>Maive Sein</v>
      </c>
      <c r="AL14" s="675">
        <f ca="1">IFERROR(INDEX(Üldreiting!$M:$M,MATCH(AK14,Üldreiting!$H:$H,0)),"")</f>
        <v>785</v>
      </c>
      <c r="AM14" s="676" t="str">
        <f t="shared" si="7"/>
        <v/>
      </c>
      <c r="AN14" s="675" t="str">
        <f>IFERROR(INDEX(Üldreiting!$M:$M,MATCH(AM14,Üldreiting!$H:$H,0)),"")</f>
        <v/>
      </c>
      <c r="AO14" s="676" t="str">
        <f t="shared" si="8"/>
        <v/>
      </c>
      <c r="AP14" s="675" t="str">
        <f>IFERROR(INDEX(Üldreiting!$M:$M,MATCH(AO14,Üldreiting!$H:$H,0)),"")</f>
        <v/>
      </c>
    </row>
    <row r="15" spans="1:42" x14ac:dyDescent="0.2">
      <c r="A15" s="616">
        <v>9</v>
      </c>
      <c r="B15" s="617" t="s">
        <v>747</v>
      </c>
      <c r="C15" s="618">
        <v>11</v>
      </c>
      <c r="D15" s="619" t="s">
        <v>615</v>
      </c>
      <c r="E15" s="620">
        <v>12</v>
      </c>
      <c r="F15" s="621" t="str">
        <f>B8</f>
        <v>Irene Võrklaev, Ruudi Väärtnõu</v>
      </c>
      <c r="G15" s="618">
        <v>13</v>
      </c>
      <c r="H15" s="619" t="s">
        <v>615</v>
      </c>
      <c r="I15" s="620">
        <v>1</v>
      </c>
      <c r="J15" s="621" t="str">
        <f>B24</f>
        <v>Janek Kiisk, Kadri Veljend</v>
      </c>
      <c r="K15" s="618">
        <v>12</v>
      </c>
      <c r="L15" s="619" t="s">
        <v>615</v>
      </c>
      <c r="M15" s="620">
        <v>8</v>
      </c>
      <c r="N15" s="621" t="str">
        <f>B14</f>
        <v>Kaido Kopel, Piret Kopel</v>
      </c>
      <c r="O15" s="618">
        <v>4</v>
      </c>
      <c r="P15" s="619" t="s">
        <v>615</v>
      </c>
      <c r="Q15" s="620">
        <v>13</v>
      </c>
      <c r="R15" s="621" t="str">
        <f>B11</f>
        <v>Katri Aavekukk, Margus Berkmann</v>
      </c>
      <c r="S15" s="618"/>
      <c r="T15" s="619" t="s">
        <v>615</v>
      </c>
      <c r="U15" s="620"/>
      <c r="V15" s="621"/>
      <c r="W15" s="618"/>
      <c r="X15" s="619" t="s">
        <v>615</v>
      </c>
      <c r="Y15" s="620"/>
      <c r="Z15" s="621"/>
      <c r="AA15" s="636">
        <f t="shared" si="0"/>
        <v>4</v>
      </c>
      <c r="AB15" s="637">
        <v>16</v>
      </c>
      <c r="AC15" s="638">
        <f t="shared" si="1"/>
        <v>40</v>
      </c>
      <c r="AD15" s="639" t="s">
        <v>615</v>
      </c>
      <c r="AE15" s="640">
        <f t="shared" si="2"/>
        <v>34</v>
      </c>
      <c r="AF15" s="805">
        <f t="shared" si="3"/>
        <v>6</v>
      </c>
      <c r="AH15" s="672">
        <f t="shared" ca="1" si="9"/>
        <v>1053</v>
      </c>
      <c r="AI15" s="674" t="str">
        <f t="shared" si="5"/>
        <v>Kalju Olmre</v>
      </c>
      <c r="AJ15" s="675">
        <f ca="1">IFERROR(INDEX(Üldreiting!$M:$M,MATCH(AI15,Üldreiting!$H:$H,0)),"")</f>
        <v>600</v>
      </c>
      <c r="AK15" s="674" t="str">
        <f t="shared" si="6"/>
        <v>Marju Velga</v>
      </c>
      <c r="AL15" s="675">
        <f ca="1">IFERROR(INDEX(Üldreiting!$M:$M,MATCH(AK15,Üldreiting!$H:$H,0)),"")</f>
        <v>453</v>
      </c>
      <c r="AM15" s="676" t="str">
        <f t="shared" si="7"/>
        <v/>
      </c>
      <c r="AN15" s="675" t="str">
        <f>IFERROR(INDEX(Üldreiting!$M:$M,MATCH(AM15,Üldreiting!$H:$H,0)),"")</f>
        <v/>
      </c>
      <c r="AO15" s="676" t="str">
        <f t="shared" si="8"/>
        <v/>
      </c>
      <c r="AP15" s="675" t="str">
        <f>IFERROR(INDEX(Üldreiting!$M:$M,MATCH(AO15,Üldreiting!$H:$H,0)),"")</f>
        <v/>
      </c>
    </row>
    <row r="16" spans="1:42" x14ac:dyDescent="0.2">
      <c r="A16" s="616">
        <v>10</v>
      </c>
      <c r="B16" s="617" t="s">
        <v>748</v>
      </c>
      <c r="C16" s="618">
        <v>13</v>
      </c>
      <c r="D16" s="619" t="s">
        <v>615</v>
      </c>
      <c r="E16" s="620">
        <v>1</v>
      </c>
      <c r="F16" s="621" t="str">
        <f>B18</f>
        <v>Kalju Olmre, Marju Velga</v>
      </c>
      <c r="G16" s="618">
        <v>2</v>
      </c>
      <c r="H16" s="619" t="s">
        <v>615</v>
      </c>
      <c r="I16" s="620">
        <v>13</v>
      </c>
      <c r="J16" s="621" t="str">
        <f>B11</f>
        <v>Katri Aavekukk, Margus Berkmann</v>
      </c>
      <c r="K16" s="618">
        <v>4</v>
      </c>
      <c r="L16" s="619" t="s">
        <v>615</v>
      </c>
      <c r="M16" s="620">
        <v>12</v>
      </c>
      <c r="N16" s="621" t="str">
        <f>B13</f>
        <v>Aigi Orro, Kalle Orro</v>
      </c>
      <c r="O16" s="618">
        <v>13</v>
      </c>
      <c r="P16" s="619" t="s">
        <v>615</v>
      </c>
      <c r="Q16" s="620">
        <v>6</v>
      </c>
      <c r="R16" s="621" t="str">
        <f>B21</f>
        <v>Egert Kingissepp, Marge Mägi</v>
      </c>
      <c r="S16" s="618"/>
      <c r="T16" s="619" t="s">
        <v>615</v>
      </c>
      <c r="U16" s="620"/>
      <c r="V16" s="621"/>
      <c r="W16" s="618"/>
      <c r="X16" s="619" t="s">
        <v>615</v>
      </c>
      <c r="Y16" s="620"/>
      <c r="Z16" s="621"/>
      <c r="AA16" s="636">
        <f t="shared" si="0"/>
        <v>4</v>
      </c>
      <c r="AB16" s="637">
        <v>16</v>
      </c>
      <c r="AC16" s="638">
        <f t="shared" si="1"/>
        <v>32</v>
      </c>
      <c r="AD16" s="639" t="s">
        <v>615</v>
      </c>
      <c r="AE16" s="640">
        <f t="shared" si="2"/>
        <v>32</v>
      </c>
      <c r="AF16" s="805">
        <f t="shared" si="3"/>
        <v>0</v>
      </c>
      <c r="AH16" s="672">
        <f t="shared" ca="1" si="9"/>
        <v>1131</v>
      </c>
      <c r="AI16" s="674" t="str">
        <f t="shared" si="5"/>
        <v>Egert Kingissepp</v>
      </c>
      <c r="AJ16" s="675">
        <f ca="1">IFERROR(INDEX(Üldreiting!$M:$M,MATCH(AI16,Üldreiting!$H:$H,0)),"")</f>
        <v>386</v>
      </c>
      <c r="AK16" s="674" t="str">
        <f t="shared" si="6"/>
        <v>Marge Mägi</v>
      </c>
      <c r="AL16" s="675">
        <f ca="1">IFERROR(INDEX(Üldreiting!$M:$M,MATCH(AK16,Üldreiting!$H:$H,0)),"")</f>
        <v>745</v>
      </c>
      <c r="AM16" s="676" t="str">
        <f t="shared" si="7"/>
        <v/>
      </c>
      <c r="AN16" s="675" t="str">
        <f>IFERROR(INDEX(Üldreiting!$M:$M,MATCH(AM16,Üldreiting!$H:$H,0)),"")</f>
        <v/>
      </c>
      <c r="AO16" s="676" t="str">
        <f t="shared" si="8"/>
        <v/>
      </c>
      <c r="AP16" s="675" t="str">
        <f>IFERROR(INDEX(Üldreiting!$M:$M,MATCH(AO16,Üldreiting!$H:$H,0)),"")</f>
        <v/>
      </c>
    </row>
    <row r="17" spans="1:42" x14ac:dyDescent="0.2">
      <c r="A17" s="616">
        <v>11</v>
      </c>
      <c r="B17" s="633" t="s">
        <v>754</v>
      </c>
      <c r="C17" s="618">
        <v>7</v>
      </c>
      <c r="D17" s="619" t="s">
        <v>615</v>
      </c>
      <c r="E17" s="620">
        <v>13</v>
      </c>
      <c r="F17" s="621" t="str">
        <f>B10</f>
        <v>Kertu Palm, Marek Kolk</v>
      </c>
      <c r="G17" s="618">
        <v>7</v>
      </c>
      <c r="H17" s="619" t="s">
        <v>615</v>
      </c>
      <c r="I17" s="620">
        <v>13</v>
      </c>
      <c r="J17" s="621" t="str">
        <f>B12</f>
        <v>Külli Kariste, Urmo Auväärt</v>
      </c>
      <c r="K17" s="618">
        <v>13</v>
      </c>
      <c r="L17" s="619" t="s">
        <v>615</v>
      </c>
      <c r="M17" s="620">
        <v>5</v>
      </c>
      <c r="N17" s="621" t="str">
        <f>B22</f>
        <v>Martha Aavisto, Vahur Raudsepp</v>
      </c>
      <c r="O17" s="618">
        <v>13</v>
      </c>
      <c r="P17" s="619" t="s">
        <v>615</v>
      </c>
      <c r="Q17" s="620">
        <v>7</v>
      </c>
      <c r="R17" s="621" t="str">
        <f>B20</f>
        <v>Kevin Sten Liik, Mare Kingissepp</v>
      </c>
      <c r="S17" s="618"/>
      <c r="T17" s="619" t="s">
        <v>615</v>
      </c>
      <c r="U17" s="620"/>
      <c r="V17" s="621"/>
      <c r="W17" s="618"/>
      <c r="X17" s="619" t="s">
        <v>615</v>
      </c>
      <c r="Y17" s="620"/>
      <c r="Z17" s="621"/>
      <c r="AA17" s="636">
        <f t="shared" si="0"/>
        <v>4</v>
      </c>
      <c r="AB17" s="637">
        <v>14</v>
      </c>
      <c r="AC17" s="629">
        <f t="shared" si="1"/>
        <v>40</v>
      </c>
      <c r="AD17" s="630" t="s">
        <v>615</v>
      </c>
      <c r="AE17" s="631">
        <f t="shared" si="2"/>
        <v>38</v>
      </c>
      <c r="AF17" s="803">
        <f t="shared" si="3"/>
        <v>2</v>
      </c>
      <c r="AH17" s="672">
        <f t="shared" ca="1" si="9"/>
        <v>1020</v>
      </c>
      <c r="AI17" s="674" t="str">
        <f t="shared" si="5"/>
        <v>Kadri Arunurm</v>
      </c>
      <c r="AJ17" s="675">
        <f ca="1">IFERROR(INDEX(Üldreiting!$M:$M,MATCH(AI17,Üldreiting!$H:$H,0)),"")</f>
        <v>509</v>
      </c>
      <c r="AK17" s="674" t="str">
        <f t="shared" si="6"/>
        <v>Meelis Münt</v>
      </c>
      <c r="AL17" s="675">
        <f ca="1">IFERROR(INDEX(Üldreiting!$M:$M,MATCH(AK17,Üldreiting!$H:$H,0)),"")</f>
        <v>511</v>
      </c>
      <c r="AM17" s="676" t="str">
        <f t="shared" si="7"/>
        <v/>
      </c>
      <c r="AN17" s="675" t="str">
        <f>IFERROR(INDEX(Üldreiting!$M:$M,MATCH(AM17,Üldreiting!$H:$H,0)),"")</f>
        <v/>
      </c>
      <c r="AO17" s="676" t="str">
        <f t="shared" si="8"/>
        <v/>
      </c>
      <c r="AP17" s="675" t="str">
        <f>IFERROR(INDEX(Üldreiting!$M:$M,MATCH(AO17,Üldreiting!$H:$H,0)),"")</f>
        <v/>
      </c>
    </row>
    <row r="18" spans="1:42" x14ac:dyDescent="0.2">
      <c r="A18" s="616">
        <v>12</v>
      </c>
      <c r="B18" s="632" t="s">
        <v>753</v>
      </c>
      <c r="C18" s="618">
        <v>1</v>
      </c>
      <c r="D18" s="619" t="s">
        <v>615</v>
      </c>
      <c r="E18" s="620">
        <v>13</v>
      </c>
      <c r="F18" s="621" t="str">
        <f>B16</f>
        <v>Kevin Kangur, Varje Reede</v>
      </c>
      <c r="G18" s="618">
        <v>13</v>
      </c>
      <c r="H18" s="619" t="s">
        <v>615</v>
      </c>
      <c r="I18" s="620">
        <v>8</v>
      </c>
      <c r="J18" s="621" t="str">
        <f>B22</f>
        <v>Martha Aavisto, Vahur Raudsepp</v>
      </c>
      <c r="K18" s="618">
        <v>11</v>
      </c>
      <c r="L18" s="619" t="s">
        <v>615</v>
      </c>
      <c r="M18" s="620">
        <v>12</v>
      </c>
      <c r="N18" s="621" t="str">
        <f>B19</f>
        <v>Angelika Tauk, Toomas Tauk</v>
      </c>
      <c r="O18" s="618">
        <v>13</v>
      </c>
      <c r="P18" s="619" t="s">
        <v>615</v>
      </c>
      <c r="Q18" s="620">
        <v>4</v>
      </c>
      <c r="R18" s="621" t="str">
        <f>B23</f>
        <v>Marta Ruus, Valmar Pantšenko</v>
      </c>
      <c r="S18" s="618"/>
      <c r="T18" s="619" t="s">
        <v>615</v>
      </c>
      <c r="U18" s="620"/>
      <c r="V18" s="621"/>
      <c r="W18" s="618"/>
      <c r="X18" s="619" t="s">
        <v>615</v>
      </c>
      <c r="Y18" s="620"/>
      <c r="Z18" s="621"/>
      <c r="AA18" s="636">
        <f t="shared" si="0"/>
        <v>4</v>
      </c>
      <c r="AB18" s="637">
        <v>12</v>
      </c>
      <c r="AC18" s="629">
        <f t="shared" si="1"/>
        <v>38</v>
      </c>
      <c r="AD18" s="630" t="s">
        <v>615</v>
      </c>
      <c r="AE18" s="631">
        <f t="shared" si="2"/>
        <v>37</v>
      </c>
      <c r="AF18" s="803">
        <f t="shared" si="3"/>
        <v>1</v>
      </c>
      <c r="AH18" s="672">
        <f t="shared" ca="1" si="9"/>
        <v>986</v>
      </c>
      <c r="AI18" s="674" t="str">
        <f t="shared" si="5"/>
        <v>Silver Kingissepp</v>
      </c>
      <c r="AJ18" s="675">
        <f ca="1">IFERROR(INDEX(Üldreiting!$M:$M,MATCH(AI18,Üldreiting!$H:$H,0)),"")</f>
        <v>826</v>
      </c>
      <c r="AK18" s="674" t="str">
        <f t="shared" si="6"/>
        <v>Triin Gretel Tauk</v>
      </c>
      <c r="AL18" s="675">
        <f ca="1">IFERROR(INDEX(Üldreiting!$M:$M,MATCH(AK18,Üldreiting!$H:$H,0)),"")</f>
        <v>160</v>
      </c>
      <c r="AM18" s="676" t="str">
        <f t="shared" si="7"/>
        <v/>
      </c>
      <c r="AN18" s="675" t="str">
        <f>IFERROR(INDEX(Üldreiting!$M:$M,MATCH(AM18,Üldreiting!$H:$H,0)),"")</f>
        <v/>
      </c>
      <c r="AO18" s="676" t="str">
        <f t="shared" si="8"/>
        <v/>
      </c>
      <c r="AP18" s="675" t="str">
        <f>IFERROR(INDEX(Üldreiting!$M:$M,MATCH(AO18,Üldreiting!$H:$H,0)),"")</f>
        <v/>
      </c>
    </row>
    <row r="19" spans="1:42" x14ac:dyDescent="0.2">
      <c r="A19" s="616">
        <v>13</v>
      </c>
      <c r="B19" s="22" t="s">
        <v>749</v>
      </c>
      <c r="C19" s="618">
        <v>12</v>
      </c>
      <c r="D19" s="619" t="s">
        <v>615</v>
      </c>
      <c r="E19" s="620">
        <v>11</v>
      </c>
      <c r="F19" s="621" t="str">
        <f>B24</f>
        <v>Janek Kiisk, Kadri Veljend</v>
      </c>
      <c r="G19" s="618">
        <v>2</v>
      </c>
      <c r="H19" s="619" t="s">
        <v>615</v>
      </c>
      <c r="I19" s="620">
        <v>13</v>
      </c>
      <c r="J19" s="621" t="str">
        <f>B21</f>
        <v>Egert Kingissepp, Marge Mägi</v>
      </c>
      <c r="K19" s="618">
        <v>12</v>
      </c>
      <c r="L19" s="619" t="s">
        <v>615</v>
      </c>
      <c r="M19" s="620">
        <v>11</v>
      </c>
      <c r="N19" s="621" t="str">
        <f>B18</f>
        <v>Kalju Olmre, Marju Velga</v>
      </c>
      <c r="O19" s="618">
        <v>3</v>
      </c>
      <c r="P19" s="619" t="s">
        <v>615</v>
      </c>
      <c r="Q19" s="620">
        <v>13</v>
      </c>
      <c r="R19" s="621" t="str">
        <f>B14</f>
        <v>Kaido Kopel, Piret Kopel</v>
      </c>
      <c r="S19" s="618"/>
      <c r="T19" s="619" t="s">
        <v>615</v>
      </c>
      <c r="U19" s="620"/>
      <c r="V19" s="621"/>
      <c r="W19" s="618"/>
      <c r="X19" s="619" t="s">
        <v>615</v>
      </c>
      <c r="Y19" s="620"/>
      <c r="Z19" s="621"/>
      <c r="AA19" s="636">
        <f t="shared" si="0"/>
        <v>4</v>
      </c>
      <c r="AB19" s="637">
        <v>10</v>
      </c>
      <c r="AC19" s="629">
        <f t="shared" si="1"/>
        <v>29</v>
      </c>
      <c r="AD19" s="630" t="s">
        <v>615</v>
      </c>
      <c r="AE19" s="631">
        <f t="shared" si="2"/>
        <v>48</v>
      </c>
      <c r="AF19" s="803">
        <f t="shared" si="3"/>
        <v>-19</v>
      </c>
      <c r="AH19" s="672">
        <f t="shared" ca="1" si="9"/>
        <v>476</v>
      </c>
      <c r="AI19" s="674" t="str">
        <f t="shared" si="5"/>
        <v>Angelika Tauk</v>
      </c>
      <c r="AJ19" s="675">
        <f ca="1">IFERROR(INDEX(Üldreiting!$M:$M,MATCH(AI19,Üldreiting!$H:$H,0)),"")</f>
        <v>159</v>
      </c>
      <c r="AK19" s="674" t="str">
        <f t="shared" si="6"/>
        <v>Toomas Tauk</v>
      </c>
      <c r="AL19" s="675">
        <f ca="1">IFERROR(INDEX(Üldreiting!$M:$M,MATCH(AK19,Üldreiting!$H:$H,0)),"")</f>
        <v>317</v>
      </c>
      <c r="AM19" s="676" t="str">
        <f t="shared" si="7"/>
        <v/>
      </c>
      <c r="AN19" s="675" t="str">
        <f>IFERROR(INDEX(Üldreiting!$M:$M,MATCH(AM19,Üldreiting!$H:$H,0)),"")</f>
        <v/>
      </c>
      <c r="AO19" s="676" t="str">
        <f t="shared" si="8"/>
        <v/>
      </c>
      <c r="AP19" s="675" t="str">
        <f>IFERROR(INDEX(Üldreiting!$M:$M,MATCH(AO19,Üldreiting!$H:$H,0)),"")</f>
        <v/>
      </c>
    </row>
    <row r="20" spans="1:42" x14ac:dyDescent="0.2">
      <c r="A20" s="616">
        <v>14</v>
      </c>
      <c r="B20" s="617" t="s">
        <v>755</v>
      </c>
      <c r="C20" s="618">
        <v>11</v>
      </c>
      <c r="D20" s="619" t="s">
        <v>615</v>
      </c>
      <c r="E20" s="620">
        <v>7</v>
      </c>
      <c r="F20" s="621" t="str">
        <f>B23</f>
        <v>Marta Ruus, Valmar Pantšenko</v>
      </c>
      <c r="G20" s="618">
        <v>1</v>
      </c>
      <c r="H20" s="619" t="s">
        <v>615</v>
      </c>
      <c r="I20" s="620">
        <v>13</v>
      </c>
      <c r="J20" s="621" t="str">
        <f>B9</f>
        <v>Aivar Sein, Maive Sein</v>
      </c>
      <c r="K20" s="618">
        <v>6</v>
      </c>
      <c r="L20" s="619" t="s">
        <v>615</v>
      </c>
      <c r="M20" s="620">
        <v>11</v>
      </c>
      <c r="N20" s="621" t="str">
        <f>B10</f>
        <v>Kertu Palm, Marek Kolk</v>
      </c>
      <c r="O20" s="618">
        <v>7</v>
      </c>
      <c r="P20" s="619" t="s">
        <v>615</v>
      </c>
      <c r="Q20" s="620">
        <v>13</v>
      </c>
      <c r="R20" s="621" t="str">
        <f>B17</f>
        <v>Silver Kingissepp, Triin Gretel Tauk</v>
      </c>
      <c r="S20" s="618"/>
      <c r="T20" s="619" t="s">
        <v>615</v>
      </c>
      <c r="U20" s="620"/>
      <c r="V20" s="621"/>
      <c r="W20" s="618"/>
      <c r="X20" s="619" t="s">
        <v>615</v>
      </c>
      <c r="Y20" s="620"/>
      <c r="Z20" s="621"/>
      <c r="AA20" s="634">
        <f t="shared" si="0"/>
        <v>2</v>
      </c>
      <c r="AB20" s="635">
        <v>18</v>
      </c>
      <c r="AC20" s="629">
        <f t="shared" si="1"/>
        <v>25</v>
      </c>
      <c r="AD20" s="630" t="s">
        <v>615</v>
      </c>
      <c r="AE20" s="631">
        <f t="shared" si="2"/>
        <v>44</v>
      </c>
      <c r="AF20" s="803">
        <f t="shared" si="3"/>
        <v>-19</v>
      </c>
      <c r="AH20" s="672">
        <f t="shared" ca="1" si="9"/>
        <v>1115</v>
      </c>
      <c r="AI20" s="674" t="str">
        <f t="shared" si="5"/>
        <v>Kevin Kangur</v>
      </c>
      <c r="AJ20" s="675">
        <f ca="1">IFERROR(INDEX(Üldreiting!$M:$M,MATCH(AI20,Üldreiting!$H:$H,0)),"")</f>
        <v>274</v>
      </c>
      <c r="AK20" s="674" t="str">
        <f t="shared" si="6"/>
        <v>Varje Reede</v>
      </c>
      <c r="AL20" s="675">
        <f ca="1">IFERROR(INDEX(Üldreiting!$M:$M,MATCH(AK20,Üldreiting!$H:$H,0)),"")</f>
        <v>841</v>
      </c>
      <c r="AM20" s="676" t="str">
        <f t="shared" si="7"/>
        <v/>
      </c>
      <c r="AN20" s="675" t="str">
        <f>IFERROR(INDEX(Üldreiting!$M:$M,MATCH(AM20,Üldreiting!$H:$H,0)),"")</f>
        <v/>
      </c>
      <c r="AO20" s="676" t="str">
        <f t="shared" si="8"/>
        <v/>
      </c>
      <c r="AP20" s="675" t="str">
        <f>IFERROR(INDEX(Üldreiting!$M:$M,MATCH(AO20,Üldreiting!$H:$H,0)),"")</f>
        <v/>
      </c>
    </row>
    <row r="21" spans="1:42" x14ac:dyDescent="0.2">
      <c r="A21" s="616">
        <v>15</v>
      </c>
      <c r="B21" s="617" t="s">
        <v>750</v>
      </c>
      <c r="C21" s="618">
        <v>7</v>
      </c>
      <c r="D21" s="619" t="s">
        <v>615</v>
      </c>
      <c r="E21" s="620">
        <v>8</v>
      </c>
      <c r="F21" s="621" t="str">
        <f>B13</f>
        <v>Aigi Orro, Kalle Orro</v>
      </c>
      <c r="G21" s="618">
        <v>13</v>
      </c>
      <c r="H21" s="619" t="s">
        <v>615</v>
      </c>
      <c r="I21" s="620">
        <v>2</v>
      </c>
      <c r="J21" s="621" t="str">
        <f>B19</f>
        <v>Angelika Tauk, Toomas Tauk</v>
      </c>
      <c r="K21" s="618">
        <v>2</v>
      </c>
      <c r="L21" s="619" t="s">
        <v>615</v>
      </c>
      <c r="M21" s="620">
        <v>11</v>
      </c>
      <c r="N21" s="621" t="str">
        <f>B12</f>
        <v>Külli Kariste, Urmo Auväärt</v>
      </c>
      <c r="O21" s="618">
        <v>6</v>
      </c>
      <c r="P21" s="619" t="s">
        <v>615</v>
      </c>
      <c r="Q21" s="620">
        <v>13</v>
      </c>
      <c r="R21" s="621" t="str">
        <f>B16</f>
        <v>Kevin Kangur, Varje Reede</v>
      </c>
      <c r="S21" s="618"/>
      <c r="T21" s="619" t="s">
        <v>615</v>
      </c>
      <c r="U21" s="620"/>
      <c r="V21" s="621"/>
      <c r="W21" s="618"/>
      <c r="X21" s="619" t="s">
        <v>615</v>
      </c>
      <c r="Y21" s="620"/>
      <c r="Z21" s="621"/>
      <c r="AA21" s="634">
        <f t="shared" si="0"/>
        <v>2</v>
      </c>
      <c r="AB21" s="635">
        <v>16</v>
      </c>
      <c r="AC21" s="629">
        <f t="shared" si="1"/>
        <v>28</v>
      </c>
      <c r="AD21" s="630" t="s">
        <v>615</v>
      </c>
      <c r="AE21" s="631">
        <f t="shared" si="2"/>
        <v>34</v>
      </c>
      <c r="AF21" s="803">
        <f t="shared" si="3"/>
        <v>-6</v>
      </c>
      <c r="AH21" s="672">
        <f t="shared" ca="1" si="9"/>
        <v>1441</v>
      </c>
      <c r="AI21" s="674" t="str">
        <f t="shared" si="5"/>
        <v>Kevin Sten Liik</v>
      </c>
      <c r="AJ21" s="675">
        <f ca="1">IFERROR(INDEX(Üldreiting!$M:$M,MATCH(AI21,Üldreiting!$H:$H,0)),"")</f>
        <v>715</v>
      </c>
      <c r="AK21" s="674" t="str">
        <f t="shared" si="6"/>
        <v>Mare Kingissepp</v>
      </c>
      <c r="AL21" s="675">
        <f ca="1">IFERROR(INDEX(Üldreiting!$M:$M,MATCH(AK21,Üldreiting!$H:$H,0)),"")</f>
        <v>726</v>
      </c>
      <c r="AM21" s="676" t="str">
        <f t="shared" si="7"/>
        <v/>
      </c>
      <c r="AN21" s="675" t="str">
        <f>IFERROR(INDEX(Üldreiting!$M:$M,MATCH(AM21,Üldreiting!$H:$H,0)),"")</f>
        <v/>
      </c>
      <c r="AO21" s="676" t="str">
        <f t="shared" si="8"/>
        <v/>
      </c>
      <c r="AP21" s="675" t="str">
        <f>IFERROR(INDEX(Üldreiting!$M:$M,MATCH(AO21,Üldreiting!$H:$H,0)),"")</f>
        <v/>
      </c>
    </row>
    <row r="22" spans="1:42" x14ac:dyDescent="0.2">
      <c r="A22" s="616">
        <v>16</v>
      </c>
      <c r="B22" s="617" t="s">
        <v>751</v>
      </c>
      <c r="C22" s="618">
        <v>2</v>
      </c>
      <c r="D22" s="619" t="s">
        <v>615</v>
      </c>
      <c r="E22" s="620">
        <v>13</v>
      </c>
      <c r="F22" s="621" t="str">
        <f>B11</f>
        <v>Katri Aavekukk, Margus Berkmann</v>
      </c>
      <c r="G22" s="618">
        <v>8</v>
      </c>
      <c r="H22" s="619" t="s">
        <v>615</v>
      </c>
      <c r="I22" s="620">
        <v>13</v>
      </c>
      <c r="J22" s="621" t="str">
        <f>B18</f>
        <v>Kalju Olmre, Marju Velga</v>
      </c>
      <c r="K22" s="618">
        <v>5</v>
      </c>
      <c r="L22" s="619" t="s">
        <v>615</v>
      </c>
      <c r="M22" s="620">
        <v>13</v>
      </c>
      <c r="N22" s="621" t="str">
        <f>B17</f>
        <v>Silver Kingissepp, Triin Gretel Tauk</v>
      </c>
      <c r="O22" s="618">
        <v>13</v>
      </c>
      <c r="P22" s="619" t="s">
        <v>615</v>
      </c>
      <c r="Q22" s="620">
        <v>7</v>
      </c>
      <c r="R22" s="621" t="str">
        <f>B24</f>
        <v>Janek Kiisk, Kadri Veljend</v>
      </c>
      <c r="S22" s="618"/>
      <c r="T22" s="619" t="s">
        <v>615</v>
      </c>
      <c r="U22" s="620"/>
      <c r="V22" s="621"/>
      <c r="W22" s="618"/>
      <c r="X22" s="619" t="s">
        <v>615</v>
      </c>
      <c r="Y22" s="620"/>
      <c r="Z22" s="621"/>
      <c r="AA22" s="634">
        <f t="shared" si="0"/>
        <v>2</v>
      </c>
      <c r="AB22" s="635">
        <v>14</v>
      </c>
      <c r="AC22" s="629">
        <f t="shared" si="1"/>
        <v>28</v>
      </c>
      <c r="AD22" s="630" t="s">
        <v>615</v>
      </c>
      <c r="AE22" s="631">
        <f t="shared" si="2"/>
        <v>46</v>
      </c>
      <c r="AF22" s="803">
        <f t="shared" si="3"/>
        <v>-18</v>
      </c>
      <c r="AH22" s="672">
        <f t="shared" ca="1" si="9"/>
        <v>227</v>
      </c>
      <c r="AI22" s="674" t="str">
        <f t="shared" si="5"/>
        <v>Martha Aavisto</v>
      </c>
      <c r="AJ22" s="675">
        <f ca="1">IFERROR(INDEX(Üldreiting!$M:$M,MATCH(AI22,Üldreiting!$H:$H,0)),"")</f>
        <v>60</v>
      </c>
      <c r="AK22" s="674" t="str">
        <f t="shared" si="6"/>
        <v>Vahur Raudsepp</v>
      </c>
      <c r="AL22" s="675">
        <f ca="1">IFERROR(INDEX(Üldreiting!$M:$M,MATCH(AK22,Üldreiting!$H:$H,0)),"")</f>
        <v>167</v>
      </c>
      <c r="AM22" s="676" t="str">
        <f t="shared" si="7"/>
        <v/>
      </c>
      <c r="AN22" s="675" t="str">
        <f>IFERROR(INDEX(Üldreiting!$M:$M,MATCH(AM22,Üldreiting!$H:$H,0)),"")</f>
        <v/>
      </c>
      <c r="AO22" s="676" t="str">
        <f t="shared" si="8"/>
        <v/>
      </c>
      <c r="AP22" s="675" t="str">
        <f>IFERROR(INDEX(Üldreiting!$M:$M,MATCH(AO22,Üldreiting!$H:$H,0)),"")</f>
        <v/>
      </c>
    </row>
    <row r="23" spans="1:42" x14ac:dyDescent="0.2">
      <c r="A23" s="616">
        <v>17</v>
      </c>
      <c r="B23" s="617" t="s">
        <v>752</v>
      </c>
      <c r="C23" s="618">
        <v>7</v>
      </c>
      <c r="D23" s="619" t="s">
        <v>615</v>
      </c>
      <c r="E23" s="620">
        <v>11</v>
      </c>
      <c r="F23" s="621" t="str">
        <f>B20</f>
        <v>Kevin Sten Liik, Mare Kingissepp</v>
      </c>
      <c r="G23" s="618">
        <v>1</v>
      </c>
      <c r="H23" s="619" t="s">
        <v>615</v>
      </c>
      <c r="I23" s="620">
        <v>13</v>
      </c>
      <c r="J23" s="621" t="str">
        <f>B14</f>
        <v>Kaido Kopel, Piret Kopel</v>
      </c>
      <c r="K23" s="618">
        <v>12</v>
      </c>
      <c r="L23" s="619" t="s">
        <v>615</v>
      </c>
      <c r="M23" s="620">
        <v>9</v>
      </c>
      <c r="N23" s="621" t="str">
        <f>B24</f>
        <v>Janek Kiisk, Kadri Veljend</v>
      </c>
      <c r="O23" s="618">
        <v>4</v>
      </c>
      <c r="P23" s="619" t="s">
        <v>615</v>
      </c>
      <c r="Q23" s="620">
        <v>13</v>
      </c>
      <c r="R23" s="621" t="str">
        <f>B18</f>
        <v>Kalju Olmre, Marju Velga</v>
      </c>
      <c r="S23" s="618"/>
      <c r="T23" s="619" t="s">
        <v>615</v>
      </c>
      <c r="U23" s="620"/>
      <c r="V23" s="621"/>
      <c r="W23" s="618"/>
      <c r="X23" s="619" t="s">
        <v>615</v>
      </c>
      <c r="Y23" s="620"/>
      <c r="Z23" s="621"/>
      <c r="AA23" s="634">
        <f t="shared" si="0"/>
        <v>2</v>
      </c>
      <c r="AB23" s="635">
        <v>10</v>
      </c>
      <c r="AC23" s="629">
        <f t="shared" si="1"/>
        <v>24</v>
      </c>
      <c r="AD23" s="630" t="s">
        <v>615</v>
      </c>
      <c r="AE23" s="631">
        <f t="shared" si="2"/>
        <v>46</v>
      </c>
      <c r="AF23" s="803">
        <f t="shared" si="3"/>
        <v>-22</v>
      </c>
      <c r="AH23" s="672">
        <f t="shared" ca="1" si="9"/>
        <v>1224.5</v>
      </c>
      <c r="AI23" s="674" t="str">
        <f t="shared" si="5"/>
        <v>Janek Kiisk</v>
      </c>
      <c r="AJ23" s="675">
        <f ca="1">IFERROR(INDEX(Üldreiting!$M:$M,MATCH(AI23,Üldreiting!$H:$H,0)),"")</f>
        <v>863.5</v>
      </c>
      <c r="AK23" s="674" t="str">
        <f t="shared" si="6"/>
        <v>Kadri Veljend</v>
      </c>
      <c r="AL23" s="675">
        <f ca="1">IFERROR(INDEX(Üldreiting!$M:$M,MATCH(AK23,Üldreiting!$H:$H,0)),"")</f>
        <v>361</v>
      </c>
      <c r="AM23" s="676" t="str">
        <f t="shared" si="7"/>
        <v/>
      </c>
      <c r="AN23" s="675" t="str">
        <f>IFERROR(INDEX(Üldreiting!$M:$M,MATCH(AM23,Üldreiting!$H:$H,0)),"")</f>
        <v/>
      </c>
      <c r="AO23" s="676" t="str">
        <f t="shared" si="8"/>
        <v/>
      </c>
      <c r="AP23" s="675" t="str">
        <f>IFERROR(INDEX(Üldreiting!$M:$M,MATCH(AO23,Üldreiting!$H:$H,0)),"")</f>
        <v/>
      </c>
    </row>
    <row r="24" spans="1:42" x14ac:dyDescent="0.2">
      <c r="A24" s="616">
        <v>18</v>
      </c>
      <c r="B24" s="617" t="s">
        <v>756</v>
      </c>
      <c r="C24" s="618">
        <v>11</v>
      </c>
      <c r="D24" s="619" t="s">
        <v>615</v>
      </c>
      <c r="E24" s="620">
        <v>12</v>
      </c>
      <c r="F24" s="621" t="str">
        <f>B19</f>
        <v>Angelika Tauk, Toomas Tauk</v>
      </c>
      <c r="G24" s="618">
        <v>1</v>
      </c>
      <c r="H24" s="619" t="s">
        <v>615</v>
      </c>
      <c r="I24" s="620">
        <v>13</v>
      </c>
      <c r="J24" s="621" t="str">
        <f>B15</f>
        <v>Kadri Arunurm, Meelis Münt</v>
      </c>
      <c r="K24" s="618">
        <v>9</v>
      </c>
      <c r="L24" s="619" t="s">
        <v>615</v>
      </c>
      <c r="M24" s="620">
        <v>12</v>
      </c>
      <c r="N24" s="621" t="str">
        <f>B23</f>
        <v>Marta Ruus, Valmar Pantšenko</v>
      </c>
      <c r="O24" s="618">
        <v>7</v>
      </c>
      <c r="P24" s="619" t="s">
        <v>615</v>
      </c>
      <c r="Q24" s="620">
        <v>13</v>
      </c>
      <c r="R24" s="621" t="str">
        <f>B22</f>
        <v>Martha Aavisto, Vahur Raudsepp</v>
      </c>
      <c r="S24" s="618"/>
      <c r="T24" s="619" t="s">
        <v>615</v>
      </c>
      <c r="U24" s="620"/>
      <c r="V24" s="621"/>
      <c r="W24" s="618"/>
      <c r="X24" s="619" t="s">
        <v>615</v>
      </c>
      <c r="Y24" s="620"/>
      <c r="Z24" s="621"/>
      <c r="AA24" s="622">
        <f t="shared" si="0"/>
        <v>0</v>
      </c>
      <c r="AB24" s="626">
        <v>12</v>
      </c>
      <c r="AC24" s="629">
        <f t="shared" si="1"/>
        <v>28</v>
      </c>
      <c r="AD24" s="630" t="s">
        <v>615</v>
      </c>
      <c r="AE24" s="631">
        <f t="shared" si="2"/>
        <v>50</v>
      </c>
      <c r="AF24" s="803">
        <f t="shared" si="3"/>
        <v>-22</v>
      </c>
      <c r="AH24" s="672">
        <f t="shared" ca="1" si="9"/>
        <v>951</v>
      </c>
      <c r="AI24" s="674" t="str">
        <f t="shared" si="5"/>
        <v>Marta Ruus</v>
      </c>
      <c r="AJ24" s="675">
        <f ca="1">IFERROR(INDEX(Üldreiting!$M:$M,MATCH(AI24,Üldreiting!$H:$H,0)),"")</f>
        <v>371</v>
      </c>
      <c r="AK24" s="674" t="str">
        <f t="shared" si="6"/>
        <v>Valmar Pantšenko</v>
      </c>
      <c r="AL24" s="675">
        <f ca="1">IFERROR(INDEX(Üldreiting!$M:$M,MATCH(AK24,Üldreiting!$H:$H,0)),"")</f>
        <v>580</v>
      </c>
      <c r="AM24" s="676" t="str">
        <f t="shared" si="7"/>
        <v/>
      </c>
      <c r="AN24" s="675" t="str">
        <f>IFERROR(INDEX(Üldreiting!$M:$M,MATCH(AM24,Üldreiting!$H:$H,0)),"")</f>
        <v/>
      </c>
      <c r="AO24" s="676" t="str">
        <f t="shared" si="8"/>
        <v/>
      </c>
      <c r="AP24" s="675" t="str">
        <f>IFERROR(INDEX(Üldreiting!$M:$M,MATCH(AO24,Üldreiting!$H:$H,0)),"")</f>
        <v/>
      </c>
    </row>
    <row r="25" spans="1:42" hidden="1" x14ac:dyDescent="0.2">
      <c r="A25" s="606"/>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row>
    <row r="26" spans="1:42"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row>
    <row r="27" spans="1:42"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row>
    <row r="28" spans="1:42"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row>
    <row r="29" spans="1:42"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row>
    <row r="30" spans="1:42"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row>
    <row r="31" spans="1:42"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row>
    <row r="32" spans="1:42"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row>
    <row r="33" spans="1:27"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1:27"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row>
    <row r="35" spans="1:27"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row>
    <row r="36" spans="1:27"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row>
    <row r="38" spans="1:27"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row>
    <row r="39" spans="1:27"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row>
    <row r="40" spans="1:27"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row>
    <row r="41" spans="1:27"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row>
    <row r="42" spans="1:27"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row>
    <row r="43" spans="1:27"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row>
    <row r="44" spans="1:27"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row>
    <row r="45" spans="1:27"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row>
    <row r="46" spans="1:27"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row>
    <row r="47" spans="1:27"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row>
    <row r="48" spans="1:27"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row>
    <row r="49" spans="1:27"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row>
    <row r="50" spans="1:27"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row>
    <row r="51" spans="1:27"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row>
    <row r="52" spans="1:27"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row>
    <row r="53" spans="1:27"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row>
    <row r="54" spans="1:27"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row>
    <row r="55" spans="1:27"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row>
    <row r="56" spans="1:27"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row>
    <row r="57" spans="1:27"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row>
    <row r="58" spans="1:27"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row>
    <row r="59" spans="1:27"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row>
    <row r="60" spans="1:27"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row>
    <row r="61" spans="1:27"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row>
    <row r="62" spans="1:27"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row>
    <row r="63" spans="1:27"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row>
    <row r="64" spans="1:27"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row>
    <row r="65" spans="1:27"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row>
    <row r="66" spans="1:27"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row>
    <row r="67" spans="1:27"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row>
    <row r="68" spans="1:27"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row>
    <row r="69" spans="1:27"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row>
    <row r="70" spans="1:27"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row>
    <row r="71" spans="1:27"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row>
    <row r="72" spans="1:27"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row>
    <row r="73" spans="1:27"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row>
    <row r="74" spans="1:27"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row>
    <row r="75" spans="1:27"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row>
    <row r="76" spans="1:27"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row>
    <row r="77" spans="1:27"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row>
    <row r="78" spans="1:27"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row>
    <row r="79" spans="1:27"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row>
    <row r="80" spans="1:27"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row>
    <row r="81" spans="1:27"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row>
    <row r="82" spans="1:27"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row>
    <row r="83" spans="1:27"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row>
    <row r="84" spans="1:27"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row>
    <row r="85" spans="1:27"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row>
    <row r="86" spans="1:27"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row>
    <row r="87" spans="1:27"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row>
    <row r="88" spans="1:27"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row>
    <row r="89" spans="1:27"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row>
    <row r="90" spans="1:27"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row>
    <row r="91" spans="1:27"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row>
    <row r="92" spans="1:27"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row>
    <row r="93" spans="1:27"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row>
    <row r="94" spans="1:27"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row>
    <row r="95" spans="1:27"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row>
    <row r="96" spans="1:27"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row>
    <row r="97" spans="1:27"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row>
    <row r="98" spans="1:27"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row>
    <row r="99" spans="1:27" x14ac:dyDescent="0.2">
      <c r="A99" s="606"/>
      <c r="B99" s="606"/>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row>
    <row r="100" spans="1:27"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row>
    <row r="101" spans="1:27"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27" x14ac:dyDescent="0.2">
      <c r="A102" s="240">
        <v>1</v>
      </c>
      <c r="B102" s="641" t="str">
        <f>IFERROR(INDEX(B$1:B$99,MATCH(A102,A$1:A$99,0)),"")</f>
        <v>Andero Kelu, Maris Rõõm</v>
      </c>
      <c r="C102" s="74">
        <v>9</v>
      </c>
      <c r="D102" s="74"/>
      <c r="E102" s="74"/>
      <c r="F102" s="74"/>
      <c r="G102" s="74"/>
      <c r="H102" s="130"/>
      <c r="I102" s="70"/>
      <c r="J102" s="130"/>
      <c r="O102" s="606"/>
      <c r="P102" s="606"/>
      <c r="Q102" s="606"/>
      <c r="R102" s="606"/>
      <c r="S102" s="606"/>
      <c r="T102" s="606"/>
      <c r="U102" s="606"/>
      <c r="V102" s="606"/>
      <c r="W102" s="606"/>
      <c r="X102" s="606"/>
      <c r="Y102" s="606"/>
      <c r="Z102" s="606"/>
      <c r="AA102" s="606"/>
    </row>
    <row r="103" spans="1:27" x14ac:dyDescent="0.2">
      <c r="A103" s="242"/>
      <c r="B103" s="649"/>
      <c r="C103" s="74" t="str">
        <f>IF(COUNT(C102,C104)=2,IF(C102&gt;C104,B102,B104),"")</f>
        <v>Kaido Kopel, Piret Kopel</v>
      </c>
      <c r="G103" s="419">
        <v>9</v>
      </c>
      <c r="H103" s="74"/>
      <c r="I103" s="74"/>
      <c r="J103" s="74"/>
      <c r="K103" s="74"/>
      <c r="L103" s="70"/>
      <c r="M103" s="130"/>
      <c r="O103" s="606"/>
      <c r="P103" s="606"/>
      <c r="Q103" s="606"/>
      <c r="R103" s="606"/>
      <c r="S103" s="606"/>
      <c r="T103" s="606"/>
      <c r="U103" s="606"/>
      <c r="V103" s="606"/>
      <c r="W103" s="606"/>
      <c r="X103" s="606"/>
      <c r="Y103" s="606"/>
      <c r="Z103" s="606"/>
      <c r="AA103" s="606"/>
    </row>
    <row r="104" spans="1:27" x14ac:dyDescent="0.2">
      <c r="A104" s="242">
        <v>8</v>
      </c>
      <c r="B104" s="644" t="str">
        <f>IFERROR(INDEX(B$1:B$99,MATCH(A104,A$1:A$99,0)),"")</f>
        <v>Kaido Kopel, Piret Kopel</v>
      </c>
      <c r="C104" s="646">
        <v>13</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27" x14ac:dyDescent="0.2">
      <c r="A105" s="242"/>
      <c r="B105" s="645"/>
      <c r="C105" s="49"/>
      <c r="D105" s="262"/>
      <c r="E105" s="262"/>
      <c r="F105" s="653"/>
      <c r="G105" s="417" t="str">
        <f>IF(COUNT(G103,G107)=2,IF(G103&gt;G107,C103,C107),"")</f>
        <v>Katri Aavekukk, Margus Berkmann</v>
      </c>
      <c r="H105" s="74"/>
      <c r="K105" s="241">
        <v>13</v>
      </c>
      <c r="L105" s="74"/>
      <c r="M105" s="74"/>
      <c r="N105" s="262"/>
      <c r="O105" s="606"/>
      <c r="P105" s="606"/>
      <c r="Q105" s="606"/>
      <c r="R105" s="606"/>
      <c r="S105" s="606"/>
      <c r="T105" s="606"/>
      <c r="U105" s="606"/>
      <c r="V105" s="606"/>
      <c r="W105" s="606"/>
      <c r="X105" s="606"/>
      <c r="Y105" s="606"/>
      <c r="Z105" s="606"/>
      <c r="AA105" s="606"/>
    </row>
    <row r="106" spans="1:27" x14ac:dyDescent="0.2">
      <c r="A106" s="242">
        <v>4</v>
      </c>
      <c r="B106" s="641" t="str">
        <f>IFERROR(INDEX(B$1:B$99,MATCH(A106,A$1:A$99,0)),"")</f>
        <v>Kertu Palm, Marek Kolk</v>
      </c>
      <c r="C106" s="74">
        <v>0</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27" x14ac:dyDescent="0.2">
      <c r="A107" s="242"/>
      <c r="B107" s="649"/>
      <c r="C107" s="74" t="str">
        <f>IF(COUNT(C106,C108)=2,IF(C106&gt;C108,B106,B108),"")</f>
        <v>Katri Aavekukk, Margus Berkmann</v>
      </c>
      <c r="D107" s="654"/>
      <c r="E107" s="654"/>
      <c r="F107" s="655"/>
      <c r="G107" s="247">
        <v>13</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27" x14ac:dyDescent="0.2">
      <c r="A108" s="242">
        <v>5</v>
      </c>
      <c r="B108" s="644" t="str">
        <f>IFERROR(INDEX(B$1:B$99,MATCH(A108,A$1:A$99,0)),"")</f>
        <v>Katri Aavekukk, Margus Berkmann</v>
      </c>
      <c r="C108" s="646">
        <v>13</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27" ht="13.5" thickBot="1" x14ac:dyDescent="0.25">
      <c r="A109" s="41"/>
      <c r="B109" s="645"/>
      <c r="C109" s="74"/>
      <c r="G109" s="49"/>
      <c r="H109" s="49"/>
      <c r="I109" s="262"/>
      <c r="J109" s="653"/>
      <c r="K109" s="74"/>
      <c r="M109" s="425" t="str">
        <f>IF(COUNT(K105,K113)=2,IF(K105&gt;K113,G105,G113),"")</f>
        <v>Katri Aavekukk, Margus Berkmann</v>
      </c>
      <c r="N109" s="74"/>
      <c r="O109" s="262"/>
      <c r="P109" s="606"/>
      <c r="Q109" s="606"/>
      <c r="R109" s="606"/>
      <c r="S109" s="606"/>
      <c r="T109" s="606"/>
      <c r="U109" s="606"/>
      <c r="V109" s="606"/>
      <c r="W109" s="606"/>
      <c r="X109" s="606"/>
      <c r="Y109" s="606"/>
      <c r="Z109" s="606"/>
      <c r="AA109" s="606"/>
    </row>
    <row r="110" spans="1:27" x14ac:dyDescent="0.2">
      <c r="A110" s="240">
        <v>3</v>
      </c>
      <c r="B110" s="641" t="str">
        <f>IFERROR(INDEX(B$1:B$99,MATCH(A110,A$1:A$99,0)),"")</f>
        <v>Aivar Sein, Maive Sein</v>
      </c>
      <c r="C110" s="74">
        <v>3</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27" x14ac:dyDescent="0.2">
      <c r="A111" s="242"/>
      <c r="B111" s="649"/>
      <c r="C111" s="74" t="str">
        <f>IF(COUNT(C110,C112)=2,IF(C110&gt;C112,B110,B112),"")</f>
        <v>Külli Kariste, Urmo Auväärt</v>
      </c>
      <c r="G111" s="247">
        <v>12</v>
      </c>
      <c r="H111" s="49"/>
      <c r="I111" s="262"/>
      <c r="J111" s="653"/>
      <c r="K111" s="49"/>
      <c r="M111" s="74"/>
      <c r="N111" s="74"/>
      <c r="O111" s="262"/>
      <c r="P111" s="606"/>
      <c r="Q111" s="606"/>
      <c r="R111" s="606"/>
      <c r="S111" s="606"/>
      <c r="T111" s="606"/>
      <c r="U111" s="606"/>
      <c r="V111" s="606"/>
      <c r="W111" s="606"/>
      <c r="X111" s="606"/>
      <c r="Y111" s="606"/>
      <c r="Z111" s="606"/>
      <c r="AA111" s="606"/>
    </row>
    <row r="112" spans="1:27" x14ac:dyDescent="0.2">
      <c r="A112" s="242">
        <v>6</v>
      </c>
      <c r="B112" s="644" t="str">
        <f>IFERROR(INDEX(B$1:B$99,MATCH(A112,A$1:A$99,0)),"")</f>
        <v>Külli Kariste, Urmo Auväärt</v>
      </c>
      <c r="C112" s="646">
        <v>13</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Irene Võrklaev, Ruudi Väärtnõu</v>
      </c>
      <c r="H113" s="243"/>
      <c r="I113" s="654"/>
      <c r="J113" s="655"/>
      <c r="K113" s="247">
        <v>3</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Irene Võrklaev, Ruudi Väärtnõu</v>
      </c>
      <c r="C114" s="74">
        <v>13</v>
      </c>
      <c r="D114" s="262"/>
      <c r="E114" s="262"/>
      <c r="F114" s="653"/>
      <c r="G114" s="49"/>
      <c r="H114" s="49"/>
      <c r="K114" s="49"/>
      <c r="M114" s="425" t="str">
        <f>IF(COUNT(K105,K113)=2,IF(K105&lt;K113,G105,G113),"")</f>
        <v>Irene Võrklaev, Ruudi Väärtnõu</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Irene Võrklaev, Ruudi Väärtnõu</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Aigi Orro, Kalle Orro</v>
      </c>
      <c r="C116" s="646">
        <v>6</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Kaido Kopel, Piret Kopel</v>
      </c>
      <c r="H117" s="74"/>
      <c r="K117" s="247">
        <v>10</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Külli Kariste, Urmo Auväärt</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Külli Kariste, Urmo Auväärt</v>
      </c>
      <c r="H119" s="243"/>
      <c r="I119" s="654"/>
      <c r="J119" s="655"/>
      <c r="K119" s="247">
        <v>13</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Kaido Kopel, Piret Kopel</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Andero Kelu, Maris Rõõm</v>
      </c>
      <c r="G123" s="241">
        <v>13</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Andero Kelu, Maris Rõõm</v>
      </c>
      <c r="H124" s="74"/>
      <c r="K124" s="648">
        <v>11</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Kertu Palm, Marek Kolk</v>
      </c>
      <c r="D125" s="654"/>
      <c r="E125" s="654"/>
      <c r="F125" s="655"/>
      <c r="G125" s="244">
        <v>8</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Aigi Orro, Kalle Orro</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Aivar Sein, Maive Sein</v>
      </c>
      <c r="G127" s="241">
        <v>9</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Aigi Orro, Kalle Orro</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Aigi Orro, Kalle Orro</v>
      </c>
      <c r="D129" s="654"/>
      <c r="E129" s="654"/>
      <c r="F129" s="655"/>
      <c r="G129" s="244">
        <v>13</v>
      </c>
      <c r="H129" s="241"/>
      <c r="K129" s="247"/>
      <c r="M129" s="425" t="str">
        <f>IF(COUNT(K124,K128)=2,IF(K124&lt;K128,G124,G128),"")</f>
        <v>Andero Kelu, Maris Rõõm</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Kertu Palm, Marek Kolk</v>
      </c>
      <c r="H131" s="74"/>
      <c r="K131" s="247">
        <v>13</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Kertu Palm, Marek Kolk</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Aivar Sein, Maive Sein</v>
      </c>
      <c r="H133" s="243"/>
      <c r="I133" s="654"/>
      <c r="J133" s="655"/>
      <c r="K133" s="247">
        <v>3</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Aivar Sein, Maive Sein</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Kadri Arunurm, Meelis Münt</v>
      </c>
      <c r="C140" s="74">
        <v>13</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Kadri Arunurm, Meelis Münt</v>
      </c>
      <c r="G141" s="419">
        <v>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tr">
        <f>IFERROR(INDEX(B$1:B$99,MATCH(A142,A$1:A$99,0)),"")</f>
        <v>Martha Aavisto, Vahur Raudsepp</v>
      </c>
      <c r="C142" s="646">
        <v>3</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Kalju Olmre, Marju Velga</v>
      </c>
      <c r="H143" s="74"/>
      <c r="K143" s="241">
        <v>13</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Kalju Olmre, Marju Velga</v>
      </c>
      <c r="C144" s="74">
        <v>13</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Kalju Olmre, Marju Velga</v>
      </c>
      <c r="D145" s="654"/>
      <c r="E145" s="654"/>
      <c r="F145" s="655"/>
      <c r="G145" s="247">
        <v>13</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Angelika Tauk, Toomas Tauk</v>
      </c>
      <c r="C146" s="658">
        <v>0</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Kalju Olmre, Marju Velga</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Silver Kingissepp, Triin Gretel Tauk</v>
      </c>
      <c r="C148" s="74">
        <v>13</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Silver Kingissepp, Triin Gretel Tauk</v>
      </c>
      <c r="G149" s="247">
        <v>9</v>
      </c>
      <c r="H149" s="49"/>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Kevin Sten Liik, Mare Kingissepp</v>
      </c>
      <c r="C150" s="646">
        <v>10</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Egert Kingissepp, Marge Mägi</v>
      </c>
      <c r="H151" s="243"/>
      <c r="I151" s="654"/>
      <c r="J151" s="655"/>
      <c r="K151" s="247">
        <v>3</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Kevin Kangur, Varje Reede</v>
      </c>
      <c r="C152" s="74">
        <v>6</v>
      </c>
      <c r="D152" s="262"/>
      <c r="E152" s="262"/>
      <c r="F152" s="653"/>
      <c r="G152" s="49"/>
      <c r="H152" s="49"/>
      <c r="K152" s="49"/>
      <c r="M152" s="425" t="str">
        <f>IF(COUNT(K143,K151)=2,IF(K143&lt;K151,G143,G151),"")</f>
        <v>Egert Kingissepp, Marge Mägi</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Egert Kingissepp, Marge Mägi</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Egert Kingissepp, Marge Mägi</v>
      </c>
      <c r="C154" s="646">
        <v>13</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Kadri Arunurm, Meelis Münt</v>
      </c>
      <c r="H155" s="74"/>
      <c r="K155" s="247">
        <v>13</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Kadri Arunurm, Meelis Münt</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Silver Kingissepp, Triin Gretel Tauk</v>
      </c>
      <c r="H157" s="243"/>
      <c r="I157" s="654"/>
      <c r="J157" s="655"/>
      <c r="K157" s="247">
        <v>7</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Silver Kingissepp, Triin Gretel Tauk</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Martha Aavisto, Vahur Raudsepp</v>
      </c>
      <c r="G161" s="241">
        <v>1</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Angelika Tauk, Toomas Tauk</v>
      </c>
      <c r="H162" s="74"/>
      <c r="K162" s="648">
        <v>13</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Angelika Tauk, Toomas Tauk</v>
      </c>
      <c r="D163" s="654"/>
      <c r="E163" s="654"/>
      <c r="F163" s="655"/>
      <c r="G163" s="244">
        <v>13</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Angelika Tauk, Toomas Tauk</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Kevin Sten Liik, Mare Kingissepp</v>
      </c>
      <c r="G165" s="241">
        <v>11</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Kevin Kangur, Varje Reede</v>
      </c>
      <c r="H166" s="243"/>
      <c r="I166" s="654"/>
      <c r="J166" s="655"/>
      <c r="K166" s="247">
        <v>6</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Kevin Kangur, Varje Reede</v>
      </c>
      <c r="D167" s="654"/>
      <c r="E167" s="654"/>
      <c r="F167" s="655"/>
      <c r="G167" s="244">
        <v>13</v>
      </c>
      <c r="H167" s="241"/>
      <c r="K167" s="247"/>
      <c r="M167" s="425" t="str">
        <f>IF(COUNT(K162,K166)=2,IF(K162&lt;K166,G162,G166),"")</f>
        <v>Kevin Kangur, Varje Reede</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Martha Aavisto, Vahur Raudsepp</v>
      </c>
      <c r="H169" s="74"/>
      <c r="K169" s="247">
        <v>7</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Kevin Sten Liik, Mare Kingissepp</v>
      </c>
      <c r="N170" s="252"/>
      <c r="O170" s="262"/>
      <c r="S170" s="69"/>
      <c r="T170" s="69"/>
      <c r="U170" s="69"/>
      <c r="V170" s="69"/>
      <c r="W170" s="69"/>
      <c r="X170" s="69"/>
      <c r="Y170" s="69"/>
      <c r="Z170" s="69"/>
    </row>
    <row r="171" spans="1:27" x14ac:dyDescent="0.2">
      <c r="A171" s="74"/>
      <c r="B171" s="74"/>
      <c r="C171" s="247"/>
      <c r="G171" s="417" t="str">
        <f>IF(COUNT(G165,G167)=2,IF(G165&lt;G167,C165,C167),"")</f>
        <v>Kevin Sten Liik, Mare Kingissepp</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Martha Aavisto, Vahur Raudsepp</v>
      </c>
      <c r="N173" s="252"/>
      <c r="O173" s="262"/>
    </row>
    <row r="174" spans="1:27" x14ac:dyDescent="0.2">
      <c r="A174" s="202"/>
      <c r="B174" s="260"/>
      <c r="C174" s="204"/>
      <c r="G174" s="204"/>
      <c r="H174" s="204"/>
      <c r="K174" s="259"/>
      <c r="M174" s="250" t="s">
        <v>543</v>
      </c>
      <c r="N174" s="238"/>
      <c r="O174" s="262"/>
    </row>
    <row r="176" spans="1:27" x14ac:dyDescent="0.2">
      <c r="A176" s="239" t="s">
        <v>757</v>
      </c>
      <c r="B176" s="53"/>
      <c r="C176" s="53"/>
      <c r="G176" s="53"/>
      <c r="H176" s="53"/>
      <c r="K176" s="69"/>
      <c r="L176" s="69"/>
      <c r="M176" s="69"/>
    </row>
    <row r="177" spans="1:23" x14ac:dyDescent="0.2">
      <c r="A177" s="67"/>
      <c r="B177" s="53"/>
      <c r="C177" s="53"/>
      <c r="G177" s="53"/>
      <c r="H177" s="446">
        <v>18</v>
      </c>
      <c r="K177" s="69"/>
      <c r="L177" s="69"/>
      <c r="O177" s="262"/>
    </row>
    <row r="178" spans="1:23" x14ac:dyDescent="0.2">
      <c r="F178" s="605">
        <v>17</v>
      </c>
      <c r="G178" s="845" t="str">
        <f>IFERROR(INDEX(B$1:B$100,MATCH(F178,A$1:A$100,0)),"")</f>
        <v>Marta Ruus, Valmar Pantšenko</v>
      </c>
      <c r="H178" s="74"/>
      <c r="K178" s="247">
        <v>12</v>
      </c>
      <c r="M178" s="49"/>
      <c r="N178" s="49"/>
      <c r="O178" s="262"/>
      <c r="S178" s="69"/>
      <c r="T178" s="69"/>
      <c r="U178" s="69"/>
      <c r="V178" s="69"/>
      <c r="W178" s="69"/>
    </row>
    <row r="179" spans="1:23" ht="13.5" thickBot="1" x14ac:dyDescent="0.25">
      <c r="F179" s="605"/>
      <c r="G179" s="646"/>
      <c r="H179" s="646"/>
      <c r="I179" s="651"/>
      <c r="J179" s="652"/>
      <c r="K179" s="252"/>
      <c r="L179" s="657"/>
      <c r="M179" s="425" t="str">
        <f>IF(COUNT(K178,K180)=2,IF(K178&gt;K180,G178,G180),"")</f>
        <v>Janek Kiisk, Kadri Veljend</v>
      </c>
      <c r="N179" s="252"/>
      <c r="O179" s="262"/>
      <c r="S179" s="69"/>
      <c r="T179" s="69"/>
      <c r="U179" s="69"/>
      <c r="V179" s="69"/>
      <c r="W179" s="69"/>
    </row>
    <row r="180" spans="1:23" x14ac:dyDescent="0.2">
      <c r="F180" s="605">
        <v>18</v>
      </c>
      <c r="G180" s="845" t="str">
        <f>IFERROR(INDEX(B$1:B$100,MATCH(F180,A$1:A$100,0)),"")</f>
        <v>Janek Kiisk, Kadri Veljend</v>
      </c>
      <c r="H180" s="243"/>
      <c r="I180" s="654"/>
      <c r="J180" s="655"/>
      <c r="K180" s="247">
        <v>13</v>
      </c>
      <c r="M180" s="253" t="s">
        <v>544</v>
      </c>
      <c r="N180" s="49"/>
      <c r="O180" s="262"/>
      <c r="S180" s="69"/>
      <c r="T180" s="69"/>
      <c r="U180" s="69"/>
      <c r="V180" s="69"/>
      <c r="W180" s="69"/>
    </row>
    <row r="181" spans="1:23" x14ac:dyDescent="0.2">
      <c r="G181" s="74"/>
      <c r="H181" s="74"/>
      <c r="K181" s="74"/>
      <c r="M181" s="49"/>
      <c r="N181" s="49"/>
      <c r="O181" s="262"/>
      <c r="S181" s="69"/>
      <c r="T181" s="69"/>
      <c r="U181" s="69"/>
      <c r="V181" s="69"/>
      <c r="W181" s="69"/>
    </row>
    <row r="182" spans="1:23" ht="13.5" thickBot="1" x14ac:dyDescent="0.25">
      <c r="G182" s="49"/>
      <c r="H182" s="49"/>
      <c r="K182" s="74"/>
      <c r="M182" s="252" t="str">
        <f>IF(COUNT(K178,K180)=2,IF(K178&lt;K180,G178,G180),"")</f>
        <v>Marta Ruus, Valmar Pantšenko</v>
      </c>
      <c r="N182" s="252"/>
      <c r="O182" s="262"/>
      <c r="S182" s="69"/>
      <c r="T182" s="69"/>
      <c r="U182" s="69"/>
      <c r="V182" s="69"/>
      <c r="W182" s="69"/>
    </row>
    <row r="183" spans="1:23" x14ac:dyDescent="0.2">
      <c r="G183" s="204"/>
      <c r="H183" s="204"/>
      <c r="K183" s="259"/>
      <c r="M183" s="250" t="s">
        <v>545</v>
      </c>
      <c r="N183" s="238"/>
      <c r="O183" s="262"/>
      <c r="S183" s="69"/>
      <c r="T183" s="69"/>
      <c r="U183" s="69"/>
      <c r="V183" s="69"/>
      <c r="W183" s="69"/>
    </row>
    <row r="184" spans="1:23" hidden="1" x14ac:dyDescent="0.2">
      <c r="K184" s="69"/>
      <c r="L184" s="69"/>
      <c r="M184" s="69"/>
      <c r="S184" s="69"/>
      <c r="T184" s="69"/>
      <c r="U184" s="69"/>
      <c r="V184" s="69"/>
      <c r="W184" s="69"/>
    </row>
    <row r="185" spans="1:23" hidden="1" x14ac:dyDescent="0.2">
      <c r="K185" s="69"/>
      <c r="L185" s="69"/>
      <c r="M185" s="69"/>
      <c r="S185" s="69"/>
      <c r="T185" s="69"/>
      <c r="U185" s="69"/>
      <c r="V185" s="69"/>
      <c r="W185" s="69"/>
    </row>
    <row r="186" spans="1:23" hidden="1" x14ac:dyDescent="0.2">
      <c r="K186" s="69"/>
      <c r="L186" s="69"/>
      <c r="M186" s="69"/>
    </row>
    <row r="187" spans="1:23" hidden="1" x14ac:dyDescent="0.2">
      <c r="K187" s="69"/>
      <c r="L187" s="69"/>
      <c r="M187" s="69"/>
    </row>
    <row r="188" spans="1:23" hidden="1" x14ac:dyDescent="0.2">
      <c r="K188" s="69"/>
      <c r="L188" s="69"/>
      <c r="M188" s="69"/>
    </row>
    <row r="189" spans="1:23" hidden="1" x14ac:dyDescent="0.2">
      <c r="K189" s="69"/>
      <c r="L189" s="69"/>
      <c r="M189" s="69"/>
    </row>
    <row r="190" spans="1:23" hidden="1" x14ac:dyDescent="0.2">
      <c r="K190" s="69"/>
      <c r="L190" s="69"/>
      <c r="M190" s="69"/>
    </row>
    <row r="191" spans="1:23" hidden="1" x14ac:dyDescent="0.2">
      <c r="K191" s="69"/>
      <c r="L191" s="69"/>
      <c r="M191" s="69"/>
    </row>
    <row r="192" spans="1:23" hidden="1" x14ac:dyDescent="0.2">
      <c r="K192" s="69"/>
      <c r="L192" s="69"/>
      <c r="M192" s="69"/>
    </row>
    <row r="193" spans="11:13" hidden="1" x14ac:dyDescent="0.2">
      <c r="K193" s="69"/>
      <c r="L193" s="69"/>
      <c r="M193" s="69"/>
    </row>
    <row r="194" spans="11:13" hidden="1" x14ac:dyDescent="0.2">
      <c r="K194" s="69"/>
      <c r="L194" s="69"/>
      <c r="M194" s="69"/>
    </row>
    <row r="195" spans="11:13" hidden="1" x14ac:dyDescent="0.2">
      <c r="K195" s="69"/>
      <c r="L195" s="69"/>
      <c r="M195" s="69"/>
    </row>
    <row r="196" spans="11:13" hidden="1" x14ac:dyDescent="0.2">
      <c r="K196" s="69"/>
      <c r="L196" s="69"/>
      <c r="M196" s="69"/>
    </row>
    <row r="197" spans="11:13" hidden="1" x14ac:dyDescent="0.2">
      <c r="K197" s="69"/>
      <c r="L197" s="69"/>
      <c r="M197" s="69"/>
    </row>
    <row r="198" spans="11:13" hidden="1" x14ac:dyDescent="0.2">
      <c r="K198" s="69"/>
      <c r="L198" s="69"/>
      <c r="M198" s="69"/>
    </row>
    <row r="199" spans="11:13" hidden="1" x14ac:dyDescent="0.2">
      <c r="K199" s="69"/>
      <c r="L199" s="69"/>
      <c r="M199" s="69"/>
    </row>
    <row r="200" spans="11:13" hidden="1" x14ac:dyDescent="0.2">
      <c r="K200" s="69"/>
      <c r="L200" s="69"/>
      <c r="M200" s="69"/>
    </row>
    <row r="201" spans="11:13" hidden="1" x14ac:dyDescent="0.2">
      <c r="K201" s="69"/>
      <c r="L201" s="69"/>
      <c r="M201" s="69"/>
    </row>
    <row r="202" spans="11:13" hidden="1" x14ac:dyDescent="0.2">
      <c r="K202" s="69"/>
      <c r="L202" s="69"/>
      <c r="M202" s="69"/>
    </row>
    <row r="203" spans="11:13" hidden="1" x14ac:dyDescent="0.2">
      <c r="K203" s="69"/>
      <c r="L203" s="69"/>
      <c r="M203" s="69"/>
    </row>
    <row r="204" spans="11:13" hidden="1" x14ac:dyDescent="0.2">
      <c r="K204" s="69"/>
      <c r="L204" s="69"/>
      <c r="M204" s="69"/>
    </row>
    <row r="205" spans="11:13" hidden="1" x14ac:dyDescent="0.2">
      <c r="K205" s="69"/>
      <c r="L205" s="69"/>
      <c r="M205" s="69"/>
    </row>
    <row r="206" spans="11:13" hidden="1" x14ac:dyDescent="0.2">
      <c r="K206" s="69"/>
      <c r="L206" s="69"/>
      <c r="M206" s="69"/>
    </row>
    <row r="207" spans="11:13" hidden="1" x14ac:dyDescent="0.2">
      <c r="K207" s="69"/>
      <c r="L207" s="69"/>
      <c r="M207" s="69"/>
    </row>
    <row r="208" spans="11:13" hidden="1" x14ac:dyDescent="0.2">
      <c r="K208" s="69"/>
      <c r="L208" s="69"/>
      <c r="M208" s="69"/>
    </row>
    <row r="209" spans="11:13" hidden="1" x14ac:dyDescent="0.2">
      <c r="K209" s="69"/>
      <c r="L209" s="69"/>
      <c r="M209" s="69"/>
    </row>
    <row r="210" spans="11:13" hidden="1" x14ac:dyDescent="0.2">
      <c r="K210" s="69"/>
      <c r="L210" s="69"/>
      <c r="M210" s="69"/>
    </row>
    <row r="211" spans="11:13" hidden="1" x14ac:dyDescent="0.2">
      <c r="K211" s="69"/>
      <c r="L211" s="69"/>
      <c r="M211" s="69"/>
    </row>
    <row r="212" spans="11:13" hidden="1" x14ac:dyDescent="0.2">
      <c r="K212" s="69"/>
      <c r="L212" s="69"/>
      <c r="M212" s="69"/>
    </row>
    <row r="213" spans="11:13" hidden="1" x14ac:dyDescent="0.2">
      <c r="K213" s="69"/>
      <c r="L213" s="69"/>
      <c r="M213" s="69"/>
    </row>
    <row r="214" spans="11:13" hidden="1" x14ac:dyDescent="0.2"/>
    <row r="215" spans="11:13" hidden="1" x14ac:dyDescent="0.2"/>
    <row r="216" spans="11:13" hidden="1" x14ac:dyDescent="0.2"/>
    <row r="217" spans="11:13" hidden="1" x14ac:dyDescent="0.2"/>
    <row r="218" spans="11:13" hidden="1" x14ac:dyDescent="0.2"/>
    <row r="219" spans="11:13" hidden="1" x14ac:dyDescent="0.2"/>
    <row r="220" spans="11:13" hidden="1" x14ac:dyDescent="0.2"/>
    <row r="221" spans="11:13" hidden="1" x14ac:dyDescent="0.2"/>
    <row r="222" spans="11:13" hidden="1" x14ac:dyDescent="0.2"/>
    <row r="223" spans="11:13" hidden="1" x14ac:dyDescent="0.2"/>
    <row r="224" spans="1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Q298" s="262"/>
      <c r="AR298" s="262"/>
      <c r="AS298" s="262"/>
      <c r="AT298" s="262"/>
    </row>
    <row r="299" spans="1:46" x14ac:dyDescent="0.2">
      <c r="A299" s="623"/>
      <c r="B299" s="623"/>
      <c r="C299" s="663" t="s">
        <v>220</v>
      </c>
      <c r="D299" s="611"/>
      <c r="E299" s="611"/>
      <c r="AQ299" s="262"/>
      <c r="AR299" s="262"/>
      <c r="AS299" s="262"/>
      <c r="AT299" s="262"/>
    </row>
    <row r="300" spans="1:46" x14ac:dyDescent="0.2">
      <c r="A300" s="624">
        <v>1</v>
      </c>
      <c r="B300" s="680" t="str">
        <f t="shared" ref="B300:B317" si="10">IFERROR(INDEX(M$100:M$298,MATCH(A300&amp;". koht",M$101:M$299,0)),"")</f>
        <v>Katri Aavekukk, Margus Berkmann</v>
      </c>
      <c r="C300" s="664">
        <v>173</v>
      </c>
      <c r="D300" s="74"/>
      <c r="E300" s="74"/>
      <c r="AQ300" s="262"/>
      <c r="AR300" s="262"/>
      <c r="AS300" s="262"/>
      <c r="AT300" s="262"/>
    </row>
    <row r="301" spans="1:46" x14ac:dyDescent="0.2">
      <c r="A301" s="624">
        <v>2</v>
      </c>
      <c r="B301" s="261" t="str">
        <f t="shared" si="10"/>
        <v>Irene Võrklaev, Ruudi Väärtnõu</v>
      </c>
      <c r="C301" s="665">
        <v>158</v>
      </c>
      <c r="D301" s="606"/>
      <c r="E301" s="606"/>
      <c r="AQ301" s="262"/>
      <c r="AR301" s="262"/>
      <c r="AS301" s="262"/>
      <c r="AT301" s="262"/>
    </row>
    <row r="302" spans="1:46" x14ac:dyDescent="0.2">
      <c r="A302" s="624">
        <v>3</v>
      </c>
      <c r="B302" s="261" t="str">
        <f t="shared" si="10"/>
        <v>Külli Kariste, Urmo Auväärt</v>
      </c>
      <c r="C302" s="665">
        <v>146</v>
      </c>
      <c r="D302" s="606"/>
      <c r="E302" s="606"/>
      <c r="AQ302" s="262"/>
      <c r="AR302" s="262"/>
      <c r="AS302" s="262"/>
      <c r="AT302" s="262"/>
    </row>
    <row r="303" spans="1:46" x14ac:dyDescent="0.2">
      <c r="A303" s="624">
        <v>4</v>
      </c>
      <c r="B303" s="261" t="str">
        <f t="shared" si="10"/>
        <v>Kaido Kopel, Piret Kopel</v>
      </c>
      <c r="C303" s="665">
        <v>135</v>
      </c>
      <c r="D303" s="606"/>
      <c r="E303" s="606"/>
      <c r="AQ303" s="262"/>
      <c r="AR303" s="262"/>
      <c r="AS303" s="262"/>
      <c r="AT303" s="262"/>
    </row>
    <row r="304" spans="1:46" x14ac:dyDescent="0.2">
      <c r="A304" s="624">
        <v>5</v>
      </c>
      <c r="B304" s="261" t="str">
        <f t="shared" si="10"/>
        <v>Aigi Orro, Kalle Orro</v>
      </c>
      <c r="C304" s="665">
        <v>126</v>
      </c>
      <c r="D304" s="606"/>
      <c r="E304" s="606"/>
      <c r="AQ304" s="262"/>
      <c r="AR304" s="262"/>
      <c r="AS304" s="262"/>
      <c r="AT304" s="262"/>
    </row>
    <row r="305" spans="1:46" x14ac:dyDescent="0.2">
      <c r="A305" s="624">
        <v>6</v>
      </c>
      <c r="B305" s="261" t="str">
        <f t="shared" si="10"/>
        <v>Andero Kelu, Maris Rõõm</v>
      </c>
      <c r="C305" s="665">
        <v>119</v>
      </c>
      <c r="D305" s="606"/>
      <c r="E305" s="606"/>
      <c r="AQ305" s="262"/>
      <c r="AR305" s="262"/>
      <c r="AS305" s="262"/>
      <c r="AT305" s="262"/>
    </row>
    <row r="306" spans="1:46" x14ac:dyDescent="0.2">
      <c r="A306" s="624">
        <v>7</v>
      </c>
      <c r="B306" s="261" t="str">
        <f t="shared" si="10"/>
        <v>Kertu Palm, Marek Kolk</v>
      </c>
      <c r="C306" s="665">
        <v>111</v>
      </c>
      <c r="D306" s="606"/>
      <c r="E306" s="606"/>
      <c r="AQ306" s="262"/>
      <c r="AR306" s="262"/>
      <c r="AS306" s="262"/>
      <c r="AT306" s="262"/>
    </row>
    <row r="307" spans="1:46" x14ac:dyDescent="0.2">
      <c r="A307" s="624">
        <v>8</v>
      </c>
      <c r="B307" s="261" t="str">
        <f t="shared" si="10"/>
        <v>Aivar Sein, Maive Sein</v>
      </c>
      <c r="C307" s="665">
        <v>104</v>
      </c>
      <c r="D307" s="606"/>
      <c r="E307" s="606"/>
      <c r="AQ307" s="262"/>
      <c r="AR307" s="262"/>
      <c r="AS307" s="262"/>
      <c r="AT307" s="262"/>
    </row>
    <row r="308" spans="1:46" x14ac:dyDescent="0.2">
      <c r="A308" s="624">
        <v>9</v>
      </c>
      <c r="B308" s="261" t="str">
        <f t="shared" si="10"/>
        <v>Kalju Olmre, Marju Velga</v>
      </c>
      <c r="C308" s="665">
        <v>96</v>
      </c>
      <c r="D308" s="606"/>
      <c r="E308" s="606"/>
      <c r="AQ308" s="262"/>
      <c r="AR308" s="262"/>
      <c r="AS308" s="262"/>
      <c r="AT308" s="262"/>
    </row>
    <row r="309" spans="1:46" x14ac:dyDescent="0.2">
      <c r="A309" s="624">
        <v>10</v>
      </c>
      <c r="B309" s="261" t="str">
        <f t="shared" si="10"/>
        <v>Egert Kingissepp, Marge Mägi</v>
      </c>
      <c r="C309" s="665">
        <v>90</v>
      </c>
      <c r="D309" s="606"/>
      <c r="E309" s="606"/>
      <c r="AQ309" s="262"/>
      <c r="AR309" s="262"/>
      <c r="AS309" s="262"/>
      <c r="AT309" s="262"/>
    </row>
    <row r="310" spans="1:46" x14ac:dyDescent="0.2">
      <c r="A310" s="624">
        <v>11</v>
      </c>
      <c r="B310" s="261" t="str">
        <f t="shared" si="10"/>
        <v>Kadri Arunurm, Meelis Münt</v>
      </c>
      <c r="C310" s="665">
        <v>84</v>
      </c>
      <c r="D310" s="606"/>
      <c r="E310" s="606"/>
      <c r="AQ310" s="262"/>
      <c r="AR310" s="262"/>
      <c r="AS310" s="262"/>
      <c r="AT310" s="262"/>
    </row>
    <row r="311" spans="1:46" x14ac:dyDescent="0.2">
      <c r="A311" s="624">
        <v>12</v>
      </c>
      <c r="B311" s="261" t="str">
        <f t="shared" si="10"/>
        <v>Silver Kingissepp, Triin Gretel Tauk</v>
      </c>
      <c r="C311" s="666">
        <v>78</v>
      </c>
      <c r="AQ311" s="262"/>
      <c r="AR311" s="262"/>
      <c r="AS311" s="262"/>
      <c r="AT311" s="262"/>
    </row>
    <row r="312" spans="1:46" x14ac:dyDescent="0.2">
      <c r="A312" s="624">
        <v>13</v>
      </c>
      <c r="B312" s="261" t="str">
        <f t="shared" si="10"/>
        <v>Angelika Tauk, Toomas Tauk</v>
      </c>
      <c r="C312" s="666">
        <v>74</v>
      </c>
      <c r="AQ312" s="262"/>
      <c r="AR312" s="262"/>
      <c r="AS312" s="262"/>
      <c r="AT312" s="262"/>
    </row>
    <row r="313" spans="1:46" x14ac:dyDescent="0.2">
      <c r="A313" s="624">
        <v>14</v>
      </c>
      <c r="B313" s="261" t="str">
        <f t="shared" si="10"/>
        <v>Kevin Kangur, Varje Reede</v>
      </c>
      <c r="C313" s="666">
        <v>69</v>
      </c>
      <c r="AQ313" s="262"/>
      <c r="AR313" s="262"/>
      <c r="AS313" s="262"/>
      <c r="AT313" s="262"/>
    </row>
    <row r="314" spans="1:46" x14ac:dyDescent="0.2">
      <c r="A314" s="624">
        <v>15</v>
      </c>
      <c r="B314" s="261" t="str">
        <f t="shared" si="10"/>
        <v>Kevin Sten Liik, Mare Kingissepp</v>
      </c>
      <c r="C314" s="666">
        <v>65</v>
      </c>
      <c r="AQ314" s="262"/>
      <c r="AR314" s="262"/>
      <c r="AS314" s="262"/>
      <c r="AT314" s="262"/>
    </row>
    <row r="315" spans="1:46" x14ac:dyDescent="0.2">
      <c r="A315" s="624">
        <v>16</v>
      </c>
      <c r="B315" s="261" t="str">
        <f t="shared" si="10"/>
        <v>Martha Aavisto, Vahur Raudsepp</v>
      </c>
      <c r="C315" s="666">
        <v>60</v>
      </c>
      <c r="AQ315" s="262"/>
      <c r="AR315" s="262"/>
      <c r="AS315" s="262"/>
      <c r="AT315" s="262"/>
    </row>
    <row r="316" spans="1:46" x14ac:dyDescent="0.2">
      <c r="A316" s="624">
        <v>17</v>
      </c>
      <c r="B316" s="261" t="str">
        <f t="shared" si="10"/>
        <v>Janek Kiisk, Kadri Veljend</v>
      </c>
      <c r="C316" s="666">
        <v>56</v>
      </c>
      <c r="AQ316" s="262"/>
      <c r="AR316" s="262"/>
      <c r="AS316" s="262"/>
      <c r="AT316" s="262"/>
    </row>
    <row r="317" spans="1:46" x14ac:dyDescent="0.2">
      <c r="A317" s="624">
        <v>18</v>
      </c>
      <c r="B317" s="261" t="str">
        <f t="shared" si="10"/>
        <v>Marta Ruus, Valmar Pantšenko</v>
      </c>
      <c r="C317" s="666">
        <v>51</v>
      </c>
      <c r="AQ317" s="262"/>
      <c r="AR317" s="262"/>
      <c r="AS317" s="262"/>
      <c r="AT317" s="262"/>
    </row>
    <row r="318" spans="1:46" hidden="1" x14ac:dyDescent="0.2">
      <c r="C318" s="666">
        <v>47</v>
      </c>
      <c r="AH318" s="672">
        <f t="shared" ref="AH318:AH333" si="11">SUM(AJ318:AP318)</f>
        <v>0</v>
      </c>
      <c r="AI318" s="674" t="str">
        <f t="shared" ref="AI318:AI333" si="12">IFERROR(LEFT($B318,(FIND(",",$B318,1)-1)),"")</f>
        <v/>
      </c>
      <c r="AJ318" s="675" t="str">
        <f>IFERROR(INDEX(Üldreiting!$M:$M,MATCH(AI318,Üldreiting!$H:$H,0)),"")</f>
        <v/>
      </c>
      <c r="AK318" s="674" t="str">
        <f t="shared" ref="AK318:AK333" si="13">IFERROR(MID($B318,FIND(", ",$B318)+2,256),"")</f>
        <v/>
      </c>
      <c r="AL318" s="675" t="str">
        <f>IFERROR(INDEX(Üldreiting!$M:$M,MATCH(AK318,Üldreiting!$H:$H,0)),"")</f>
        <v/>
      </c>
      <c r="AM318" s="676" t="str">
        <f t="shared" ref="AM318:AM333" si="14">IFERROR(MID($B318,FIND("^",SUBSTITUTE($B318,", ","^",1))+2,FIND("^",SUBSTITUTE($B318,", ","^",2))-FIND("^",SUBSTITUTE($B318,", ","^",1))-2),"")</f>
        <v/>
      </c>
      <c r="AN318" s="675" t="str">
        <f>IFERROR(INDEX(Üldreiting!$M:$M,MATCH(AM318,Üldreiting!$H:$H,0)),"")</f>
        <v/>
      </c>
      <c r="AO318" s="676" t="str">
        <f t="shared" ref="AO318:AO333" si="15">IFERROR(MID($B318,FIND(", ",$B318,FIND(", ",$B318,FIND(", ",$B318))+1)+2,30000),"")</f>
        <v/>
      </c>
      <c r="AP318" s="675" t="str">
        <f>IFERROR(INDEX(Üldreiting!$M:$M,MATCH(AO318,Üldreiting!$H:$H,0)),"")</f>
        <v/>
      </c>
      <c r="AQ318" s="262"/>
      <c r="AR318" s="262"/>
      <c r="AS318" s="262"/>
      <c r="AT318" s="262"/>
    </row>
    <row r="319" spans="1:46" hidden="1" x14ac:dyDescent="0.2">
      <c r="C319" s="666">
        <v>42</v>
      </c>
      <c r="AH319" s="672">
        <f t="shared" si="11"/>
        <v>0</v>
      </c>
      <c r="AI319" s="674" t="str">
        <f t="shared" si="12"/>
        <v/>
      </c>
      <c r="AJ319" s="675" t="str">
        <f>IFERROR(INDEX(Üldreiting!$M:$M,MATCH(AI319,Üldreiting!$H:$H,0)),"")</f>
        <v/>
      </c>
      <c r="AK319" s="674" t="str">
        <f t="shared" si="13"/>
        <v/>
      </c>
      <c r="AL319" s="675" t="str">
        <f>IFERROR(INDEX(Üldreiting!$M:$M,MATCH(AK319,Üldreiting!$H:$H,0)),"")</f>
        <v/>
      </c>
      <c r="AM319" s="676" t="str">
        <f t="shared" si="14"/>
        <v/>
      </c>
      <c r="AN319" s="675" t="str">
        <f>IFERROR(INDEX(Üldreiting!$M:$M,MATCH(AM319,Üldreiting!$H:$H,0)),"")</f>
        <v/>
      </c>
      <c r="AO319" s="676" t="str">
        <f t="shared" si="15"/>
        <v/>
      </c>
      <c r="AP319" s="675" t="str">
        <f>IFERROR(INDEX(Üldreiting!$M:$M,MATCH(AO319,Üldreiting!$H:$H,0)),"")</f>
        <v/>
      </c>
      <c r="AQ319" s="262"/>
      <c r="AR319" s="262"/>
      <c r="AS319" s="262"/>
      <c r="AT319" s="262"/>
    </row>
    <row r="320" spans="1:46" hidden="1" x14ac:dyDescent="0.2">
      <c r="C320" s="666">
        <v>38</v>
      </c>
      <c r="AH320" s="672">
        <f t="shared" si="11"/>
        <v>0</v>
      </c>
      <c r="AI320" s="674" t="str">
        <f t="shared" si="12"/>
        <v/>
      </c>
      <c r="AJ320" s="675" t="str">
        <f>IFERROR(INDEX(Üldreiting!$M:$M,MATCH(AI320,Üldreiting!$H:$H,0)),"")</f>
        <v/>
      </c>
      <c r="AK320" s="674" t="str">
        <f t="shared" si="13"/>
        <v/>
      </c>
      <c r="AL320" s="675" t="str">
        <f>IFERROR(INDEX(Üldreiting!$M:$M,MATCH(AK320,Üldreiting!$H:$H,0)),"")</f>
        <v/>
      </c>
      <c r="AM320" s="676" t="str">
        <f t="shared" si="14"/>
        <v/>
      </c>
      <c r="AN320" s="675" t="str">
        <f>IFERROR(INDEX(Üldreiting!$M:$M,MATCH(AM320,Üldreiting!$H:$H,0)),"")</f>
        <v/>
      </c>
      <c r="AO320" s="676" t="str">
        <f t="shared" si="15"/>
        <v/>
      </c>
      <c r="AP320" s="675" t="str">
        <f>IFERROR(INDEX(Üldreiting!$M:$M,MATCH(AO320,Üldreiting!$H:$H,0)),"")</f>
        <v/>
      </c>
      <c r="AQ320" s="262"/>
      <c r="AR320" s="262"/>
      <c r="AS320" s="262"/>
      <c r="AT320" s="262"/>
    </row>
    <row r="321" spans="3:46" hidden="1" x14ac:dyDescent="0.2">
      <c r="C321" s="666">
        <v>33</v>
      </c>
      <c r="AH321" s="672">
        <f t="shared" si="11"/>
        <v>0</v>
      </c>
      <c r="AI321" s="674" t="str">
        <f t="shared" si="12"/>
        <v/>
      </c>
      <c r="AJ321" s="675" t="str">
        <f>IFERROR(INDEX(Üldreiting!$M:$M,MATCH(AI321,Üldreiting!$H:$H,0)),"")</f>
        <v/>
      </c>
      <c r="AK321" s="674" t="str">
        <f t="shared" si="13"/>
        <v/>
      </c>
      <c r="AL321" s="675" t="str">
        <f>IFERROR(INDEX(Üldreiting!$M:$M,MATCH(AK321,Üldreiting!$H:$H,0)),"")</f>
        <v/>
      </c>
      <c r="AM321" s="676" t="str">
        <f t="shared" si="14"/>
        <v/>
      </c>
      <c r="AN321" s="675" t="str">
        <f>IFERROR(INDEX(Üldreiting!$M:$M,MATCH(AM321,Üldreiting!$H:$H,0)),"")</f>
        <v/>
      </c>
      <c r="AO321" s="676" t="str">
        <f t="shared" si="15"/>
        <v/>
      </c>
      <c r="AP321" s="675" t="str">
        <f>IFERROR(INDEX(Üldreiting!$M:$M,MATCH(AO321,Üldreiting!$H:$H,0)),"")</f>
        <v/>
      </c>
      <c r="AQ321" s="262"/>
      <c r="AR321" s="262"/>
      <c r="AS321" s="262"/>
      <c r="AT321" s="262"/>
    </row>
    <row r="322" spans="3:46" hidden="1" x14ac:dyDescent="0.2">
      <c r="C322" s="666">
        <v>29</v>
      </c>
      <c r="AH322" s="672">
        <f t="shared" si="11"/>
        <v>0</v>
      </c>
      <c r="AI322" s="674" t="str">
        <f t="shared" si="12"/>
        <v/>
      </c>
      <c r="AJ322" s="675" t="str">
        <f>IFERROR(INDEX(Üldreiting!$M:$M,MATCH(AI322,Üldreiting!$H:$H,0)),"")</f>
        <v/>
      </c>
      <c r="AK322" s="674" t="str">
        <f t="shared" si="13"/>
        <v/>
      </c>
      <c r="AL322" s="675" t="str">
        <f>IFERROR(INDEX(Üldreiting!$M:$M,MATCH(AK322,Üldreiting!$H:$H,0)),"")</f>
        <v/>
      </c>
      <c r="AM322" s="676" t="str">
        <f t="shared" si="14"/>
        <v/>
      </c>
      <c r="AN322" s="675" t="str">
        <f>IFERROR(INDEX(Üldreiting!$M:$M,MATCH(AM322,Üldreiting!$H:$H,0)),"")</f>
        <v/>
      </c>
      <c r="AO322" s="676" t="str">
        <f t="shared" si="15"/>
        <v/>
      </c>
      <c r="AP322" s="675" t="str">
        <f>IFERROR(INDEX(Üldreiting!$M:$M,MATCH(AO322,Üldreiting!$H:$H,0)),"")</f>
        <v/>
      </c>
      <c r="AQ322" s="262"/>
      <c r="AR322" s="262"/>
      <c r="AS322" s="262"/>
      <c r="AT322" s="262"/>
    </row>
    <row r="323" spans="3:46" hidden="1" x14ac:dyDescent="0.2">
      <c r="C323" s="666">
        <v>24</v>
      </c>
      <c r="AH323" s="672">
        <f t="shared" si="11"/>
        <v>0</v>
      </c>
      <c r="AI323" s="674" t="str">
        <f t="shared" si="12"/>
        <v/>
      </c>
      <c r="AJ323" s="675" t="str">
        <f>IFERROR(INDEX(Üldreiting!$M:$M,MATCH(AI323,Üldreiting!$H:$H,0)),"")</f>
        <v/>
      </c>
      <c r="AK323" s="674" t="str">
        <f t="shared" si="13"/>
        <v/>
      </c>
      <c r="AL323" s="675" t="str">
        <f>IFERROR(INDEX(Üldreiting!$M:$M,MATCH(AK323,Üldreiting!$H:$H,0)),"")</f>
        <v/>
      </c>
      <c r="AM323" s="676" t="str">
        <f t="shared" si="14"/>
        <v/>
      </c>
      <c r="AN323" s="675" t="str">
        <f>IFERROR(INDEX(Üldreiting!$M:$M,MATCH(AM323,Üldreiting!$H:$H,0)),"")</f>
        <v/>
      </c>
      <c r="AO323" s="676" t="str">
        <f t="shared" si="15"/>
        <v/>
      </c>
      <c r="AP323" s="675" t="str">
        <f>IFERROR(INDEX(Üldreiting!$M:$M,MATCH(AO323,Üldreiting!$H:$H,0)),"")</f>
        <v/>
      </c>
      <c r="AQ323" s="262"/>
      <c r="AR323" s="262"/>
      <c r="AS323" s="262"/>
      <c r="AT323" s="262"/>
    </row>
    <row r="324" spans="3:46" hidden="1" x14ac:dyDescent="0.2">
      <c r="C324" s="666">
        <v>21</v>
      </c>
      <c r="AH324" s="672">
        <f t="shared" si="11"/>
        <v>0</v>
      </c>
      <c r="AI324" s="674" t="str">
        <f t="shared" si="12"/>
        <v/>
      </c>
      <c r="AJ324" s="675" t="str">
        <f>IFERROR(INDEX(Üldreiting!$M:$M,MATCH(AI324,Üldreiting!$H:$H,0)),"")</f>
        <v/>
      </c>
      <c r="AK324" s="674" t="str">
        <f t="shared" si="13"/>
        <v/>
      </c>
      <c r="AL324" s="675" t="str">
        <f>IFERROR(INDEX(Üldreiting!$M:$M,MATCH(AK324,Üldreiting!$H:$H,0)),"")</f>
        <v/>
      </c>
      <c r="AM324" s="676" t="str">
        <f t="shared" si="14"/>
        <v/>
      </c>
      <c r="AN324" s="675" t="str">
        <f>IFERROR(INDEX(Üldreiting!$M:$M,MATCH(AM324,Üldreiting!$H:$H,0)),"")</f>
        <v/>
      </c>
      <c r="AO324" s="676" t="str">
        <f t="shared" si="15"/>
        <v/>
      </c>
      <c r="AP324" s="675" t="str">
        <f>IFERROR(INDEX(Üldreiting!$M:$M,MATCH(AO324,Üldreiting!$H:$H,0)),"")</f>
        <v/>
      </c>
      <c r="AQ324" s="262"/>
      <c r="AR324" s="262"/>
      <c r="AS324" s="262"/>
      <c r="AT324" s="262"/>
    </row>
    <row r="325" spans="3:46" hidden="1" x14ac:dyDescent="0.2">
      <c r="C325" s="666">
        <v>18</v>
      </c>
      <c r="AH325" s="672">
        <f t="shared" si="11"/>
        <v>0</v>
      </c>
      <c r="AI325" s="674" t="str">
        <f t="shared" si="12"/>
        <v/>
      </c>
      <c r="AJ325" s="675" t="str">
        <f>IFERROR(INDEX(Üldreiting!$M:$M,MATCH(AI325,Üldreiting!$H:$H,0)),"")</f>
        <v/>
      </c>
      <c r="AK325" s="674" t="str">
        <f t="shared" si="13"/>
        <v/>
      </c>
      <c r="AL325" s="675" t="str">
        <f>IFERROR(INDEX(Üldreiting!$M:$M,MATCH(AK325,Üldreiting!$H:$H,0)),"")</f>
        <v/>
      </c>
      <c r="AM325" s="676" t="str">
        <f t="shared" si="14"/>
        <v/>
      </c>
      <c r="AN325" s="675" t="str">
        <f>IFERROR(INDEX(Üldreiting!$M:$M,MATCH(AM325,Üldreiting!$H:$H,0)),"")</f>
        <v/>
      </c>
      <c r="AO325" s="676" t="str">
        <f t="shared" si="15"/>
        <v/>
      </c>
      <c r="AP325" s="675" t="str">
        <f>IFERROR(INDEX(Üldreiting!$M:$M,MATCH(AO325,Üldreiting!$H:$H,0)),"")</f>
        <v/>
      </c>
      <c r="AQ325" s="262"/>
      <c r="AR325" s="262"/>
      <c r="AS325" s="262"/>
      <c r="AT325" s="262"/>
    </row>
    <row r="326" spans="3:46" hidden="1" x14ac:dyDescent="0.2">
      <c r="C326" s="666">
        <v>16</v>
      </c>
      <c r="AH326" s="672">
        <f t="shared" si="11"/>
        <v>0</v>
      </c>
      <c r="AI326" s="674" t="str">
        <f t="shared" si="12"/>
        <v/>
      </c>
      <c r="AJ326" s="675" t="str">
        <f>IFERROR(INDEX(Üldreiting!$M:$M,MATCH(AI326,Üldreiting!$H:$H,0)),"")</f>
        <v/>
      </c>
      <c r="AK326" s="674" t="str">
        <f t="shared" si="13"/>
        <v/>
      </c>
      <c r="AL326" s="675" t="str">
        <f>IFERROR(INDEX(Üldreiting!$M:$M,MATCH(AK326,Üldreiting!$H:$H,0)),"")</f>
        <v/>
      </c>
      <c r="AM326" s="676" t="str">
        <f t="shared" si="14"/>
        <v/>
      </c>
      <c r="AN326" s="675" t="str">
        <f>IFERROR(INDEX(Üldreiting!$M:$M,MATCH(AM326,Üldreiting!$H:$H,0)),"")</f>
        <v/>
      </c>
      <c r="AO326" s="676" t="str">
        <f t="shared" si="15"/>
        <v/>
      </c>
      <c r="AP326" s="675" t="str">
        <f>IFERROR(INDEX(Üldreiting!$M:$M,MATCH(AO326,Üldreiting!$H:$H,0)),"")</f>
        <v/>
      </c>
      <c r="AQ326" s="262"/>
      <c r="AR326" s="262"/>
      <c r="AS326" s="262"/>
      <c r="AT326" s="262"/>
    </row>
    <row r="327" spans="3:46" hidden="1" x14ac:dyDescent="0.2">
      <c r="C327" s="666">
        <v>14</v>
      </c>
      <c r="AH327" s="672">
        <f t="shared" si="11"/>
        <v>0</v>
      </c>
      <c r="AI327" s="674" t="str">
        <f t="shared" si="12"/>
        <v/>
      </c>
      <c r="AJ327" s="675" t="str">
        <f>IFERROR(INDEX(Üldreiting!$M:$M,MATCH(AI327,Üldreiting!$H:$H,0)),"")</f>
        <v/>
      </c>
      <c r="AK327" s="674" t="str">
        <f t="shared" si="13"/>
        <v/>
      </c>
      <c r="AL327" s="675" t="str">
        <f>IFERROR(INDEX(Üldreiting!$M:$M,MATCH(AK327,Üldreiting!$H:$H,0)),"")</f>
        <v/>
      </c>
      <c r="AM327" s="676" t="str">
        <f t="shared" si="14"/>
        <v/>
      </c>
      <c r="AN327" s="675" t="str">
        <f>IFERROR(INDEX(Üldreiting!$M:$M,MATCH(AM327,Üldreiting!$H:$H,0)),"")</f>
        <v/>
      </c>
      <c r="AO327" s="676" t="str">
        <f t="shared" si="15"/>
        <v/>
      </c>
      <c r="AP327" s="675" t="str">
        <f>IFERROR(INDEX(Üldreiting!$M:$M,MATCH(AO327,Üldreiting!$H:$H,0)),"")</f>
        <v/>
      </c>
      <c r="AQ327" s="262"/>
      <c r="AR327" s="262"/>
      <c r="AS327" s="262"/>
      <c r="AT327" s="262"/>
    </row>
    <row r="328" spans="3:46" hidden="1" x14ac:dyDescent="0.2">
      <c r="C328" s="666">
        <v>12</v>
      </c>
      <c r="AH328" s="672">
        <f t="shared" si="11"/>
        <v>0</v>
      </c>
      <c r="AI328" s="674" t="str">
        <f t="shared" si="12"/>
        <v/>
      </c>
      <c r="AJ328" s="675" t="str">
        <f>IFERROR(INDEX(Üldreiting!$M:$M,MATCH(AI328,Üldreiting!$H:$H,0)),"")</f>
        <v/>
      </c>
      <c r="AK328" s="674" t="str">
        <f t="shared" si="13"/>
        <v/>
      </c>
      <c r="AL328" s="675" t="str">
        <f>IFERROR(INDEX(Üldreiting!$M:$M,MATCH(AK328,Üldreiting!$H:$H,0)),"")</f>
        <v/>
      </c>
      <c r="AM328" s="676" t="str">
        <f t="shared" si="14"/>
        <v/>
      </c>
      <c r="AN328" s="675" t="str">
        <f>IFERROR(INDEX(Üldreiting!$M:$M,MATCH(AM328,Üldreiting!$H:$H,0)),"")</f>
        <v/>
      </c>
      <c r="AO328" s="676" t="str">
        <f t="shared" si="15"/>
        <v/>
      </c>
      <c r="AP328" s="675" t="str">
        <f>IFERROR(INDEX(Üldreiting!$M:$M,MATCH(AO328,Üldreiting!$H:$H,0)),"")</f>
        <v/>
      </c>
    </row>
    <row r="329" spans="3:46" hidden="1" x14ac:dyDescent="0.2">
      <c r="C329" s="666">
        <v>10</v>
      </c>
      <c r="AH329" s="672">
        <f t="shared" si="11"/>
        <v>0</v>
      </c>
      <c r="AI329" s="674" t="str">
        <f t="shared" si="12"/>
        <v/>
      </c>
      <c r="AJ329" s="675" t="str">
        <f>IFERROR(INDEX(Üldreiting!$M:$M,MATCH(AI329,Üldreiting!$H:$H,0)),"")</f>
        <v/>
      </c>
      <c r="AK329" s="674" t="str">
        <f t="shared" si="13"/>
        <v/>
      </c>
      <c r="AL329" s="675" t="str">
        <f>IFERROR(INDEX(Üldreiting!$M:$M,MATCH(AK329,Üldreiting!$H:$H,0)),"")</f>
        <v/>
      </c>
      <c r="AM329" s="676" t="str">
        <f t="shared" si="14"/>
        <v/>
      </c>
      <c r="AN329" s="675" t="str">
        <f>IFERROR(INDEX(Üldreiting!$M:$M,MATCH(AM329,Üldreiting!$H:$H,0)),"")</f>
        <v/>
      </c>
      <c r="AO329" s="676" t="str">
        <f t="shared" si="15"/>
        <v/>
      </c>
      <c r="AP329" s="675" t="str">
        <f>IFERROR(INDEX(Üldreiting!$M:$M,MATCH(AO329,Üldreiting!$H:$H,0)),"")</f>
        <v/>
      </c>
    </row>
    <row r="330" spans="3:46" hidden="1" x14ac:dyDescent="0.2">
      <c r="C330" s="666">
        <v>8</v>
      </c>
      <c r="M330" s="69"/>
      <c r="S330" s="675" t="str">
        <f>IFERROR(INDEX([1]Üldreiting!$K:$K,MATCH(AM322,[1]Üldreiting!$L:$L,0)),"")</f>
        <v/>
      </c>
      <c r="T330" s="676" t="str">
        <f t="shared" ref="T330:T333" si="16">IFERROR(MID($B330,FIND(", ",$B330,FIND(", ",$B330,FIND(", ",$B330))+1)+2,30000),"")</f>
        <v/>
      </c>
      <c r="U330" s="675" t="str">
        <f>IFERROR(INDEX([1]Üldreiting!$K:$K,MATCH(T330,[1]Üldreiting!$L:$L,0)),"")</f>
        <v/>
      </c>
      <c r="AH330" s="672">
        <f t="shared" si="11"/>
        <v>0</v>
      </c>
      <c r="AI330" s="674" t="str">
        <f t="shared" si="12"/>
        <v/>
      </c>
      <c r="AJ330" s="675" t="str">
        <f>IFERROR(INDEX(Üldreiting!$M:$M,MATCH(AI330,Üldreiting!$H:$H,0)),"")</f>
        <v/>
      </c>
      <c r="AK330" s="674" t="str">
        <f t="shared" si="13"/>
        <v/>
      </c>
      <c r="AL330" s="675" t="str">
        <f>IFERROR(INDEX(Üldreiting!$M:$M,MATCH(AK330,Üldreiting!$H:$H,0)),"")</f>
        <v/>
      </c>
      <c r="AM330" s="676" t="str">
        <f t="shared" si="14"/>
        <v/>
      </c>
      <c r="AN330" s="675" t="str">
        <f>IFERROR(INDEX(Üldreiting!$M:$M,MATCH(AM330,Üldreiting!$H:$H,0)),"")</f>
        <v/>
      </c>
      <c r="AO330" s="676" t="str">
        <f t="shared" si="15"/>
        <v/>
      </c>
      <c r="AP330" s="675" t="str">
        <f>IFERROR(INDEX(Üldreiting!$M:$M,MATCH(AO330,Üldreiting!$H:$H,0)),"")</f>
        <v/>
      </c>
    </row>
    <row r="331" spans="3:46" hidden="1" x14ac:dyDescent="0.2">
      <c r="C331" s="666">
        <v>6</v>
      </c>
      <c r="M331" s="69"/>
      <c r="S331" s="673"/>
      <c r="T331" s="673"/>
      <c r="U331" s="673"/>
      <c r="AH331" s="672">
        <f t="shared" si="11"/>
        <v>0</v>
      </c>
      <c r="AI331" s="674" t="str">
        <f t="shared" si="12"/>
        <v/>
      </c>
      <c r="AJ331" s="675" t="str">
        <f>IFERROR(INDEX(Üldreiting!$M:$M,MATCH(AI331,Üldreiting!$H:$H,0)),"")</f>
        <v/>
      </c>
      <c r="AK331" s="674" t="str">
        <f t="shared" si="13"/>
        <v/>
      </c>
      <c r="AL331" s="675" t="str">
        <f>IFERROR(INDEX(Üldreiting!$M:$M,MATCH(AK331,Üldreiting!$H:$H,0)),"")</f>
        <v/>
      </c>
      <c r="AM331" s="676" t="str">
        <f t="shared" si="14"/>
        <v/>
      </c>
      <c r="AN331" s="675" t="str">
        <f>IFERROR(INDEX(Üldreiting!$M:$M,MATCH(AM331,Üldreiting!$H:$H,0)),"")</f>
        <v/>
      </c>
      <c r="AO331" s="676" t="str">
        <f t="shared" si="15"/>
        <v/>
      </c>
      <c r="AP331" s="675" t="str">
        <f>IFERROR(INDEX(Üldreiting!$M:$M,MATCH(AO331,Üldreiting!$H:$H,0)),"")</f>
        <v/>
      </c>
    </row>
    <row r="332" spans="3:46" hidden="1" x14ac:dyDescent="0.2">
      <c r="C332" s="666">
        <v>3</v>
      </c>
      <c r="M332" s="69"/>
      <c r="S332" s="673"/>
      <c r="T332" s="673"/>
      <c r="U332" s="673"/>
      <c r="AH332" s="672">
        <f t="shared" si="11"/>
        <v>0</v>
      </c>
      <c r="AI332" s="674" t="str">
        <f t="shared" si="12"/>
        <v/>
      </c>
      <c r="AJ332" s="675" t="str">
        <f>IFERROR(INDEX(Üldreiting!$M:$M,MATCH(AI332,Üldreiting!$H:$H,0)),"")</f>
        <v/>
      </c>
      <c r="AK332" s="674" t="str">
        <f t="shared" si="13"/>
        <v/>
      </c>
      <c r="AL332" s="675" t="str">
        <f>IFERROR(INDEX(Üldreiting!$M:$M,MATCH(AK332,Üldreiting!$H:$H,0)),"")</f>
        <v/>
      </c>
      <c r="AM332" s="676" t="str">
        <f t="shared" si="14"/>
        <v/>
      </c>
      <c r="AN332" s="675" t="str">
        <f>IFERROR(INDEX(Üldreiting!$M:$M,MATCH(AM332,Üldreiting!$H:$H,0)),"")</f>
        <v/>
      </c>
      <c r="AO332" s="676" t="str">
        <f t="shared" si="15"/>
        <v/>
      </c>
      <c r="AP332" s="675" t="str">
        <f>IFERROR(INDEX(Üldreiting!$M:$M,MATCH(AO332,Üldreiting!$H:$H,0)),"")</f>
        <v/>
      </c>
    </row>
    <row r="333" spans="3:46" hidden="1" x14ac:dyDescent="0.2">
      <c r="C333" s="666">
        <v>0</v>
      </c>
      <c r="M333" s="69"/>
      <c r="S333" s="675" t="str">
        <f>IFERROR(INDEX([1]Üldreiting!$K:$K,MATCH(AM323,[1]Üldreiting!$L:$L,0)),"")</f>
        <v/>
      </c>
      <c r="T333" s="676" t="str">
        <f t="shared" si="16"/>
        <v/>
      </c>
      <c r="U333" s="675" t="str">
        <f>IFERROR(INDEX([1]Üldreiting!$K:$K,MATCH(T333,[1]Üldreiting!$L:$L,0)),"")</f>
        <v/>
      </c>
      <c r="AH333" s="672">
        <f t="shared" si="11"/>
        <v>0</v>
      </c>
      <c r="AI333" s="674" t="str">
        <f t="shared" si="12"/>
        <v/>
      </c>
      <c r="AJ333" s="675" t="str">
        <f>IFERROR(INDEX(Üldreiting!$M:$M,MATCH(AI333,Üldreiting!$H:$H,0)),"")</f>
        <v/>
      </c>
      <c r="AK333" s="674" t="str">
        <f t="shared" si="13"/>
        <v/>
      </c>
      <c r="AL333" s="675" t="str">
        <f>IFERROR(INDEX(Üldreiting!$M:$M,MATCH(AK333,Üldreiting!$H:$H,0)),"")</f>
        <v/>
      </c>
      <c r="AM333" s="676" t="str">
        <f t="shared" si="14"/>
        <v/>
      </c>
      <c r="AN333" s="675" t="str">
        <f>IFERROR(INDEX(Üldreiting!$M:$M,MATCH(AM333,Üldreiting!$H:$H,0)),"")</f>
        <v/>
      </c>
      <c r="AO333" s="676" t="str">
        <f t="shared" si="15"/>
        <v/>
      </c>
      <c r="AP333" s="675" t="str">
        <f>IFERROR(INDEX(Üldreiting!$M:$M,MATCH(AO333,Üldreiting!$H:$H,0)),"")</f>
        <v/>
      </c>
    </row>
    <row r="334" spans="3:46" x14ac:dyDescent="0.2">
      <c r="M334" s="238"/>
      <c r="N334" s="238"/>
      <c r="O334" s="238"/>
      <c r="P334" s="238"/>
      <c r="Q334" s="238"/>
      <c r="R334" s="238"/>
      <c r="S334" s="238"/>
      <c r="T334" s="238"/>
      <c r="U334" s="238"/>
    </row>
  </sheetData>
  <conditionalFormatting sqref="A300:A317">
    <cfRule type="duplicateValues" dxfId="1838" priority="240"/>
  </conditionalFormatting>
  <conditionalFormatting sqref="B300:B317">
    <cfRule type="duplicateValues" dxfId="1837" priority="159"/>
  </conditionalFormatting>
  <conditionalFormatting sqref="C7:F24">
    <cfRule type="expression" dxfId="1836" priority="190">
      <formula>IF($C7&gt;$E7,TRUE)</formula>
    </cfRule>
    <cfRule type="expression" dxfId="1835" priority="191">
      <formula>IF($C7&lt;$E7,TRUE)</formula>
    </cfRule>
  </conditionalFormatting>
  <conditionalFormatting sqref="C7:C24">
    <cfRule type="expression" dxfId="1834" priority="189">
      <formula>IF($C7&gt;$E7,TRUE)</formula>
    </cfRule>
  </conditionalFormatting>
  <conditionalFormatting sqref="E7:E24">
    <cfRule type="expression" dxfId="1833" priority="188">
      <formula>IF($C7&lt;$E7,TRUE)</formula>
    </cfRule>
  </conditionalFormatting>
  <conditionalFormatting sqref="G7:J24">
    <cfRule type="expression" dxfId="1832" priority="186">
      <formula>IF($G7&gt;$I7,TRUE)</formula>
    </cfRule>
    <cfRule type="expression" dxfId="1831" priority="187">
      <formula>IF($G7&lt;$I7,TRUE)</formula>
    </cfRule>
  </conditionalFormatting>
  <conditionalFormatting sqref="G7:G24">
    <cfRule type="expression" dxfId="1830" priority="185">
      <formula>IF($G7&gt;$I7,TRUE)</formula>
    </cfRule>
  </conditionalFormatting>
  <conditionalFormatting sqref="I7:I24">
    <cfRule type="expression" dxfId="1829" priority="184">
      <formula>IF($G7&lt;$I7,TRUE)</formula>
    </cfRule>
  </conditionalFormatting>
  <conditionalFormatting sqref="K7:N24">
    <cfRule type="expression" dxfId="1828" priority="182">
      <formula>IF($K7&gt;$M7,TRUE)</formula>
    </cfRule>
    <cfRule type="expression" dxfId="1827" priority="183">
      <formula>IF($K7&lt;$M7,TRUE)</formula>
    </cfRule>
  </conditionalFormatting>
  <conditionalFormatting sqref="K7:K24">
    <cfRule type="expression" dxfId="1826" priority="181">
      <formula>IF($K7&gt;$M7,TRUE)</formula>
    </cfRule>
  </conditionalFormatting>
  <conditionalFormatting sqref="M7:M24">
    <cfRule type="expression" dxfId="1825" priority="180">
      <formula>IF($K7&lt;$M7,TRUE)</formula>
    </cfRule>
  </conditionalFormatting>
  <conditionalFormatting sqref="O7:R24">
    <cfRule type="expression" dxfId="1824" priority="178">
      <formula>IF($O7&gt;$Q7,TRUE)</formula>
    </cfRule>
    <cfRule type="expression" dxfId="1823" priority="179">
      <formula>IF($O7&lt;$Q7,TRUE)</formula>
    </cfRule>
  </conditionalFormatting>
  <conditionalFormatting sqref="O7:O24">
    <cfRule type="expression" dxfId="1822" priority="177">
      <formula>IF($O7&gt;$Q7,TRUE)</formula>
    </cfRule>
  </conditionalFormatting>
  <conditionalFormatting sqref="Q7:Q24">
    <cfRule type="expression" dxfId="1821" priority="176">
      <formula>IF($O7&lt;$Q7,TRUE)</formula>
    </cfRule>
  </conditionalFormatting>
  <conditionalFormatting sqref="S7:Z24">
    <cfRule type="expression" dxfId="1820" priority="174">
      <formula>IF($S7&gt;$U7,TRUE)</formula>
    </cfRule>
    <cfRule type="expression" dxfId="1819" priority="175">
      <formula>IF($S7&lt;$U7,TRUE)</formula>
    </cfRule>
  </conditionalFormatting>
  <conditionalFormatting sqref="S7:S24 W7:W24">
    <cfRule type="expression" dxfId="1818" priority="173">
      <formula>IF($S7&gt;$U7,TRUE)</formula>
    </cfRule>
  </conditionalFormatting>
  <conditionalFormatting sqref="U7:U24 Y7:Y24">
    <cfRule type="expression" dxfId="1817" priority="172">
      <formula>IF($S7&lt;$U7,TRUE)</formula>
    </cfRule>
  </conditionalFormatting>
  <conditionalFormatting sqref="A102:A116">
    <cfRule type="cellIs" dxfId="1816" priority="160" operator="equal">
      <formula>"-"</formula>
    </cfRule>
    <cfRule type="duplicateValues" dxfId="1815" priority="161"/>
  </conditionalFormatting>
  <conditionalFormatting sqref="K131 K133">
    <cfRule type="containsBlanks" dxfId="1814" priority="150">
      <formula>LEN(TRIM(K131))=0</formula>
    </cfRule>
    <cfRule type="aboveAverage" dxfId="1813" priority="157"/>
  </conditionalFormatting>
  <conditionalFormatting sqref="G123 G125">
    <cfRule type="containsBlanks" dxfId="1812" priority="146">
      <formula>LEN(TRIM(G123))=0</formula>
    </cfRule>
    <cfRule type="aboveAverage" dxfId="1811" priority="149"/>
  </conditionalFormatting>
  <conditionalFormatting sqref="K117 K119">
    <cfRule type="aboveAverage" dxfId="1810" priority="145"/>
  </conditionalFormatting>
  <conditionalFormatting sqref="K117 K119">
    <cfRule type="containsBlanks" dxfId="1809" priority="115">
      <formula>LEN(TRIM(K117))=0</formula>
    </cfRule>
  </conditionalFormatting>
  <conditionalFormatting sqref="G103 G107">
    <cfRule type="containsBlanks" dxfId="1808" priority="113">
      <formula>LEN(TRIM(G103))=0</formula>
    </cfRule>
    <cfRule type="aboveAverage" dxfId="1807" priority="114"/>
  </conditionalFormatting>
  <conditionalFormatting sqref="G111 G115">
    <cfRule type="containsBlanks" dxfId="1806" priority="111">
      <formula>LEN(TRIM(G111))=0</formula>
    </cfRule>
    <cfRule type="aboveAverage" dxfId="1805" priority="112"/>
  </conditionalFormatting>
  <conditionalFormatting sqref="K105 K113">
    <cfRule type="containsBlanks" dxfId="1804" priority="100">
      <formula>LEN(TRIM(K105))=0</formula>
    </cfRule>
    <cfRule type="aboveAverage" dxfId="1803" priority="110"/>
  </conditionalFormatting>
  <conditionalFormatting sqref="A140:A154">
    <cfRule type="cellIs" dxfId="1802" priority="102" operator="equal">
      <formula>"-"</formula>
    </cfRule>
    <cfRule type="duplicateValues" dxfId="1801" priority="103"/>
  </conditionalFormatting>
  <conditionalFormatting sqref="G127 G129">
    <cfRule type="containsBlanks" dxfId="1800" priority="98">
      <formula>LEN(TRIM(G127))=0</formula>
    </cfRule>
    <cfRule type="aboveAverage" dxfId="1799" priority="99"/>
  </conditionalFormatting>
  <conditionalFormatting sqref="C114 C116">
    <cfRule type="containsBlanks" dxfId="1798" priority="88">
      <formula>LEN(TRIM(C114))=0</formula>
    </cfRule>
    <cfRule type="aboveAverage" dxfId="1797" priority="89"/>
  </conditionalFormatting>
  <conditionalFormatting sqref="C110 C112">
    <cfRule type="containsBlanks" dxfId="1796" priority="90">
      <formula>LEN(TRIM(C110))=0</formula>
    </cfRule>
    <cfRule type="aboveAverage" dxfId="1795" priority="91"/>
  </conditionalFormatting>
  <conditionalFormatting sqref="C106 C108">
    <cfRule type="containsBlanks" dxfId="1794" priority="92">
      <formula>LEN(TRIM(C106))=0</formula>
    </cfRule>
    <cfRule type="aboveAverage" dxfId="1793" priority="93"/>
  </conditionalFormatting>
  <conditionalFormatting sqref="C102 C104">
    <cfRule type="containsBlanks" dxfId="1792" priority="94">
      <formula>LEN(TRIM(C102))=0</formula>
    </cfRule>
    <cfRule type="aboveAverage" dxfId="1791" priority="95"/>
  </conditionalFormatting>
  <conditionalFormatting sqref="K124 K128">
    <cfRule type="containsBlanks" dxfId="1790" priority="96">
      <formula>LEN(TRIM(K124))=0</formula>
    </cfRule>
    <cfRule type="aboveAverage" dxfId="1789" priority="97"/>
  </conditionalFormatting>
  <conditionalFormatting sqref="K169 K171">
    <cfRule type="containsBlanks" dxfId="1788" priority="62">
      <formula>LEN(TRIM(K169))=0</formula>
    </cfRule>
    <cfRule type="aboveAverage" dxfId="1787" priority="63"/>
  </conditionalFormatting>
  <conditionalFormatting sqref="G161 G163">
    <cfRule type="containsBlanks" dxfId="1786" priority="60">
      <formula>LEN(TRIM(G161))=0</formula>
    </cfRule>
    <cfRule type="aboveAverage" dxfId="1785" priority="61"/>
  </conditionalFormatting>
  <conditionalFormatting sqref="K155 K157">
    <cfRule type="aboveAverage" dxfId="1784" priority="59"/>
  </conditionalFormatting>
  <conditionalFormatting sqref="K155 K157">
    <cfRule type="containsBlanks" dxfId="1783" priority="58">
      <formula>LEN(TRIM(K155))=0</formula>
    </cfRule>
  </conditionalFormatting>
  <conditionalFormatting sqref="G141 G145">
    <cfRule type="containsBlanks" dxfId="1782" priority="56">
      <formula>LEN(TRIM(G141))=0</formula>
    </cfRule>
    <cfRule type="aboveAverage" dxfId="1781" priority="57"/>
  </conditionalFormatting>
  <conditionalFormatting sqref="G149 G153">
    <cfRule type="containsBlanks" dxfId="1780" priority="54">
      <formula>LEN(TRIM(G149))=0</formula>
    </cfRule>
    <cfRule type="aboveAverage" dxfId="1779" priority="55"/>
  </conditionalFormatting>
  <conditionalFormatting sqref="K143 K151">
    <cfRule type="containsBlanks" dxfId="1778" priority="52">
      <formula>LEN(TRIM(K143))=0</formula>
    </cfRule>
    <cfRule type="aboveAverage" dxfId="1777" priority="53"/>
  </conditionalFormatting>
  <conditionalFormatting sqref="G165 G167">
    <cfRule type="containsBlanks" dxfId="1776" priority="50">
      <formula>LEN(TRIM(G165))=0</formula>
    </cfRule>
    <cfRule type="aboveAverage" dxfId="1775" priority="51"/>
  </conditionalFormatting>
  <conditionalFormatting sqref="C152 C154">
    <cfRule type="containsBlanks" dxfId="1774" priority="40">
      <formula>LEN(TRIM(C152))=0</formula>
    </cfRule>
    <cfRule type="aboveAverage" dxfId="1773" priority="41"/>
  </conditionalFormatting>
  <conditionalFormatting sqref="C148 C150">
    <cfRule type="containsBlanks" dxfId="1772" priority="42">
      <formula>LEN(TRIM(C148))=0</formula>
    </cfRule>
    <cfRule type="aboveAverage" dxfId="1771" priority="43"/>
  </conditionalFormatting>
  <conditionalFormatting sqref="C144 C146">
    <cfRule type="containsBlanks" dxfId="1770" priority="44">
      <formula>LEN(TRIM(C144))=0</formula>
    </cfRule>
    <cfRule type="aboveAverage" dxfId="1769" priority="45"/>
  </conditionalFormatting>
  <conditionalFormatting sqref="C140 C142">
    <cfRule type="containsBlanks" dxfId="1768" priority="46">
      <formula>LEN(TRIM(C140))=0</formula>
    </cfRule>
    <cfRule type="aboveAverage" dxfId="1767" priority="47"/>
  </conditionalFormatting>
  <conditionalFormatting sqref="K162 K166">
    <cfRule type="containsBlanks" dxfId="1766" priority="48">
      <formula>LEN(TRIM(K162))=0</formula>
    </cfRule>
    <cfRule type="aboveAverage" dxfId="1765" priority="49"/>
  </conditionalFormatting>
  <conditionalFormatting sqref="B300">
    <cfRule type="expression" dxfId="1764" priority="35">
      <formula>$A$300=1</formula>
    </cfRule>
  </conditionalFormatting>
  <conditionalFormatting sqref="B301">
    <cfRule type="expression" dxfId="1763" priority="34">
      <formula>$A$301=2</formula>
    </cfRule>
  </conditionalFormatting>
  <conditionalFormatting sqref="B302">
    <cfRule type="expression" dxfId="1762" priority="33">
      <formula>$A$302=3</formula>
    </cfRule>
  </conditionalFormatting>
  <conditionalFormatting sqref="T330 T333 AO318:AO333 AO7:AO24 AM318:AM333 AM7:AM24 AI318:AI333 AI7:AI24">
    <cfRule type="expression" dxfId="1761" priority="32">
      <formula>AND(U7="",COUNTIF(T7,"*,*")=0)</formula>
    </cfRule>
  </conditionalFormatting>
  <conditionalFormatting sqref="AK318:AK333 AK7:AK24">
    <cfRule type="expression" dxfId="1760" priority="28">
      <formula>AND(AL7="",FIND(",",AK7))</formula>
    </cfRule>
    <cfRule type="expression" dxfId="1759" priority="29">
      <formula>AND(AL7="",COUNTIF(AK7,"*,*")=0)</formula>
    </cfRule>
  </conditionalFormatting>
  <conditionalFormatting sqref="C7:Z24">
    <cfRule type="containsText" dxfId="1758" priority="27" operator="containsText" text="vaba voor">
      <formula>NOT(ISERROR(SEARCH("vaba voor",C7)))</formula>
    </cfRule>
  </conditionalFormatting>
  <conditionalFormatting sqref="K178 K180">
    <cfRule type="containsBlanks" dxfId="1757" priority="1">
      <formula>LEN(TRIM(K178))=0</formula>
    </cfRule>
    <cfRule type="aboveAverage" dxfId="1756" priority="2"/>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6" max="16383" man="1"/>
    <brk id="1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5"/>
  <sheetViews>
    <sheetView showGridLines="0" showRowColHeaders="0" zoomScaleNormal="100" workbookViewId="0">
      <pane ySplit="2" topLeftCell="A3" activePane="bottomLeft" state="frozen"/>
      <selection activeCell="I1" sqref="I1"/>
      <selection pane="bottomLeft" activeCell="O1" sqref="O1"/>
    </sheetView>
  </sheetViews>
  <sheetFormatPr defaultRowHeight="12.75" x14ac:dyDescent="0.2"/>
  <cols>
    <col min="1" max="1" width="5.5703125" style="69" customWidth="1"/>
    <col min="2" max="2" width="46"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5.28515625" style="69" hidden="1" customWidth="1"/>
    <col min="36" max="36" width="6" style="69" hidden="1" customWidth="1"/>
    <col min="37" max="37" width="17.28515625" style="69" hidden="1" customWidth="1"/>
    <col min="38" max="38" width="6" style="69" hidden="1" customWidth="1"/>
    <col min="39" max="39" width="16.42578125" style="69" hidden="1" customWidth="1"/>
    <col min="40" max="40" width="6" style="69" hidden="1" customWidth="1"/>
    <col min="41" max="41" width="17.28515625" style="69" hidden="1" customWidth="1"/>
    <col min="42" max="42" width="6" style="69" hidden="1" customWidth="1"/>
    <col min="43" max="43" width="13.85546875" style="69" hidden="1" customWidth="1"/>
    <col min="44" max="44" width="6" style="69" hidden="1" customWidth="1"/>
    <col min="45" max="16384" width="9.140625" style="69"/>
  </cols>
  <sheetData>
    <row r="1" spans="1:44" x14ac:dyDescent="0.2">
      <c r="A1" s="605" t="str">
        <f>UPPER((Kalend!E13)&amp;" - "&amp;(Kalend!C13)&amp;" - "&amp;(Kalend!D13))</f>
        <v>2 - EESTI REITINGUVÕISTLUS - TRIO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c r="AQ1" s="679"/>
      <c r="AR1" s="679"/>
    </row>
    <row r="2" spans="1:44" x14ac:dyDescent="0.2">
      <c r="A2" s="67" t="str">
        <f>"Toimumisaeg: "&amp;(Kalend!A13)&amp;" kell "&amp;(Kalend!B13)</f>
        <v>Toimumisaeg: P, 10.06.2018 kell 10:00</v>
      </c>
      <c r="AC2" s="264"/>
    </row>
    <row r="3" spans="1:44" x14ac:dyDescent="0.2">
      <c r="A3" s="67" t="str">
        <f>"Toimumiskoht: "&amp;(Kalend!H13)</f>
        <v>Toimumiskoht: Uuskalda (Läänemaa, Kärbla küla)</v>
      </c>
      <c r="I3" s="262"/>
      <c r="J3" s="132"/>
      <c r="K3" s="130"/>
      <c r="L3" s="610"/>
      <c r="AH3" s="681" t="s">
        <v>771</v>
      </c>
    </row>
    <row r="4" spans="1:44" x14ac:dyDescent="0.2">
      <c r="A4" s="67" t="str">
        <f>"Korraldaja: "&amp;(Kalend!I13)</f>
        <v>Korraldaja: PK Wicia</v>
      </c>
      <c r="I4" s="262"/>
      <c r="J4" s="611"/>
      <c r="L4" s="612"/>
      <c r="AH4" s="667" t="s">
        <v>190</v>
      </c>
      <c r="AI4" s="625"/>
      <c r="AJ4" s="625"/>
      <c r="AK4" s="625"/>
      <c r="AL4" s="625"/>
      <c r="AM4" s="625"/>
      <c r="AN4" s="625"/>
      <c r="AO4" s="625"/>
      <c r="AP4" s="625"/>
      <c r="AQ4" s="625"/>
      <c r="AR4" s="625"/>
    </row>
    <row r="5" spans="1:44" x14ac:dyDescent="0.2">
      <c r="A5" s="67"/>
      <c r="J5" s="132"/>
      <c r="K5" s="130"/>
      <c r="L5" s="610"/>
      <c r="AH5" s="667" t="s">
        <v>764</v>
      </c>
      <c r="AI5" s="670" t="s">
        <v>765</v>
      </c>
      <c r="AJ5" s="670"/>
      <c r="AK5" s="670" t="s">
        <v>767</v>
      </c>
      <c r="AL5" s="670"/>
      <c r="AM5" s="670" t="s">
        <v>768</v>
      </c>
      <c r="AN5" s="672"/>
      <c r="AO5" s="672" t="s">
        <v>772</v>
      </c>
      <c r="AP5" s="672"/>
      <c r="AQ5" s="672" t="s">
        <v>773</v>
      </c>
      <c r="AR5" s="682"/>
    </row>
    <row r="6" spans="1:44"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25"/>
      <c r="AJ6" s="625"/>
      <c r="AK6" s="673"/>
      <c r="AL6" s="673"/>
      <c r="AM6" s="673"/>
      <c r="AN6" s="673"/>
      <c r="AO6" s="673"/>
      <c r="AP6" s="673"/>
      <c r="AQ6" s="673"/>
      <c r="AR6" s="673"/>
    </row>
    <row r="7" spans="1:44" x14ac:dyDescent="0.2">
      <c r="A7" s="616">
        <v>1</v>
      </c>
      <c r="B7" s="22" t="s">
        <v>775</v>
      </c>
      <c r="C7" s="618">
        <v>13</v>
      </c>
      <c r="D7" s="619" t="s">
        <v>615</v>
      </c>
      <c r="E7" s="620">
        <v>3</v>
      </c>
      <c r="F7" s="621" t="str">
        <f>B12</f>
        <v>Kertu Palm, Marek Kolk, Urmo Auväärt</v>
      </c>
      <c r="G7" s="618">
        <v>13</v>
      </c>
      <c r="H7" s="619" t="s">
        <v>615</v>
      </c>
      <c r="I7" s="620">
        <v>12</v>
      </c>
      <c r="J7" s="621" t="str">
        <f>B11</f>
        <v>Aigi Orro, Elmo Lageda, Kalle Orro</v>
      </c>
      <c r="K7" s="618">
        <v>13</v>
      </c>
      <c r="L7" s="619" t="s">
        <v>615</v>
      </c>
      <c r="M7" s="620">
        <v>7</v>
      </c>
      <c r="N7" s="621" t="str">
        <f>B8</f>
        <v>Janek Kiisk, Kadri Veljend, Ruudi Väärtnõu</v>
      </c>
      <c r="O7" s="618">
        <v>13</v>
      </c>
      <c r="P7" s="619" t="s">
        <v>615</v>
      </c>
      <c r="Q7" s="620">
        <v>7</v>
      </c>
      <c r="R7" s="621" t="str">
        <f>B9</f>
        <v>Egert Kingissepp, Katrin Tiido, Mare Kingissepp</v>
      </c>
      <c r="S7" s="618"/>
      <c r="T7" s="619" t="s">
        <v>615</v>
      </c>
      <c r="U7" s="620"/>
      <c r="V7" s="621"/>
      <c r="W7" s="618"/>
      <c r="X7" s="619" t="s">
        <v>615</v>
      </c>
      <c r="Y7" s="620"/>
      <c r="Z7" s="621"/>
      <c r="AA7" s="622">
        <f t="shared" ref="AA7:AA18" si="0">2*(IF(C7&gt;E7,1)+IF(G7&gt;I7,1)+IF(K7&gt;M7,1)+IF(O7&gt;Q7,1)+IF(S7&gt;U7,1)+IF(W7&gt;Y7,1))</f>
        <v>8</v>
      </c>
      <c r="AB7" s="626">
        <v>20</v>
      </c>
      <c r="AC7" s="629">
        <f t="shared" ref="AC7:AC18" si="1">C7+G7+K7+O7+S7+W7</f>
        <v>52</v>
      </c>
      <c r="AD7" s="630" t="s">
        <v>615</v>
      </c>
      <c r="AE7" s="631">
        <f t="shared" ref="AE7:AE18" si="2">E7+I7+M7+Q7+U7+Y7</f>
        <v>29</v>
      </c>
      <c r="AF7" s="804">
        <f t="shared" ref="AF7:AF18" si="3">AC7-AE7</f>
        <v>23</v>
      </c>
      <c r="AH7" s="672">
        <f t="shared" ref="AH7:AH18" ca="1" si="4">SUM(AJ7:AR7)</f>
        <v>2172</v>
      </c>
      <c r="AI7" s="676" t="str">
        <f t="shared" ref="AI7:AI18" si="5">IFERROR(LEFT($B300,(FIND(",",$B300,1)-1)),"")</f>
        <v>Aivar Sein</v>
      </c>
      <c r="AJ7" s="675">
        <f ca="1">IFERROR(INDEX(Üldreiting!$M:$M,MATCH(AI7,Üldreiting!$H:$H,0)),"")</f>
        <v>546</v>
      </c>
      <c r="AK7" s="676" t="str">
        <f t="shared" ref="AK7:AK18" si="6">IFERROR(MID($B300,FIND("^",SUBSTITUTE($B300,", ","^",1))+2,FIND("^",SUBSTITUTE($B300,", ","^",2))-FIND("^",SUBSTITUTE($B300,", ","^",1))-2),"")</f>
        <v>Maive Sein</v>
      </c>
      <c r="AL7" s="675">
        <f ca="1">IFERROR(INDEX(Üldreiting!$M:$M,MATCH(AK7,Üldreiting!$H:$H,0)),"")</f>
        <v>785</v>
      </c>
      <c r="AM7" s="676" t="str">
        <f t="shared" ref="AM7:AM18" si="7">IFERROR(MID($B300,FIND(", ",$B300,FIND(", ",$B300,FIND(", ",$B300))+1)+2,30000),"")</f>
        <v>Varje Reede</v>
      </c>
      <c r="AN7" s="675">
        <f ca="1">IFERROR(INDEX(Üldreiting!$M:$M,MATCH(AM7,Üldreiting!$H:$H,0)),"")</f>
        <v>841</v>
      </c>
      <c r="AO7" s="674" t="str">
        <f t="shared" ref="AO7:AO18" si="8">IFERROR(MID($B300,FIND(", ",$B300,FIND(", ",$B300)+1)+2,FIND(", ",$B300,FIND(", ",$B300,FIND(", ",$B300)+1)+1)-FIND(", ",$B300,FIND(", ",$B300)+1)-2),"")</f>
        <v/>
      </c>
      <c r="AP7" s="675" t="str">
        <f>IFERROR(INDEX(Üldreiting!$M:$M,MATCH(AO7,Üldreiting!$H:$H,0)),"")</f>
        <v/>
      </c>
      <c r="AQ7" s="676" t="str">
        <f t="shared" ref="AQ7:AQ18" si="9">IFERROR(MID($B300,FIND(", ",$B300,FIND(", ",$B300,FIND(", ",$B300)+1)+1)+2,30000),"")</f>
        <v/>
      </c>
      <c r="AR7" s="675" t="str">
        <f>IFERROR(INDEX(Üldreiting!$M:$M,MATCH(AQ7,Üldreiting!$H:$H,0)),"")</f>
        <v/>
      </c>
    </row>
    <row r="8" spans="1:44" x14ac:dyDescent="0.2">
      <c r="A8" s="616">
        <v>2</v>
      </c>
      <c r="B8" s="22" t="s">
        <v>776</v>
      </c>
      <c r="C8" s="618">
        <v>13</v>
      </c>
      <c r="D8" s="619" t="s">
        <v>615</v>
      </c>
      <c r="E8" s="620">
        <v>7</v>
      </c>
      <c r="F8" s="621" t="str">
        <f>B13</f>
        <v>Alar Sinimäe, Kevin Sten Liik, Silver Kingissepp</v>
      </c>
      <c r="G8" s="618">
        <v>13</v>
      </c>
      <c r="H8" s="619" t="s">
        <v>615</v>
      </c>
      <c r="I8" s="620">
        <v>6</v>
      </c>
      <c r="J8" s="621" t="str">
        <f>B16</f>
        <v>Marek Lehis, Margo Peebo, Margus Strööm</v>
      </c>
      <c r="K8" s="618">
        <v>7</v>
      </c>
      <c r="L8" s="619" t="s">
        <v>615</v>
      </c>
      <c r="M8" s="620">
        <v>13</v>
      </c>
      <c r="N8" s="621" t="str">
        <f>B7</f>
        <v>Kadri Arunurm, Kalju Olmre, Marge Mägi</v>
      </c>
      <c r="O8" s="618">
        <v>13</v>
      </c>
      <c r="P8" s="619" t="s">
        <v>615</v>
      </c>
      <c r="Q8" s="620">
        <v>7</v>
      </c>
      <c r="R8" s="621" t="str">
        <f>B12</f>
        <v>Kertu Palm, Marek Kolk, Urmo Auväärt</v>
      </c>
      <c r="S8" s="618"/>
      <c r="T8" s="619" t="s">
        <v>615</v>
      </c>
      <c r="U8" s="620"/>
      <c r="V8" s="621"/>
      <c r="W8" s="618"/>
      <c r="X8" s="619" t="s">
        <v>615</v>
      </c>
      <c r="Y8" s="620"/>
      <c r="Z8" s="621"/>
      <c r="AA8" s="634">
        <f t="shared" si="0"/>
        <v>6</v>
      </c>
      <c r="AB8" s="635">
        <v>18</v>
      </c>
      <c r="AC8" s="629">
        <f t="shared" si="1"/>
        <v>46</v>
      </c>
      <c r="AD8" s="630" t="s">
        <v>615</v>
      </c>
      <c r="AE8" s="631">
        <f t="shared" si="2"/>
        <v>33</v>
      </c>
      <c r="AF8" s="804">
        <f t="shared" si="3"/>
        <v>13</v>
      </c>
      <c r="AH8" s="672">
        <f t="shared" ca="1" si="4"/>
        <v>2196.5</v>
      </c>
      <c r="AI8" s="676" t="str">
        <f t="shared" si="5"/>
        <v>Janek Kiisk</v>
      </c>
      <c r="AJ8" s="675">
        <f ca="1">IFERROR(INDEX(Üldreiting!$M:$M,MATCH(AI8,Üldreiting!$H:$H,0)),"")</f>
        <v>863.5</v>
      </c>
      <c r="AK8" s="676" t="str">
        <f t="shared" si="6"/>
        <v>Kadri Veljend</v>
      </c>
      <c r="AL8" s="675">
        <f ca="1">IFERROR(INDEX(Üldreiting!$M:$M,MATCH(AK8,Üldreiting!$H:$H,0)),"")</f>
        <v>361</v>
      </c>
      <c r="AM8" s="676" t="str">
        <f t="shared" si="7"/>
        <v>Ruudi Väärtnõu</v>
      </c>
      <c r="AN8" s="675">
        <f ca="1">IFERROR(INDEX(Üldreiting!$M:$M,MATCH(AM8,Üldreiting!$H:$H,0)),"")</f>
        <v>972</v>
      </c>
      <c r="AO8" s="674" t="str">
        <f t="shared" si="8"/>
        <v/>
      </c>
      <c r="AP8" s="675" t="str">
        <f>IFERROR(INDEX(Üldreiting!$M:$M,MATCH(AO8,Üldreiting!$H:$H,0)),"")</f>
        <v/>
      </c>
      <c r="AQ8" s="676" t="str">
        <f t="shared" si="9"/>
        <v/>
      </c>
      <c r="AR8" s="675" t="str">
        <f>IFERROR(INDEX(Üldreiting!$M:$M,MATCH(AQ8,Üldreiting!$H:$H,0)),"")</f>
        <v/>
      </c>
    </row>
    <row r="9" spans="1:44" x14ac:dyDescent="0.2">
      <c r="A9" s="616">
        <v>3</v>
      </c>
      <c r="B9" s="617" t="s">
        <v>784</v>
      </c>
      <c r="C9" s="618">
        <v>13</v>
      </c>
      <c r="D9" s="619" t="s">
        <v>615</v>
      </c>
      <c r="E9" s="620">
        <v>9</v>
      </c>
      <c r="F9" s="621" t="str">
        <f>B18</f>
        <v>Jaan Sepp, Mait Metsla, Oskar Sepp</v>
      </c>
      <c r="G9" s="618">
        <v>13</v>
      </c>
      <c r="H9" s="619" t="s">
        <v>615</v>
      </c>
      <c r="I9" s="620">
        <v>5</v>
      </c>
      <c r="J9" s="621" t="str">
        <f>B15</f>
        <v>Andres Veski, Kenneth Muusikus, Svetlana Veski</v>
      </c>
      <c r="K9" s="618">
        <v>13</v>
      </c>
      <c r="L9" s="619" t="s">
        <v>615</v>
      </c>
      <c r="M9" s="620">
        <v>7</v>
      </c>
      <c r="N9" s="621" t="str">
        <f>B11</f>
        <v>Aigi Orro, Elmo Lageda, Kalle Orro</v>
      </c>
      <c r="O9" s="618">
        <v>7</v>
      </c>
      <c r="P9" s="619" t="s">
        <v>615</v>
      </c>
      <c r="Q9" s="620">
        <v>13</v>
      </c>
      <c r="R9" s="621" t="str">
        <f>B7</f>
        <v>Kadri Arunurm, Kalju Olmre, Marge Mägi</v>
      </c>
      <c r="S9" s="618"/>
      <c r="T9" s="619" t="s">
        <v>615</v>
      </c>
      <c r="U9" s="620"/>
      <c r="V9" s="621"/>
      <c r="W9" s="618"/>
      <c r="X9" s="619" t="s">
        <v>615</v>
      </c>
      <c r="Y9" s="620"/>
      <c r="Z9" s="621"/>
      <c r="AA9" s="634">
        <f t="shared" si="0"/>
        <v>6</v>
      </c>
      <c r="AB9" s="635">
        <v>14</v>
      </c>
      <c r="AC9" s="629">
        <f t="shared" si="1"/>
        <v>46</v>
      </c>
      <c r="AD9" s="630" t="s">
        <v>615</v>
      </c>
      <c r="AE9" s="631">
        <f t="shared" si="2"/>
        <v>34</v>
      </c>
      <c r="AF9" s="804">
        <f t="shared" si="3"/>
        <v>12</v>
      </c>
      <c r="AH9" s="672">
        <f t="shared" ca="1" si="4"/>
        <v>2844</v>
      </c>
      <c r="AI9" s="676" t="str">
        <f t="shared" si="5"/>
        <v>Kertu Palm</v>
      </c>
      <c r="AJ9" s="675">
        <f ca="1">IFERROR(INDEX(Üldreiting!$M:$M,MATCH(AI9,Üldreiting!$H:$H,0)),"")</f>
        <v>627</v>
      </c>
      <c r="AK9" s="676" t="str">
        <f t="shared" si="6"/>
        <v>Marek Kolk</v>
      </c>
      <c r="AL9" s="675">
        <f ca="1">IFERROR(INDEX(Üldreiting!$M:$M,MATCH(AK9,Üldreiting!$H:$H,0)),"")</f>
        <v>1081</v>
      </c>
      <c r="AM9" s="676" t="str">
        <f t="shared" si="7"/>
        <v>Urmo Auväärt</v>
      </c>
      <c r="AN9" s="675">
        <f ca="1">IFERROR(INDEX(Üldreiting!$M:$M,MATCH(AM9,Üldreiting!$H:$H,0)),"")</f>
        <v>1136</v>
      </c>
      <c r="AO9" s="674" t="str">
        <f t="shared" si="8"/>
        <v/>
      </c>
      <c r="AP9" s="675" t="str">
        <f>IFERROR(INDEX(Üldreiting!$M:$M,MATCH(AO9,Üldreiting!$H:$H,0)),"")</f>
        <v/>
      </c>
      <c r="AQ9" s="676" t="str">
        <f t="shared" si="9"/>
        <v/>
      </c>
      <c r="AR9" s="675" t="str">
        <f>IFERROR(INDEX(Üldreiting!$M:$M,MATCH(AQ9,Üldreiting!$H:$H,0)),"")</f>
        <v/>
      </c>
    </row>
    <row r="10" spans="1:44" x14ac:dyDescent="0.2">
      <c r="A10" s="616">
        <v>4</v>
      </c>
      <c r="B10" s="617" t="s">
        <v>653</v>
      </c>
      <c r="C10" s="618">
        <v>4</v>
      </c>
      <c r="D10" s="619" t="s">
        <v>615</v>
      </c>
      <c r="E10" s="620">
        <v>13</v>
      </c>
      <c r="F10" s="621" t="s">
        <v>777</v>
      </c>
      <c r="G10" s="618">
        <v>13</v>
      </c>
      <c r="H10" s="619" t="s">
        <v>615</v>
      </c>
      <c r="I10" s="620">
        <v>6</v>
      </c>
      <c r="J10" s="621" t="str">
        <f>B17</f>
        <v>Henri Mitt, Johannes Neiland, Lemmit Toomra</v>
      </c>
      <c r="K10" s="618">
        <v>13</v>
      </c>
      <c r="L10" s="619" t="s">
        <v>615</v>
      </c>
      <c r="M10" s="620">
        <v>0</v>
      </c>
      <c r="N10" s="621" t="str">
        <f>B18</f>
        <v>Jaan Sepp, Mait Metsla, Oskar Sepp</v>
      </c>
      <c r="O10" s="618">
        <v>13</v>
      </c>
      <c r="P10" s="619" t="s">
        <v>615</v>
      </c>
      <c r="Q10" s="620">
        <v>12</v>
      </c>
      <c r="R10" s="621" t="str">
        <f>B13</f>
        <v>Alar Sinimäe, Kevin Sten Liik, Silver Kingissepp</v>
      </c>
      <c r="S10" s="618"/>
      <c r="T10" s="619" t="s">
        <v>615</v>
      </c>
      <c r="U10" s="620"/>
      <c r="V10" s="621"/>
      <c r="W10" s="618"/>
      <c r="X10" s="619" t="s">
        <v>615</v>
      </c>
      <c r="Y10" s="620"/>
      <c r="Z10" s="621"/>
      <c r="AA10" s="634">
        <f t="shared" si="0"/>
        <v>6</v>
      </c>
      <c r="AB10" s="635">
        <v>10</v>
      </c>
      <c r="AC10" s="629">
        <f t="shared" si="1"/>
        <v>43</v>
      </c>
      <c r="AD10" s="630" t="s">
        <v>615</v>
      </c>
      <c r="AE10" s="631">
        <f t="shared" si="2"/>
        <v>31</v>
      </c>
      <c r="AF10" s="804">
        <f t="shared" si="3"/>
        <v>12</v>
      </c>
      <c r="AH10" s="672">
        <f t="shared" ca="1" si="4"/>
        <v>1199</v>
      </c>
      <c r="AI10" s="676" t="str">
        <f t="shared" si="5"/>
        <v>Irene Võrklaev</v>
      </c>
      <c r="AJ10" s="675">
        <f ca="1">IFERROR(INDEX(Üldreiting!$M:$M,MATCH(AI10,Üldreiting!$H:$H,0)),"")</f>
        <v>248</v>
      </c>
      <c r="AK10" s="676" t="str">
        <f t="shared" si="6"/>
        <v>Marta Ruus</v>
      </c>
      <c r="AL10" s="675">
        <f ca="1">IFERROR(INDEX(Üldreiting!$M:$M,MATCH(AK10,Üldreiting!$H:$H,0)),"")</f>
        <v>371</v>
      </c>
      <c r="AM10" s="676" t="str">
        <f t="shared" si="7"/>
        <v>Valmar Pantšenko</v>
      </c>
      <c r="AN10" s="675">
        <f ca="1">IFERROR(INDEX(Üldreiting!$M:$M,MATCH(AM10,Üldreiting!$H:$H,0)),"")</f>
        <v>580</v>
      </c>
      <c r="AO10" s="674" t="str">
        <f t="shared" si="8"/>
        <v/>
      </c>
      <c r="AP10" s="675" t="str">
        <f>IFERROR(INDEX(Üldreiting!$M:$M,MATCH(AO10,Üldreiting!$H:$H,0)),"")</f>
        <v/>
      </c>
      <c r="AQ10" s="676" t="str">
        <f t="shared" si="9"/>
        <v/>
      </c>
      <c r="AR10" s="675" t="str">
        <f>IFERROR(INDEX(Üldreiting!$M:$M,MATCH(AQ10,Üldreiting!$H:$H,0)),"")</f>
        <v/>
      </c>
    </row>
    <row r="11" spans="1:44" x14ac:dyDescent="0.2">
      <c r="A11" s="616">
        <v>5</v>
      </c>
      <c r="B11" s="617" t="s">
        <v>777</v>
      </c>
      <c r="C11" s="618">
        <v>13</v>
      </c>
      <c r="D11" s="619" t="s">
        <v>615</v>
      </c>
      <c r="E11" s="620">
        <v>4</v>
      </c>
      <c r="F11" s="621" t="str">
        <f>B10</f>
        <v>Aivar Sein, Maive Sein, Varje Reede</v>
      </c>
      <c r="G11" s="618">
        <v>12</v>
      </c>
      <c r="H11" s="619" t="s">
        <v>615</v>
      </c>
      <c r="I11" s="620">
        <v>13</v>
      </c>
      <c r="J11" s="621" t="str">
        <f>B7</f>
        <v>Kadri Arunurm, Kalju Olmre, Marge Mägi</v>
      </c>
      <c r="K11" s="618">
        <v>7</v>
      </c>
      <c r="L11" s="619" t="s">
        <v>615</v>
      </c>
      <c r="M11" s="620">
        <v>13</v>
      </c>
      <c r="N11" s="621" t="str">
        <f>B9</f>
        <v>Egert Kingissepp, Katrin Tiido, Mare Kingissepp</v>
      </c>
      <c r="O11" s="618">
        <v>13</v>
      </c>
      <c r="P11" s="619" t="s">
        <v>615</v>
      </c>
      <c r="Q11" s="620">
        <v>12</v>
      </c>
      <c r="R11" s="621" t="str">
        <f>B15</f>
        <v>Andres Veski, Kenneth Muusikus, Svetlana Veski</v>
      </c>
      <c r="S11" s="618"/>
      <c r="T11" s="619" t="s">
        <v>615</v>
      </c>
      <c r="U11" s="620"/>
      <c r="V11" s="621"/>
      <c r="W11" s="618"/>
      <c r="X11" s="619" t="s">
        <v>615</v>
      </c>
      <c r="Y11" s="620"/>
      <c r="Z11" s="621"/>
      <c r="AA11" s="636">
        <f t="shared" si="0"/>
        <v>4</v>
      </c>
      <c r="AB11" s="637">
        <v>22</v>
      </c>
      <c r="AC11" s="629">
        <f t="shared" si="1"/>
        <v>45</v>
      </c>
      <c r="AD11" s="630" t="s">
        <v>615</v>
      </c>
      <c r="AE11" s="631">
        <f t="shared" si="2"/>
        <v>42</v>
      </c>
      <c r="AF11" s="804">
        <f t="shared" si="3"/>
        <v>3</v>
      </c>
      <c r="AH11" s="672">
        <f t="shared" ca="1" si="4"/>
        <v>1854</v>
      </c>
      <c r="AI11" s="676" t="str">
        <f t="shared" si="5"/>
        <v>Kadri Arunurm</v>
      </c>
      <c r="AJ11" s="675">
        <f ca="1">IFERROR(INDEX(Üldreiting!$M:$M,MATCH(AI11,Üldreiting!$H:$H,0)),"")</f>
        <v>509</v>
      </c>
      <c r="AK11" s="676" t="str">
        <f t="shared" si="6"/>
        <v>Kalju Olmre</v>
      </c>
      <c r="AL11" s="675">
        <f ca="1">IFERROR(INDEX(Üldreiting!$M:$M,MATCH(AK11,Üldreiting!$H:$H,0)),"")</f>
        <v>600</v>
      </c>
      <c r="AM11" s="676" t="str">
        <f t="shared" si="7"/>
        <v>Marge Mägi</v>
      </c>
      <c r="AN11" s="675">
        <f ca="1">IFERROR(INDEX(Üldreiting!$M:$M,MATCH(AM11,Üldreiting!$H:$H,0)),"")</f>
        <v>745</v>
      </c>
      <c r="AO11" s="674" t="str">
        <f t="shared" si="8"/>
        <v/>
      </c>
      <c r="AP11" s="675" t="str">
        <f>IFERROR(INDEX(Üldreiting!$M:$M,MATCH(AO11,Üldreiting!$H:$H,0)),"")</f>
        <v/>
      </c>
      <c r="AQ11" s="676" t="str">
        <f t="shared" si="9"/>
        <v/>
      </c>
      <c r="AR11" s="675" t="str">
        <f>IFERROR(INDEX(Üldreiting!$M:$M,MATCH(AQ11,Üldreiting!$H:$H,0)),"")</f>
        <v/>
      </c>
    </row>
    <row r="12" spans="1:44" x14ac:dyDescent="0.2">
      <c r="A12" s="616">
        <v>6</v>
      </c>
      <c r="B12" s="617" t="s">
        <v>778</v>
      </c>
      <c r="C12" s="618">
        <v>3</v>
      </c>
      <c r="D12" s="619" t="s">
        <v>615</v>
      </c>
      <c r="E12" s="620">
        <v>13</v>
      </c>
      <c r="F12" s="621" t="str">
        <f>B7</f>
        <v>Kadri Arunurm, Kalju Olmre, Marge Mägi</v>
      </c>
      <c r="G12" s="618">
        <v>13</v>
      </c>
      <c r="H12" s="619" t="s">
        <v>615</v>
      </c>
      <c r="I12" s="620">
        <v>5</v>
      </c>
      <c r="J12" s="621" t="str">
        <f>B14</f>
        <v>Irene Võrklaev, Marta Ruus, Valmar Pantšenko</v>
      </c>
      <c r="K12" s="618">
        <v>13</v>
      </c>
      <c r="L12" s="619" t="s">
        <v>615</v>
      </c>
      <c r="M12" s="620">
        <v>10</v>
      </c>
      <c r="N12" s="621" t="str">
        <f>B15</f>
        <v>Andres Veski, Kenneth Muusikus, Svetlana Veski</v>
      </c>
      <c r="O12" s="618">
        <v>7</v>
      </c>
      <c r="P12" s="619" t="s">
        <v>615</v>
      </c>
      <c r="Q12" s="620">
        <v>13</v>
      </c>
      <c r="R12" s="621" t="str">
        <f>B8</f>
        <v>Janek Kiisk, Kadri Veljend, Ruudi Väärtnõu</v>
      </c>
      <c r="S12" s="618"/>
      <c r="T12" s="619" t="s">
        <v>615</v>
      </c>
      <c r="U12" s="620"/>
      <c r="V12" s="621"/>
      <c r="W12" s="618"/>
      <c r="X12" s="619" t="s">
        <v>615</v>
      </c>
      <c r="Y12" s="620"/>
      <c r="Z12" s="621"/>
      <c r="AA12" s="636">
        <f t="shared" si="0"/>
        <v>4</v>
      </c>
      <c r="AB12" s="637">
        <v>20</v>
      </c>
      <c r="AC12" s="629">
        <f t="shared" si="1"/>
        <v>36</v>
      </c>
      <c r="AD12" s="630" t="s">
        <v>615</v>
      </c>
      <c r="AE12" s="631">
        <f t="shared" si="2"/>
        <v>41</v>
      </c>
      <c r="AF12" s="804">
        <f t="shared" si="3"/>
        <v>-5</v>
      </c>
      <c r="AH12" s="672">
        <f t="shared" ca="1" si="4"/>
        <v>1191</v>
      </c>
      <c r="AI12" s="676" t="str">
        <f t="shared" si="5"/>
        <v>Egert Kingissepp</v>
      </c>
      <c r="AJ12" s="675">
        <f ca="1">IFERROR(INDEX(Üldreiting!$M:$M,MATCH(AI12,Üldreiting!$H:$H,0)),"")</f>
        <v>386</v>
      </c>
      <c r="AK12" s="676" t="str">
        <f t="shared" si="6"/>
        <v>Katrin Tiido</v>
      </c>
      <c r="AL12" s="675">
        <f ca="1">IFERROR(INDEX(Üldreiting!$M:$M,MATCH(AK12,Üldreiting!$H:$H,0)),"")</f>
        <v>79</v>
      </c>
      <c r="AM12" s="676" t="str">
        <f t="shared" si="7"/>
        <v>Mare Kingissepp</v>
      </c>
      <c r="AN12" s="675">
        <f ca="1">IFERROR(INDEX(Üldreiting!$M:$M,MATCH(AM12,Üldreiting!$H:$H,0)),"")</f>
        <v>726</v>
      </c>
      <c r="AO12" s="674" t="str">
        <f t="shared" si="8"/>
        <v/>
      </c>
      <c r="AP12" s="675" t="str">
        <f>IFERROR(INDEX(Üldreiting!$M:$M,MATCH(AO12,Üldreiting!$H:$H,0)),"")</f>
        <v/>
      </c>
      <c r="AQ12" s="676" t="str">
        <f t="shared" si="9"/>
        <v/>
      </c>
      <c r="AR12" s="675" t="str">
        <f>IFERROR(INDEX(Üldreiting!$M:$M,MATCH(AQ12,Üldreiting!$H:$H,0)),"")</f>
        <v/>
      </c>
    </row>
    <row r="13" spans="1:44" x14ac:dyDescent="0.2">
      <c r="A13" s="616">
        <v>7</v>
      </c>
      <c r="B13" s="617" t="s">
        <v>779</v>
      </c>
      <c r="C13" s="618">
        <v>7</v>
      </c>
      <c r="D13" s="619" t="s">
        <v>615</v>
      </c>
      <c r="E13" s="620">
        <v>13</v>
      </c>
      <c r="F13" s="621" t="str">
        <f>B8</f>
        <v>Janek Kiisk, Kadri Veljend, Ruudi Väärtnõu</v>
      </c>
      <c r="G13" s="618">
        <v>13</v>
      </c>
      <c r="H13" s="619" t="s">
        <v>615</v>
      </c>
      <c r="I13" s="620">
        <v>3</v>
      </c>
      <c r="J13" s="621" t="str">
        <f>B18</f>
        <v>Jaan Sepp, Mait Metsla, Oskar Sepp</v>
      </c>
      <c r="K13" s="618">
        <v>13</v>
      </c>
      <c r="L13" s="619" t="s">
        <v>615</v>
      </c>
      <c r="M13" s="620">
        <v>5</v>
      </c>
      <c r="N13" s="621" t="str">
        <f>B16</f>
        <v>Marek Lehis, Margo Peebo, Margus Strööm</v>
      </c>
      <c r="O13" s="618">
        <v>12</v>
      </c>
      <c r="P13" s="619" t="s">
        <v>615</v>
      </c>
      <c r="Q13" s="620">
        <v>13</v>
      </c>
      <c r="R13" s="621" t="str">
        <f>B10</f>
        <v>Aivar Sein, Maive Sein, Varje Reede</v>
      </c>
      <c r="S13" s="618"/>
      <c r="T13" s="619" t="s">
        <v>615</v>
      </c>
      <c r="U13" s="620"/>
      <c r="V13" s="621"/>
      <c r="W13" s="618"/>
      <c r="X13" s="619" t="s">
        <v>615</v>
      </c>
      <c r="Y13" s="620"/>
      <c r="Z13" s="621"/>
      <c r="AA13" s="636">
        <f t="shared" si="0"/>
        <v>4</v>
      </c>
      <c r="AB13" s="637">
        <v>14</v>
      </c>
      <c r="AC13" s="629">
        <f t="shared" si="1"/>
        <v>45</v>
      </c>
      <c r="AD13" s="630" t="s">
        <v>615</v>
      </c>
      <c r="AE13" s="631">
        <f t="shared" si="2"/>
        <v>34</v>
      </c>
      <c r="AF13" s="804">
        <f t="shared" si="3"/>
        <v>11</v>
      </c>
      <c r="AH13" s="672">
        <f t="shared" ca="1" si="4"/>
        <v>2443</v>
      </c>
      <c r="AI13" s="676" t="str">
        <f t="shared" si="5"/>
        <v>Aigi Orro</v>
      </c>
      <c r="AJ13" s="675">
        <f ca="1">IFERROR(INDEX(Üldreiting!$M:$M,MATCH(AI13,Üldreiting!$H:$H,0)),"")</f>
        <v>918.5</v>
      </c>
      <c r="AK13" s="676" t="str">
        <f t="shared" si="6"/>
        <v>Elmo Lageda</v>
      </c>
      <c r="AL13" s="675">
        <f ca="1">IFERROR(INDEX(Üldreiting!$M:$M,MATCH(AK13,Üldreiting!$H:$H,0)),"")</f>
        <v>606</v>
      </c>
      <c r="AM13" s="676" t="str">
        <f t="shared" si="7"/>
        <v>Kalle Orro</v>
      </c>
      <c r="AN13" s="675">
        <f ca="1">IFERROR(INDEX(Üldreiting!$M:$M,MATCH(AM13,Üldreiting!$H:$H,0)),"")</f>
        <v>918.5</v>
      </c>
      <c r="AO13" s="674" t="str">
        <f t="shared" si="8"/>
        <v/>
      </c>
      <c r="AP13" s="675" t="str">
        <f>IFERROR(INDEX(Üldreiting!$M:$M,MATCH(AO13,Üldreiting!$H:$H,0)),"")</f>
        <v/>
      </c>
      <c r="AQ13" s="676" t="str">
        <f t="shared" si="9"/>
        <v/>
      </c>
      <c r="AR13" s="675" t="str">
        <f>IFERROR(INDEX(Üldreiting!$M:$M,MATCH(AQ13,Üldreiting!$H:$H,0)),"")</f>
        <v/>
      </c>
    </row>
    <row r="14" spans="1:44" x14ac:dyDescent="0.2">
      <c r="A14" s="616">
        <v>8</v>
      </c>
      <c r="B14" s="617" t="s">
        <v>780</v>
      </c>
      <c r="C14" s="618">
        <v>4</v>
      </c>
      <c r="D14" s="619" t="s">
        <v>615</v>
      </c>
      <c r="E14" s="620">
        <v>13</v>
      </c>
      <c r="F14" s="621" t="str">
        <f>B16</f>
        <v>Marek Lehis, Margo Peebo, Margus Strööm</v>
      </c>
      <c r="G14" s="618">
        <v>5</v>
      </c>
      <c r="H14" s="619" t="s">
        <v>615</v>
      </c>
      <c r="I14" s="620">
        <v>13</v>
      </c>
      <c r="J14" s="621" t="str">
        <f>B12</f>
        <v>Kertu Palm, Marek Kolk, Urmo Auväärt</v>
      </c>
      <c r="K14" s="618">
        <v>13</v>
      </c>
      <c r="L14" s="619" t="s">
        <v>615</v>
      </c>
      <c r="M14" s="620">
        <v>10</v>
      </c>
      <c r="N14" s="621" t="str">
        <f>B17</f>
        <v>Henri Mitt, Johannes Neiland, Lemmit Toomra</v>
      </c>
      <c r="O14" s="618">
        <v>11</v>
      </c>
      <c r="P14" s="619" t="s">
        <v>615</v>
      </c>
      <c r="Q14" s="620">
        <v>9</v>
      </c>
      <c r="R14" s="621" t="str">
        <f>B18</f>
        <v>Jaan Sepp, Mait Metsla, Oskar Sepp</v>
      </c>
      <c r="S14" s="618"/>
      <c r="T14" s="619" t="s">
        <v>615</v>
      </c>
      <c r="U14" s="620"/>
      <c r="V14" s="621"/>
      <c r="W14" s="618"/>
      <c r="X14" s="619" t="s">
        <v>615</v>
      </c>
      <c r="Y14" s="620"/>
      <c r="Z14" s="621"/>
      <c r="AA14" s="636">
        <f t="shared" si="0"/>
        <v>4</v>
      </c>
      <c r="AB14" s="637">
        <v>8</v>
      </c>
      <c r="AC14" s="629">
        <f t="shared" si="1"/>
        <v>33</v>
      </c>
      <c r="AD14" s="630" t="s">
        <v>615</v>
      </c>
      <c r="AE14" s="631">
        <f t="shared" si="2"/>
        <v>45</v>
      </c>
      <c r="AF14" s="804">
        <f t="shared" si="3"/>
        <v>-12</v>
      </c>
      <c r="AH14" s="672">
        <f t="shared" ca="1" si="4"/>
        <v>1690</v>
      </c>
      <c r="AI14" s="676" t="str">
        <f t="shared" si="5"/>
        <v>Alar Sinimäe</v>
      </c>
      <c r="AJ14" s="675">
        <f ca="1">IFERROR(INDEX(Üldreiting!$M:$M,MATCH(AI14,Üldreiting!$H:$H,0)),"")</f>
        <v>149</v>
      </c>
      <c r="AK14" s="676" t="str">
        <f t="shared" si="6"/>
        <v>Kevin Sten Liik</v>
      </c>
      <c r="AL14" s="675">
        <f ca="1">IFERROR(INDEX(Üldreiting!$M:$M,MATCH(AK14,Üldreiting!$H:$H,0)),"")</f>
        <v>715</v>
      </c>
      <c r="AM14" s="676" t="str">
        <f t="shared" si="7"/>
        <v>Silver Kingissepp</v>
      </c>
      <c r="AN14" s="675">
        <f ca="1">IFERROR(INDEX(Üldreiting!$M:$M,MATCH(AM14,Üldreiting!$H:$H,0)),"")</f>
        <v>826</v>
      </c>
      <c r="AO14" s="674" t="str">
        <f t="shared" si="8"/>
        <v/>
      </c>
      <c r="AP14" s="675" t="str">
        <f>IFERROR(INDEX(Üldreiting!$M:$M,MATCH(AO14,Üldreiting!$H:$H,0)),"")</f>
        <v/>
      </c>
      <c r="AQ14" s="676" t="str">
        <f t="shared" si="9"/>
        <v/>
      </c>
      <c r="AR14" s="675" t="str">
        <f>IFERROR(INDEX(Üldreiting!$M:$M,MATCH(AQ14,Üldreiting!$H:$H,0)),"")</f>
        <v/>
      </c>
    </row>
    <row r="15" spans="1:44" x14ac:dyDescent="0.2">
      <c r="A15" s="616">
        <v>9</v>
      </c>
      <c r="B15" s="617" t="s">
        <v>781</v>
      </c>
      <c r="C15" s="618">
        <v>13</v>
      </c>
      <c r="D15" s="619" t="s">
        <v>615</v>
      </c>
      <c r="E15" s="620">
        <v>7</v>
      </c>
      <c r="F15" s="621" t="str">
        <f>B17</f>
        <v>Henri Mitt, Johannes Neiland, Lemmit Toomra</v>
      </c>
      <c r="G15" s="618">
        <v>5</v>
      </c>
      <c r="H15" s="619" t="s">
        <v>615</v>
      </c>
      <c r="I15" s="620">
        <v>13</v>
      </c>
      <c r="J15" s="621" t="str">
        <f>B9</f>
        <v>Egert Kingissepp, Katrin Tiido, Mare Kingissepp</v>
      </c>
      <c r="K15" s="618">
        <v>10</v>
      </c>
      <c r="L15" s="619" t="s">
        <v>615</v>
      </c>
      <c r="M15" s="620">
        <v>13</v>
      </c>
      <c r="N15" s="621" t="str">
        <f>B12</f>
        <v>Kertu Palm, Marek Kolk, Urmo Auväärt</v>
      </c>
      <c r="O15" s="618">
        <v>12</v>
      </c>
      <c r="P15" s="619" t="s">
        <v>615</v>
      </c>
      <c r="Q15" s="620">
        <v>13</v>
      </c>
      <c r="R15" s="621" t="str">
        <f>B11</f>
        <v>Aigi Orro, Elmo Lageda, Kalle Orro</v>
      </c>
      <c r="S15" s="618"/>
      <c r="T15" s="619" t="s">
        <v>615</v>
      </c>
      <c r="U15" s="620"/>
      <c r="V15" s="621"/>
      <c r="W15" s="618"/>
      <c r="X15" s="619" t="s">
        <v>615</v>
      </c>
      <c r="Y15" s="620"/>
      <c r="Z15" s="621"/>
      <c r="AA15" s="634">
        <f t="shared" si="0"/>
        <v>2</v>
      </c>
      <c r="AB15" s="635">
        <v>16</v>
      </c>
      <c r="AC15" s="800">
        <f t="shared" si="1"/>
        <v>40</v>
      </c>
      <c r="AD15" s="801" t="s">
        <v>615</v>
      </c>
      <c r="AE15" s="802">
        <f t="shared" si="2"/>
        <v>46</v>
      </c>
      <c r="AF15" s="806">
        <f t="shared" si="3"/>
        <v>-6</v>
      </c>
      <c r="AH15" s="672">
        <f t="shared" ca="1" si="4"/>
        <v>1129</v>
      </c>
      <c r="AI15" s="676" t="str">
        <f t="shared" si="5"/>
        <v>Jaan Sepp</v>
      </c>
      <c r="AJ15" s="675">
        <f ca="1">IFERROR(INDEX(Üldreiting!$M:$M,MATCH(AI15,Üldreiting!$H:$H,0)),"")</f>
        <v>386</v>
      </c>
      <c r="AK15" s="676" t="str">
        <f t="shared" si="6"/>
        <v>Mait Metsla</v>
      </c>
      <c r="AL15" s="675">
        <f ca="1">IFERROR(INDEX(Üldreiting!$M:$M,MATCH(AK15,Üldreiting!$H:$H,0)),"")</f>
        <v>502</v>
      </c>
      <c r="AM15" s="676" t="str">
        <f t="shared" si="7"/>
        <v>Oskar Sepp</v>
      </c>
      <c r="AN15" s="675">
        <f ca="1">IFERROR(INDEX(Üldreiting!$M:$M,MATCH(AM15,Üldreiting!$H:$H,0)),"")</f>
        <v>241</v>
      </c>
      <c r="AO15" s="674" t="str">
        <f t="shared" si="8"/>
        <v/>
      </c>
      <c r="AP15" s="675" t="str">
        <f>IFERROR(INDEX(Üldreiting!$M:$M,MATCH(AO15,Üldreiting!$H:$H,0)),"")</f>
        <v/>
      </c>
      <c r="AQ15" s="676" t="str">
        <f t="shared" si="9"/>
        <v/>
      </c>
      <c r="AR15" s="675" t="str">
        <f>IFERROR(INDEX(Üldreiting!$M:$M,MATCH(AQ15,Üldreiting!$H:$H,0)),"")</f>
        <v/>
      </c>
    </row>
    <row r="16" spans="1:44" x14ac:dyDescent="0.2">
      <c r="A16" s="616">
        <v>10</v>
      </c>
      <c r="B16" s="617" t="s">
        <v>551</v>
      </c>
      <c r="C16" s="618">
        <v>13</v>
      </c>
      <c r="D16" s="619" t="s">
        <v>615</v>
      </c>
      <c r="E16" s="620">
        <v>4</v>
      </c>
      <c r="F16" s="621" t="str">
        <f>B14</f>
        <v>Irene Võrklaev, Marta Ruus, Valmar Pantšenko</v>
      </c>
      <c r="G16" s="618">
        <v>6</v>
      </c>
      <c r="H16" s="619" t="s">
        <v>615</v>
      </c>
      <c r="I16" s="620">
        <v>13</v>
      </c>
      <c r="J16" s="621" t="str">
        <f>B8</f>
        <v>Janek Kiisk, Kadri Veljend, Ruudi Väärtnõu</v>
      </c>
      <c r="K16" s="618">
        <v>5</v>
      </c>
      <c r="L16" s="619" t="s">
        <v>615</v>
      </c>
      <c r="M16" s="620">
        <v>13</v>
      </c>
      <c r="N16" s="621" t="str">
        <f>B13</f>
        <v>Alar Sinimäe, Kevin Sten Liik, Silver Kingissepp</v>
      </c>
      <c r="O16" s="618">
        <v>2</v>
      </c>
      <c r="P16" s="619" t="s">
        <v>615</v>
      </c>
      <c r="Q16" s="620">
        <v>13</v>
      </c>
      <c r="R16" s="621" t="str">
        <f>B17</f>
        <v>Henri Mitt, Johannes Neiland, Lemmit Toomra</v>
      </c>
      <c r="S16" s="618"/>
      <c r="T16" s="619" t="s">
        <v>615</v>
      </c>
      <c r="U16" s="620"/>
      <c r="V16" s="621"/>
      <c r="W16" s="618"/>
      <c r="X16" s="619" t="s">
        <v>615</v>
      </c>
      <c r="Y16" s="620"/>
      <c r="Z16" s="621"/>
      <c r="AA16" s="634">
        <f t="shared" si="0"/>
        <v>2</v>
      </c>
      <c r="AB16" s="635">
        <v>16</v>
      </c>
      <c r="AC16" s="800">
        <f t="shared" si="1"/>
        <v>26</v>
      </c>
      <c r="AD16" s="801" t="s">
        <v>615</v>
      </c>
      <c r="AE16" s="802">
        <f t="shared" si="2"/>
        <v>43</v>
      </c>
      <c r="AF16" s="806">
        <f t="shared" si="3"/>
        <v>-17</v>
      </c>
      <c r="AH16" s="672">
        <f t="shared" ca="1" si="4"/>
        <v>1051.5</v>
      </c>
      <c r="AI16" s="676" t="str">
        <f t="shared" si="5"/>
        <v>Marek Lehis</v>
      </c>
      <c r="AJ16" s="675">
        <f ca="1">IFERROR(INDEX(Üldreiting!$M:$M,MATCH(AI16,Üldreiting!$H:$H,0)),"")</f>
        <v>332.5</v>
      </c>
      <c r="AK16" s="676" t="str">
        <f t="shared" si="6"/>
        <v>Margo Peebo</v>
      </c>
      <c r="AL16" s="675">
        <f ca="1">IFERROR(INDEX(Üldreiting!$M:$M,MATCH(AK16,Üldreiting!$H:$H,0)),"")</f>
        <v>658</v>
      </c>
      <c r="AM16" s="676" t="str">
        <f t="shared" si="7"/>
        <v>Margus Strööm</v>
      </c>
      <c r="AN16" s="675">
        <f ca="1">IFERROR(INDEX(Üldreiting!$M:$M,MATCH(AM16,Üldreiting!$H:$H,0)),"")</f>
        <v>61</v>
      </c>
      <c r="AO16" s="674" t="str">
        <f t="shared" si="8"/>
        <v/>
      </c>
      <c r="AP16" s="675" t="str">
        <f>IFERROR(INDEX(Üldreiting!$M:$M,MATCH(AO16,Üldreiting!$H:$H,0)),"")</f>
        <v/>
      </c>
      <c r="AQ16" s="676" t="str">
        <f t="shared" si="9"/>
        <v/>
      </c>
      <c r="AR16" s="675" t="str">
        <f>IFERROR(INDEX(Üldreiting!$M:$M,MATCH(AQ16,Üldreiting!$H:$H,0)),"")</f>
        <v/>
      </c>
    </row>
    <row r="17" spans="1:46" x14ac:dyDescent="0.2">
      <c r="A17" s="616">
        <v>11</v>
      </c>
      <c r="B17" s="234" t="s">
        <v>782</v>
      </c>
      <c r="C17" s="618">
        <v>7</v>
      </c>
      <c r="D17" s="619" t="s">
        <v>615</v>
      </c>
      <c r="E17" s="620">
        <v>13</v>
      </c>
      <c r="F17" s="621" t="str">
        <f>B15</f>
        <v>Andres Veski, Kenneth Muusikus, Svetlana Veski</v>
      </c>
      <c r="G17" s="618">
        <v>6</v>
      </c>
      <c r="H17" s="619" t="s">
        <v>615</v>
      </c>
      <c r="I17" s="620">
        <v>13</v>
      </c>
      <c r="J17" s="621" t="str">
        <f>B10</f>
        <v>Aivar Sein, Maive Sein, Varje Reede</v>
      </c>
      <c r="K17" s="618">
        <v>10</v>
      </c>
      <c r="L17" s="619" t="s">
        <v>615</v>
      </c>
      <c r="M17" s="620">
        <v>13</v>
      </c>
      <c r="N17" s="621" t="str">
        <f>B14</f>
        <v>Irene Võrklaev, Marta Ruus, Valmar Pantšenko</v>
      </c>
      <c r="O17" s="618">
        <v>13</v>
      </c>
      <c r="P17" s="619" t="s">
        <v>615</v>
      </c>
      <c r="Q17" s="620">
        <v>2</v>
      </c>
      <c r="R17" s="621" t="str">
        <f>B16</f>
        <v>Marek Lehis, Margo Peebo, Margus Strööm</v>
      </c>
      <c r="S17" s="618"/>
      <c r="T17" s="619" t="s">
        <v>615</v>
      </c>
      <c r="U17" s="620"/>
      <c r="V17" s="621"/>
      <c r="W17" s="618"/>
      <c r="X17" s="619" t="s">
        <v>615</v>
      </c>
      <c r="Y17" s="620"/>
      <c r="Z17" s="621"/>
      <c r="AA17" s="634">
        <f t="shared" si="0"/>
        <v>2</v>
      </c>
      <c r="AB17" s="635">
        <v>14</v>
      </c>
      <c r="AC17" s="629">
        <f t="shared" si="1"/>
        <v>36</v>
      </c>
      <c r="AD17" s="630" t="s">
        <v>615</v>
      </c>
      <c r="AE17" s="631">
        <f t="shared" si="2"/>
        <v>41</v>
      </c>
      <c r="AF17" s="804">
        <f t="shared" si="3"/>
        <v>-5</v>
      </c>
      <c r="AH17" s="672">
        <f t="shared" ca="1" si="4"/>
        <v>729</v>
      </c>
      <c r="AI17" s="676" t="str">
        <f t="shared" si="5"/>
        <v>Henri Mitt</v>
      </c>
      <c r="AJ17" s="675">
        <f ca="1">IFERROR(INDEX(Üldreiting!$M:$M,MATCH(AI17,Üldreiting!$H:$H,0)),"")</f>
        <v>227</v>
      </c>
      <c r="AK17" s="676" t="str">
        <f t="shared" si="6"/>
        <v>Johannes Neiland</v>
      </c>
      <c r="AL17" s="675">
        <f ca="1">IFERROR(INDEX(Üldreiting!$M:$M,MATCH(AK17,Üldreiting!$H:$H,0)),"")</f>
        <v>397</v>
      </c>
      <c r="AM17" s="676" t="str">
        <f t="shared" si="7"/>
        <v>Lemmit Toomra</v>
      </c>
      <c r="AN17" s="675">
        <f ca="1">IFERROR(INDEX(Üldreiting!$M:$M,MATCH(AM17,Üldreiting!$H:$H,0)),"")</f>
        <v>105</v>
      </c>
      <c r="AO17" s="674" t="str">
        <f t="shared" si="8"/>
        <v/>
      </c>
      <c r="AP17" s="675" t="str">
        <f>IFERROR(INDEX(Üldreiting!$M:$M,MATCH(AO17,Üldreiting!$H:$H,0)),"")</f>
        <v/>
      </c>
      <c r="AQ17" s="676" t="str">
        <f t="shared" si="9"/>
        <v/>
      </c>
      <c r="AR17" s="675" t="str">
        <f>IFERROR(INDEX(Üldreiting!$M:$M,MATCH(AQ17,Üldreiting!$H:$H,0)),"")</f>
        <v/>
      </c>
    </row>
    <row r="18" spans="1:46" x14ac:dyDescent="0.2">
      <c r="A18" s="616">
        <v>12</v>
      </c>
      <c r="B18" s="52" t="s">
        <v>783</v>
      </c>
      <c r="C18" s="618">
        <v>9</v>
      </c>
      <c r="D18" s="619" t="s">
        <v>615</v>
      </c>
      <c r="E18" s="620">
        <v>13</v>
      </c>
      <c r="F18" s="621" t="str">
        <f>B9</f>
        <v>Egert Kingissepp, Katrin Tiido, Mare Kingissepp</v>
      </c>
      <c r="G18" s="618">
        <v>3</v>
      </c>
      <c r="H18" s="619" t="s">
        <v>615</v>
      </c>
      <c r="I18" s="620">
        <v>13</v>
      </c>
      <c r="J18" s="621" t="str">
        <f>B13</f>
        <v>Alar Sinimäe, Kevin Sten Liik, Silver Kingissepp</v>
      </c>
      <c r="K18" s="618">
        <v>0</v>
      </c>
      <c r="L18" s="619" t="s">
        <v>615</v>
      </c>
      <c r="M18" s="620">
        <v>13</v>
      </c>
      <c r="N18" s="621" t="str">
        <f>B10</f>
        <v>Aivar Sein, Maive Sein, Varje Reede</v>
      </c>
      <c r="O18" s="618">
        <v>9</v>
      </c>
      <c r="P18" s="619" t="s">
        <v>615</v>
      </c>
      <c r="Q18" s="620">
        <v>11</v>
      </c>
      <c r="R18" s="621" t="str">
        <f>B14</f>
        <v>Irene Võrklaev, Marta Ruus, Valmar Pantšenko</v>
      </c>
      <c r="S18" s="618"/>
      <c r="T18" s="619" t="s">
        <v>615</v>
      </c>
      <c r="U18" s="620"/>
      <c r="V18" s="621"/>
      <c r="W18" s="618"/>
      <c r="X18" s="619" t="s">
        <v>615</v>
      </c>
      <c r="Y18" s="620"/>
      <c r="Z18" s="621"/>
      <c r="AA18" s="622">
        <f t="shared" si="0"/>
        <v>0</v>
      </c>
      <c r="AB18" s="626">
        <v>20</v>
      </c>
      <c r="AC18" s="629">
        <f t="shared" si="1"/>
        <v>21</v>
      </c>
      <c r="AD18" s="630" t="s">
        <v>615</v>
      </c>
      <c r="AE18" s="631">
        <f t="shared" si="2"/>
        <v>50</v>
      </c>
      <c r="AF18" s="804">
        <f t="shared" si="3"/>
        <v>-29</v>
      </c>
      <c r="AH18" s="672">
        <f t="shared" ca="1" si="4"/>
        <v>1277</v>
      </c>
      <c r="AI18" s="676" t="str">
        <f t="shared" si="5"/>
        <v>Andres Veski</v>
      </c>
      <c r="AJ18" s="675">
        <f ca="1">IFERROR(INDEX(Üldreiting!$M:$M,MATCH(AI18,Üldreiting!$H:$H,0)),"")</f>
        <v>320.5</v>
      </c>
      <c r="AK18" s="676" t="str">
        <f t="shared" si="6"/>
        <v>Kenneth Muusikus</v>
      </c>
      <c r="AL18" s="675">
        <f ca="1">IFERROR(INDEX(Üldreiting!$M:$M,MATCH(AK18,Üldreiting!$H:$H,0)),"")</f>
        <v>555</v>
      </c>
      <c r="AM18" s="676" t="str">
        <f t="shared" si="7"/>
        <v>Svetlana Veski</v>
      </c>
      <c r="AN18" s="675">
        <f ca="1">IFERROR(INDEX(Üldreiting!$M:$M,MATCH(AM18,Üldreiting!$H:$H,0)),"")</f>
        <v>401.5</v>
      </c>
      <c r="AO18" s="674" t="str">
        <f t="shared" si="8"/>
        <v/>
      </c>
      <c r="AP18" s="675" t="str">
        <f>IFERROR(INDEX(Üldreiting!$M:$M,MATCH(AO18,Üldreiting!$H:$H,0)),"")</f>
        <v/>
      </c>
      <c r="AQ18" s="676" t="str">
        <f t="shared" si="9"/>
        <v/>
      </c>
      <c r="AR18" s="675" t="str">
        <f>IFERROR(INDEX(Üldreiting!$M:$M,MATCH(AQ18,Üldreiting!$H:$H,0)),"")</f>
        <v/>
      </c>
    </row>
    <row r="19" spans="1:46" s="415" customFormat="1" hidden="1" x14ac:dyDescent="0.2">
      <c r="A19" s="606"/>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H19" s="69"/>
      <c r="AI19" s="69"/>
      <c r="AJ19" s="69"/>
      <c r="AK19" s="69"/>
      <c r="AL19" s="69"/>
      <c r="AM19" s="69"/>
      <c r="AN19" s="69"/>
      <c r="AO19" s="69"/>
      <c r="AP19" s="69"/>
      <c r="AQ19" s="69"/>
      <c r="AR19" s="69"/>
      <c r="AS19" s="69"/>
      <c r="AT19" s="69"/>
    </row>
    <row r="20" spans="1:46" s="415" customFormat="1" hidden="1" x14ac:dyDescent="0.2">
      <c r="A20" s="606"/>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H20" s="69"/>
      <c r="AI20" s="69"/>
      <c r="AJ20" s="69"/>
      <c r="AK20" s="69"/>
      <c r="AL20" s="69"/>
      <c r="AM20" s="69"/>
      <c r="AN20" s="69"/>
      <c r="AO20" s="69"/>
      <c r="AP20" s="69"/>
      <c r="AQ20" s="69"/>
      <c r="AR20" s="69"/>
      <c r="AS20" s="69"/>
      <c r="AT20" s="69"/>
    </row>
    <row r="21" spans="1:46" s="415" customFormat="1" hidden="1" x14ac:dyDescent="0.2">
      <c r="A21" s="606"/>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H21" s="69"/>
      <c r="AI21" s="69"/>
      <c r="AJ21" s="69"/>
      <c r="AK21" s="69"/>
      <c r="AL21" s="69"/>
      <c r="AM21" s="69"/>
      <c r="AN21" s="69"/>
      <c r="AO21" s="69"/>
      <c r="AP21" s="69"/>
      <c r="AQ21" s="69"/>
      <c r="AR21" s="69"/>
      <c r="AS21" s="69"/>
      <c r="AT21" s="69"/>
    </row>
    <row r="22" spans="1:46" s="415" customFormat="1" hidden="1" x14ac:dyDescent="0.2">
      <c r="A22" s="606"/>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H22" s="69"/>
      <c r="AI22" s="69"/>
      <c r="AJ22" s="69"/>
      <c r="AK22" s="69"/>
      <c r="AL22" s="69"/>
      <c r="AM22" s="69"/>
      <c r="AN22" s="69"/>
      <c r="AO22" s="69"/>
      <c r="AP22" s="69"/>
      <c r="AQ22" s="69"/>
      <c r="AR22" s="69"/>
      <c r="AS22" s="69"/>
      <c r="AT22" s="69"/>
    </row>
    <row r="23" spans="1:46" s="415" customFormat="1" hidden="1" x14ac:dyDescent="0.2">
      <c r="A23" s="606"/>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H23" s="69"/>
      <c r="AI23" s="69"/>
      <c r="AJ23" s="69"/>
      <c r="AK23" s="69"/>
      <c r="AL23" s="69"/>
      <c r="AM23" s="69"/>
      <c r="AN23" s="69"/>
      <c r="AO23" s="69"/>
      <c r="AP23" s="69"/>
      <c r="AQ23" s="69"/>
      <c r="AR23" s="69"/>
      <c r="AS23" s="69"/>
      <c r="AT23" s="69"/>
    </row>
    <row r="24" spans="1:46" s="415" customFormat="1" hidden="1" x14ac:dyDescent="0.2">
      <c r="A24" s="606"/>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H24" s="69"/>
      <c r="AI24" s="69"/>
      <c r="AJ24" s="69"/>
      <c r="AK24" s="69"/>
      <c r="AL24" s="69"/>
      <c r="AM24" s="69"/>
      <c r="AN24" s="69"/>
      <c r="AO24" s="69"/>
      <c r="AP24" s="69"/>
      <c r="AQ24" s="69"/>
      <c r="AR24" s="69"/>
      <c r="AS24" s="69"/>
      <c r="AT24" s="69"/>
    </row>
    <row r="25" spans="1:46" s="415" customFormat="1" hidden="1" x14ac:dyDescent="0.2">
      <c r="A25" s="606"/>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H25" s="69"/>
      <c r="AI25" s="69"/>
      <c r="AJ25" s="69"/>
      <c r="AK25" s="69"/>
      <c r="AL25" s="69"/>
      <c r="AM25" s="69"/>
      <c r="AN25" s="69"/>
      <c r="AO25" s="69"/>
      <c r="AP25" s="69"/>
      <c r="AQ25" s="69"/>
      <c r="AR25" s="69"/>
      <c r="AS25" s="69"/>
      <c r="AT25" s="69"/>
    </row>
    <row r="26" spans="1:46" s="415" customFormat="1"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H26" s="69"/>
      <c r="AI26" s="69"/>
      <c r="AJ26" s="69"/>
      <c r="AK26" s="69"/>
      <c r="AL26" s="69"/>
      <c r="AM26" s="69"/>
      <c r="AN26" s="69"/>
      <c r="AO26" s="69"/>
      <c r="AP26" s="69"/>
      <c r="AQ26" s="69"/>
      <c r="AR26" s="69"/>
      <c r="AS26" s="69"/>
      <c r="AT26" s="69"/>
    </row>
    <row r="27" spans="1:46"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row>
    <row r="28" spans="1:46"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row>
    <row r="29" spans="1:46"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row>
    <row r="30" spans="1:46"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row>
    <row r="31" spans="1:46"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row>
    <row r="32" spans="1:46"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row>
    <row r="33" spans="1:32" s="69" customFormat="1"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row>
    <row r="34" spans="1:32" s="69" customFormat="1"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row>
    <row r="35" spans="1:32" s="69" customFormat="1"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row>
    <row r="36" spans="1:32" s="69" customFormat="1"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row>
    <row r="37" spans="1:32" s="69" customFormat="1"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row>
    <row r="38" spans="1:32" s="69" customFormat="1"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1:32" s="69" customFormat="1"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row>
    <row r="40" spans="1:32" s="69" customFormat="1"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row>
    <row r="41" spans="1:32" s="69" customFormat="1"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row>
    <row r="42" spans="1:32" s="69" customFormat="1"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row>
    <row r="43" spans="1:32" s="69" customFormat="1"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row>
    <row r="44" spans="1:32" s="69" customFormat="1"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row>
    <row r="45" spans="1:32" s="69" customFormat="1"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row>
    <row r="46" spans="1:32" s="69" customFormat="1"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row>
    <row r="47" spans="1:32" s="69" customFormat="1"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row>
    <row r="48" spans="1:32" s="69" customFormat="1"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row>
    <row r="49" spans="1:32" s="69" customFormat="1"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row>
    <row r="50" spans="1:32" s="69" customFormat="1"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row>
    <row r="51" spans="1:32" s="69" customFormat="1"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row>
    <row r="52" spans="1:32" s="69" customFormat="1"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row>
    <row r="53" spans="1:32" s="69" customFormat="1"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row>
    <row r="54" spans="1:32" s="69" customFormat="1"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row>
    <row r="55" spans="1:32" s="69" customFormat="1"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row>
    <row r="56" spans="1:32" s="69" customFormat="1"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row>
    <row r="57" spans="1:32" s="69" customFormat="1"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s="69" customFormat="1"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row>
    <row r="59" spans="1:32" s="69" customFormat="1"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row>
    <row r="60" spans="1:32" s="69" customFormat="1"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row>
    <row r="61" spans="1:32" s="69" customFormat="1"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row>
    <row r="62" spans="1:32" s="69" customFormat="1"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row>
    <row r="63" spans="1:32" s="69" customFormat="1"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row>
    <row r="64" spans="1:32" s="69" customFormat="1"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row>
    <row r="65" spans="1:32" s="69" customFormat="1"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row>
    <row r="66" spans="1:32" s="69" customFormat="1"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row>
    <row r="67" spans="1:32" s="69" customFormat="1"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row>
    <row r="68" spans="1:32" s="69" customFormat="1"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row>
    <row r="69" spans="1:32" s="69" customFormat="1"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row>
    <row r="70" spans="1:32" s="69" customFormat="1"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row>
    <row r="71" spans="1:32" s="69" customFormat="1"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row>
    <row r="72" spans="1:32" s="69" customFormat="1"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row>
    <row r="73" spans="1:32" s="69" customFormat="1"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row>
    <row r="74" spans="1:32" s="69" customFormat="1"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row>
    <row r="75" spans="1:32" s="69" customFormat="1"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row>
    <row r="76" spans="1:32" s="69" customFormat="1"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row>
    <row r="77" spans="1:32" s="69" customFormat="1"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row>
    <row r="78" spans="1:32" s="69" customFormat="1"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row>
    <row r="79" spans="1:32" s="69" customFormat="1"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row>
    <row r="80" spans="1:32" s="69" customFormat="1"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row>
    <row r="81" spans="1:32" s="69" customFormat="1"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row>
    <row r="82" spans="1:32" s="69" customFormat="1"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row>
    <row r="83" spans="1:32" s="69" customFormat="1"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row>
    <row r="84" spans="1:32" s="69" customFormat="1"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row>
    <row r="85" spans="1:32" s="69" customFormat="1"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row>
    <row r="86" spans="1:32" s="69" customFormat="1"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row>
    <row r="87" spans="1:32" s="69" customFormat="1"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row>
    <row r="88" spans="1:32" s="69" customFormat="1"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row>
    <row r="89" spans="1:32" s="69" customFormat="1"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row>
    <row r="90" spans="1:32" s="69" customFormat="1"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row>
    <row r="91" spans="1:32" s="69" customFormat="1"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row>
    <row r="92" spans="1:32" s="69" customFormat="1"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row>
    <row r="93" spans="1:32" s="69" customFormat="1"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row>
    <row r="94" spans="1:32" s="69" customFormat="1" hidden="1" x14ac:dyDescent="0.2">
      <c r="S94" s="606"/>
      <c r="T94" s="606"/>
      <c r="U94" s="606"/>
      <c r="V94" s="606"/>
      <c r="W94" s="606"/>
      <c r="X94" s="606"/>
      <c r="Y94" s="606"/>
      <c r="Z94" s="606"/>
      <c r="AA94" s="606"/>
    </row>
    <row r="95" spans="1:32" s="69" customFormat="1" hidden="1" x14ac:dyDescent="0.2">
      <c r="S95" s="606"/>
      <c r="T95" s="606"/>
      <c r="U95" s="606"/>
      <c r="V95" s="606"/>
      <c r="W95" s="606"/>
      <c r="X95" s="606"/>
      <c r="Y95" s="606"/>
      <c r="Z95" s="606"/>
      <c r="AA95" s="606"/>
    </row>
    <row r="96" spans="1:32" s="69" customFormat="1" hidden="1" x14ac:dyDescent="0.2">
      <c r="S96" s="606"/>
      <c r="T96" s="606"/>
      <c r="U96" s="606"/>
      <c r="V96" s="606"/>
      <c r="W96" s="606"/>
      <c r="X96" s="606"/>
      <c r="Y96" s="606"/>
      <c r="Z96" s="606"/>
      <c r="AA96" s="606"/>
    </row>
    <row r="97" spans="1:27" s="69" customFormat="1" hidden="1" x14ac:dyDescent="0.2">
      <c r="S97" s="606"/>
      <c r="T97" s="606"/>
      <c r="U97" s="606"/>
      <c r="V97" s="606"/>
      <c r="W97" s="606"/>
      <c r="X97" s="606"/>
      <c r="Y97" s="606"/>
      <c r="Z97" s="606"/>
      <c r="AA97" s="606"/>
    </row>
    <row r="98" spans="1:27" s="69" customFormat="1" hidden="1" x14ac:dyDescent="0.2">
      <c r="S98" s="606"/>
      <c r="T98" s="606"/>
      <c r="U98" s="606"/>
      <c r="V98" s="606"/>
      <c r="W98" s="606"/>
      <c r="X98" s="606"/>
      <c r="Y98" s="606"/>
      <c r="Z98" s="606"/>
      <c r="AA98" s="606"/>
    </row>
    <row r="99" spans="1:27" s="69" customFormat="1" x14ac:dyDescent="0.2">
      <c r="F99" s="606"/>
      <c r="G99" s="606"/>
      <c r="H99" s="606"/>
      <c r="I99" s="606"/>
      <c r="J99" s="606"/>
      <c r="K99" s="606"/>
      <c r="L99" s="606"/>
      <c r="M99" s="606"/>
      <c r="N99" s="606"/>
      <c r="O99" s="606"/>
      <c r="P99" s="606"/>
      <c r="Q99" s="606"/>
      <c r="R99" s="606"/>
      <c r="S99" s="606"/>
      <c r="T99" s="606"/>
      <c r="U99" s="606"/>
      <c r="V99" s="606"/>
      <c r="W99" s="606"/>
      <c r="X99" s="606"/>
      <c r="Y99" s="606"/>
      <c r="Z99" s="606"/>
      <c r="AA99" s="606"/>
    </row>
    <row r="100" spans="1:27" s="69" customFormat="1" x14ac:dyDescent="0.2">
      <c r="A100" s="239" t="s">
        <v>370</v>
      </c>
      <c r="B100" s="49"/>
      <c r="C100" s="203"/>
      <c r="D100" s="203"/>
      <c r="E100" s="204"/>
      <c r="F100" s="205"/>
      <c r="G100" s="74"/>
      <c r="H100" s="130"/>
      <c r="I100" s="70"/>
      <c r="J100" s="130"/>
      <c r="O100" s="606"/>
      <c r="P100" s="606"/>
      <c r="Q100" s="606"/>
      <c r="R100" s="606"/>
      <c r="S100" s="606"/>
      <c r="T100" s="606"/>
      <c r="U100" s="606"/>
      <c r="V100" s="606"/>
      <c r="W100" s="606"/>
      <c r="X100" s="606"/>
      <c r="Y100" s="606"/>
      <c r="Z100" s="606"/>
      <c r="AA100" s="606"/>
    </row>
    <row r="101" spans="1:27" s="69" customFormat="1" x14ac:dyDescent="0.2">
      <c r="A101" s="74"/>
      <c r="B101" s="74"/>
      <c r="C101" s="74"/>
      <c r="D101" s="74"/>
      <c r="E101" s="74"/>
      <c r="F101" s="74"/>
      <c r="G101" s="74"/>
      <c r="H101" s="130"/>
      <c r="I101" s="70"/>
      <c r="J101" s="130"/>
      <c r="O101" s="606"/>
      <c r="P101" s="606"/>
      <c r="Q101" s="606"/>
      <c r="R101" s="606"/>
      <c r="S101" s="606"/>
      <c r="T101" s="606"/>
      <c r="U101" s="606"/>
      <c r="V101" s="606"/>
      <c r="W101" s="606"/>
      <c r="X101" s="606"/>
      <c r="Y101" s="606"/>
      <c r="Z101" s="606"/>
      <c r="AA101" s="606"/>
    </row>
    <row r="102" spans="1:27" s="69" customFormat="1" x14ac:dyDescent="0.2">
      <c r="A102" s="240">
        <v>1</v>
      </c>
      <c r="B102" s="641" t="str">
        <f>IFERROR(INDEX(B$1:B$93,MATCH(A102,A$1:A$93,0)),"")</f>
        <v>Kadri Arunurm, Kalju Olmre, Marge Mägi</v>
      </c>
      <c r="C102" s="74">
        <v>12</v>
      </c>
      <c r="D102" s="74"/>
      <c r="E102" s="74"/>
      <c r="F102" s="74"/>
      <c r="G102" s="74"/>
      <c r="H102" s="130"/>
      <c r="I102" s="70"/>
      <c r="J102" s="130"/>
      <c r="K102" s="262"/>
      <c r="L102" s="262"/>
      <c r="M102" s="262"/>
      <c r="O102" s="606"/>
      <c r="P102" s="606"/>
      <c r="Q102" s="606"/>
      <c r="R102" s="606"/>
      <c r="S102" s="606"/>
      <c r="T102" s="606"/>
      <c r="U102" s="606"/>
      <c r="V102" s="606"/>
      <c r="W102" s="606"/>
      <c r="X102" s="606"/>
      <c r="Y102" s="606"/>
      <c r="Z102" s="606"/>
      <c r="AA102" s="606"/>
    </row>
    <row r="103" spans="1:27" s="69" customFormat="1" x14ac:dyDescent="0.2">
      <c r="A103" s="242"/>
      <c r="B103" s="649"/>
      <c r="C103" s="74" t="str">
        <f>IF(COUNT(C102,C104)=2,IF(C102&gt;C104,B102,B104),"")</f>
        <v>Irene Võrklaev, Marta Ruus, Valmar Pantšenko</v>
      </c>
      <c r="G103" s="419">
        <v>9</v>
      </c>
      <c r="H103" s="74"/>
      <c r="I103" s="74"/>
      <c r="J103" s="74"/>
      <c r="K103" s="74"/>
      <c r="L103" s="70"/>
      <c r="M103" s="130"/>
      <c r="O103" s="606"/>
      <c r="P103" s="606"/>
      <c r="Q103" s="606"/>
      <c r="R103" s="606"/>
      <c r="S103" s="606"/>
      <c r="T103" s="606"/>
      <c r="U103" s="606"/>
      <c r="V103" s="606"/>
      <c r="W103" s="606"/>
      <c r="X103" s="606"/>
      <c r="Y103" s="606"/>
      <c r="Z103" s="606"/>
      <c r="AA103" s="606"/>
    </row>
    <row r="104" spans="1:27" s="69" customFormat="1" x14ac:dyDescent="0.2">
      <c r="A104" s="242">
        <v>8</v>
      </c>
      <c r="B104" s="644" t="str">
        <f>IFERROR(INDEX(B$1:B$93,MATCH(A104,A$1:A$93,0)),"")</f>
        <v>Irene Võrklaev, Marta Ruus, Valmar Pantšenko</v>
      </c>
      <c r="C104" s="646">
        <v>13</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27" s="69" customFormat="1" x14ac:dyDescent="0.2">
      <c r="A105" s="242"/>
      <c r="B105" s="645"/>
      <c r="C105" s="49"/>
      <c r="D105" s="262"/>
      <c r="E105" s="262"/>
      <c r="F105" s="653"/>
      <c r="G105" s="417" t="str">
        <f>IF(COUNT(G103,G107)=2,IF(G103&gt;G107,C103,C107),"")</f>
        <v>Aivar Sein, Maive Sein, Varje Reede</v>
      </c>
      <c r="H105" s="74"/>
      <c r="K105" s="241">
        <v>13</v>
      </c>
      <c r="L105" s="74"/>
      <c r="M105" s="74"/>
      <c r="N105" s="262"/>
      <c r="O105" s="606"/>
      <c r="P105" s="606"/>
      <c r="Q105" s="606"/>
      <c r="R105" s="606"/>
      <c r="S105" s="606"/>
      <c r="T105" s="606"/>
      <c r="U105" s="606"/>
      <c r="V105" s="606"/>
      <c r="W105" s="606"/>
      <c r="X105" s="606"/>
      <c r="Y105" s="606"/>
      <c r="Z105" s="606"/>
      <c r="AA105" s="606"/>
    </row>
    <row r="106" spans="1:27" s="69" customFormat="1" x14ac:dyDescent="0.2">
      <c r="A106" s="242">
        <v>4</v>
      </c>
      <c r="B106" s="641" t="str">
        <f>IFERROR(INDEX(B$1:B$93,MATCH(A106,A$1:A$93,0)),"")</f>
        <v>Aivar Sein, Maive Sein, Varje Reede</v>
      </c>
      <c r="C106" s="74">
        <v>13</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27" s="69" customFormat="1" x14ac:dyDescent="0.2">
      <c r="A107" s="242"/>
      <c r="B107" s="649"/>
      <c r="C107" s="74" t="str">
        <f>IF(COUNT(C106,C108)=2,IF(C106&gt;C108,B106,B108),"")</f>
        <v>Aivar Sein, Maive Sein, Varje Reede</v>
      </c>
      <c r="D107" s="654"/>
      <c r="E107" s="654"/>
      <c r="F107" s="655"/>
      <c r="G107" s="247">
        <v>13</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27" s="69" customFormat="1" x14ac:dyDescent="0.2">
      <c r="A108" s="242">
        <v>5</v>
      </c>
      <c r="B108" s="644" t="str">
        <f>IFERROR(INDEX(B$1:B$93,MATCH(A108,A$1:A$93,0)),"")</f>
        <v>Aigi Orro, Elmo Lageda, Kalle Orro</v>
      </c>
      <c r="C108" s="646">
        <v>8</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27" s="69" customFormat="1" ht="13.5" thickBot="1" x14ac:dyDescent="0.25">
      <c r="A109" s="41"/>
      <c r="B109" s="645"/>
      <c r="C109" s="74"/>
      <c r="G109" s="49"/>
      <c r="H109" s="49"/>
      <c r="I109" s="262"/>
      <c r="J109" s="653"/>
      <c r="K109" s="74"/>
      <c r="L109" s="262"/>
      <c r="M109" s="425" t="str">
        <f>IF(COUNT(K105,K113)=2,IF(K105&gt;K113,G105,G113),"")</f>
        <v>Aivar Sein, Maive Sein, Varje Reede</v>
      </c>
      <c r="N109" s="74"/>
      <c r="O109" s="262"/>
      <c r="P109" s="606"/>
      <c r="Q109" s="606"/>
      <c r="R109" s="606"/>
      <c r="S109" s="606"/>
      <c r="T109" s="606"/>
      <c r="U109" s="606"/>
      <c r="V109" s="606"/>
      <c r="W109" s="606"/>
      <c r="X109" s="606"/>
      <c r="Y109" s="606"/>
      <c r="Z109" s="606"/>
      <c r="AA109" s="606"/>
    </row>
    <row r="110" spans="1:27" s="69" customFormat="1" x14ac:dyDescent="0.2">
      <c r="A110" s="240">
        <v>3</v>
      </c>
      <c r="B110" s="641" t="str">
        <f>IFERROR(INDEX(B$1:B$93,MATCH(A110,A$1:A$93,0)),"")</f>
        <v>Egert Kingissepp, Katrin Tiido, Mare Kingissepp</v>
      </c>
      <c r="C110" s="74">
        <v>2</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27" s="69" customFormat="1" x14ac:dyDescent="0.2">
      <c r="A111" s="242"/>
      <c r="B111" s="649"/>
      <c r="C111" s="74" t="str">
        <f>IF(COUNT(C110,C112)=2,IF(C110&gt;C112,B110,B112),"")</f>
        <v>Kertu Palm, Marek Kolk, Urmo Auväärt</v>
      </c>
      <c r="G111" s="247">
        <v>4</v>
      </c>
      <c r="H111" s="49"/>
      <c r="I111" s="262"/>
      <c r="J111" s="653"/>
      <c r="K111" s="49"/>
      <c r="L111" s="262"/>
      <c r="M111" s="74"/>
      <c r="N111" s="74"/>
      <c r="O111" s="262"/>
      <c r="P111" s="606"/>
      <c r="Q111" s="606"/>
      <c r="R111" s="606"/>
      <c r="S111" s="606"/>
      <c r="T111" s="606"/>
      <c r="U111" s="606"/>
      <c r="V111" s="606"/>
      <c r="W111" s="606"/>
      <c r="X111" s="606"/>
      <c r="Y111" s="606"/>
      <c r="Z111" s="606"/>
      <c r="AA111" s="606"/>
    </row>
    <row r="112" spans="1:27" s="69" customFormat="1" x14ac:dyDescent="0.2">
      <c r="A112" s="242">
        <v>6</v>
      </c>
      <c r="B112" s="644" t="str">
        <f>IFERROR(INDEX(B$1:B$93,MATCH(A112,A$1:A$93,0)),"")</f>
        <v>Kertu Palm, Marek Kolk, Urmo Auväärt</v>
      </c>
      <c r="C112" s="646">
        <v>13</v>
      </c>
      <c r="D112" s="651"/>
      <c r="E112" s="651"/>
      <c r="F112" s="652"/>
      <c r="G112" s="49"/>
      <c r="H112" s="49"/>
      <c r="I112" s="262"/>
      <c r="J112" s="653"/>
      <c r="K112" s="49"/>
      <c r="L112" s="262"/>
      <c r="M112" s="74"/>
      <c r="N112" s="74"/>
      <c r="O112" s="262"/>
      <c r="P112" s="606"/>
      <c r="Q112" s="606"/>
      <c r="R112" s="606"/>
      <c r="S112" s="606"/>
      <c r="T112" s="606"/>
      <c r="U112" s="606"/>
      <c r="V112" s="606"/>
      <c r="W112" s="606"/>
      <c r="X112" s="606"/>
      <c r="Y112" s="606"/>
      <c r="Z112" s="606"/>
      <c r="AA112" s="606"/>
    </row>
    <row r="113" spans="1:27" s="69" customFormat="1" x14ac:dyDescent="0.2">
      <c r="A113" s="242"/>
      <c r="B113" s="645"/>
      <c r="C113" s="49"/>
      <c r="D113" s="262"/>
      <c r="E113" s="262"/>
      <c r="F113" s="653"/>
      <c r="G113" s="417" t="str">
        <f>IF(COUNT(G111,G115)=2,IF(G111&gt;G115,C111,C115),"")</f>
        <v>Janek Kiisk, Kadri Veljend, Ruudi Väärtnõu</v>
      </c>
      <c r="H113" s="243"/>
      <c r="I113" s="654"/>
      <c r="J113" s="655"/>
      <c r="K113" s="247">
        <v>9</v>
      </c>
      <c r="L113" s="262"/>
      <c r="M113" s="74"/>
      <c r="N113" s="74"/>
      <c r="O113" s="262"/>
      <c r="P113" s="606"/>
      <c r="Q113" s="606"/>
      <c r="R113" s="606"/>
      <c r="S113" s="606"/>
      <c r="T113" s="606"/>
      <c r="U113" s="606"/>
      <c r="V113" s="606"/>
      <c r="W113" s="606"/>
      <c r="X113" s="606"/>
      <c r="Y113" s="606"/>
      <c r="Z113" s="606"/>
      <c r="AA113" s="606"/>
    </row>
    <row r="114" spans="1:27" s="69" customFormat="1" ht="13.5" thickBot="1" x14ac:dyDescent="0.25">
      <c r="A114" s="242">
        <v>2</v>
      </c>
      <c r="B114" s="641" t="str">
        <f>IFERROR(INDEX(B$1:B$93,MATCH(A114,A$1:A$93,0)),"")</f>
        <v>Janek Kiisk, Kadri Veljend, Ruudi Väärtnõu</v>
      </c>
      <c r="C114" s="74">
        <v>13</v>
      </c>
      <c r="D114" s="262"/>
      <c r="E114" s="262"/>
      <c r="F114" s="653"/>
      <c r="G114" s="49"/>
      <c r="H114" s="49"/>
      <c r="K114" s="49"/>
      <c r="L114" s="262"/>
      <c r="M114" s="425" t="str">
        <f>IF(COUNT(K105,K113)=2,IF(K105&lt;K113,G105,G113),"")</f>
        <v>Janek Kiisk, Kadri Veljend, Ruudi Väärtnõu</v>
      </c>
      <c r="N114" s="252"/>
      <c r="O114" s="262"/>
      <c r="P114" s="606"/>
      <c r="Q114" s="606"/>
      <c r="R114" s="606"/>
      <c r="S114" s="606"/>
      <c r="T114" s="606"/>
      <c r="U114" s="606"/>
      <c r="V114" s="606"/>
      <c r="W114" s="606"/>
      <c r="X114" s="606"/>
      <c r="Y114" s="606"/>
      <c r="Z114" s="606"/>
      <c r="AA114" s="606"/>
    </row>
    <row r="115" spans="1:27" s="69" customFormat="1" x14ac:dyDescent="0.2">
      <c r="A115" s="242"/>
      <c r="B115" s="649"/>
      <c r="C115" s="74" t="str">
        <f>IF(COUNT(C114,C116)=2,IF(C114&gt;C116,B114,B116),"")</f>
        <v>Janek Kiisk, Kadri Veljend, Ruudi Väärtnõu</v>
      </c>
      <c r="D115" s="654"/>
      <c r="E115" s="654"/>
      <c r="F115" s="655"/>
      <c r="G115" s="247">
        <v>13</v>
      </c>
      <c r="H115" s="74"/>
      <c r="K115" s="49"/>
      <c r="L115" s="262"/>
      <c r="M115" s="250" t="s">
        <v>590</v>
      </c>
      <c r="N115" s="49"/>
      <c r="O115" s="262"/>
      <c r="P115" s="606"/>
      <c r="Q115" s="606"/>
      <c r="R115" s="606"/>
      <c r="S115" s="606"/>
      <c r="T115" s="606"/>
      <c r="U115" s="606"/>
      <c r="V115" s="606"/>
      <c r="W115" s="606"/>
      <c r="X115" s="606"/>
      <c r="Y115" s="606"/>
      <c r="Z115" s="606"/>
      <c r="AA115" s="606"/>
    </row>
    <row r="116" spans="1:27" s="69" customFormat="1" x14ac:dyDescent="0.2">
      <c r="A116" s="242">
        <v>7</v>
      </c>
      <c r="B116" s="644" t="str">
        <f>IFERROR(INDEX(B$1:B$93,MATCH(A116,A$1:A$93,0)),"")</f>
        <v>Alar Sinimäe, Kevin Sten Liik, Silver Kingissepp</v>
      </c>
      <c r="C116" s="646">
        <v>9</v>
      </c>
      <c r="G116" s="49"/>
      <c r="H116" s="49"/>
      <c r="K116" s="49"/>
      <c r="L116" s="262"/>
      <c r="M116" s="74"/>
      <c r="N116" s="74"/>
      <c r="O116" s="262"/>
      <c r="P116" s="606"/>
      <c r="Q116" s="606"/>
      <c r="R116" s="606"/>
      <c r="S116" s="606"/>
      <c r="T116" s="606"/>
      <c r="U116" s="606"/>
      <c r="V116" s="606"/>
      <c r="W116" s="606"/>
      <c r="X116" s="606"/>
      <c r="Y116" s="606"/>
      <c r="Z116" s="606"/>
      <c r="AA116" s="606"/>
    </row>
    <row r="117" spans="1:27" s="69" customFormat="1" x14ac:dyDescent="0.2">
      <c r="A117" s="41"/>
      <c r="B117" s="645"/>
      <c r="C117" s="74"/>
      <c r="G117" s="418" t="str">
        <f>IF(COUNT(G103,G107)=2,IF(G103&lt;G107,C103,C107),"")</f>
        <v>Irene Võrklaev, Marta Ruus, Valmar Pantšenko</v>
      </c>
      <c r="H117" s="74"/>
      <c r="K117" s="247">
        <v>5</v>
      </c>
      <c r="L117" s="262"/>
      <c r="M117" s="74"/>
      <c r="N117" s="74"/>
      <c r="O117" s="262"/>
      <c r="P117" s="606"/>
      <c r="Q117" s="606"/>
      <c r="R117" s="606"/>
      <c r="S117" s="606"/>
      <c r="T117" s="606"/>
      <c r="U117" s="606"/>
      <c r="V117" s="606"/>
      <c r="W117" s="606"/>
      <c r="X117" s="606"/>
      <c r="Y117" s="606"/>
      <c r="Z117" s="606"/>
      <c r="AA117" s="606"/>
    </row>
    <row r="118" spans="1:27" s="69" customFormat="1" ht="13.5" thickBot="1" x14ac:dyDescent="0.25">
      <c r="A118" s="74"/>
      <c r="B118" s="74"/>
      <c r="C118" s="74"/>
      <c r="G118" s="646"/>
      <c r="H118" s="646"/>
      <c r="I118" s="651"/>
      <c r="J118" s="652"/>
      <c r="K118" s="252"/>
      <c r="L118" s="657"/>
      <c r="M118" s="425" t="str">
        <f>IF(COUNT(K117,K119)=2,IF(K117&gt;K119,G117,G119),"")</f>
        <v>Kertu Palm, Marek Kolk, Urmo Auväärt</v>
      </c>
      <c r="N118" s="252"/>
      <c r="O118" s="262"/>
      <c r="P118" s="606"/>
      <c r="Q118" s="606"/>
      <c r="R118" s="606"/>
      <c r="S118" s="606"/>
      <c r="T118" s="606"/>
      <c r="U118" s="606"/>
      <c r="V118" s="606"/>
      <c r="W118" s="606"/>
      <c r="X118" s="606"/>
      <c r="Y118" s="606"/>
      <c r="Z118" s="606"/>
      <c r="AA118" s="606"/>
    </row>
    <row r="119" spans="1:27" s="69" customFormat="1" x14ac:dyDescent="0.2">
      <c r="A119" s="74"/>
      <c r="B119" s="74"/>
      <c r="C119" s="74"/>
      <c r="G119" s="417" t="str">
        <f>IF(COUNT(G111,G115)=2,IF(G111&lt;G115,C111,C115),"")</f>
        <v>Kertu Palm, Marek Kolk, Urmo Auväärt</v>
      </c>
      <c r="H119" s="243"/>
      <c r="I119" s="654"/>
      <c r="J119" s="655"/>
      <c r="K119" s="247">
        <v>13</v>
      </c>
      <c r="L119" s="262"/>
      <c r="M119" s="253" t="s">
        <v>591</v>
      </c>
      <c r="N119" s="49"/>
      <c r="O119" s="262"/>
      <c r="P119" s="606"/>
      <c r="Q119" s="606"/>
      <c r="R119" s="606"/>
      <c r="S119" s="606"/>
      <c r="T119" s="606"/>
      <c r="U119" s="606"/>
      <c r="V119" s="606"/>
      <c r="W119" s="606"/>
      <c r="X119" s="606"/>
      <c r="Y119" s="606"/>
      <c r="Z119" s="606"/>
      <c r="AA119" s="606"/>
    </row>
    <row r="120" spans="1:27" s="69" customFormat="1" x14ac:dyDescent="0.2">
      <c r="A120" s="74"/>
      <c r="B120" s="74"/>
      <c r="C120" s="74"/>
      <c r="G120" s="74"/>
      <c r="H120" s="74"/>
      <c r="K120" s="74"/>
      <c r="L120" s="262"/>
      <c r="M120" s="49"/>
      <c r="N120" s="49"/>
      <c r="O120" s="262"/>
      <c r="P120" s="606"/>
      <c r="Q120" s="606"/>
      <c r="R120" s="606"/>
      <c r="S120" s="606"/>
      <c r="T120" s="606"/>
      <c r="U120" s="606"/>
      <c r="V120" s="606"/>
      <c r="W120" s="606"/>
      <c r="X120" s="606"/>
      <c r="Y120" s="606"/>
      <c r="Z120" s="606"/>
      <c r="AA120" s="606"/>
    </row>
    <row r="121" spans="1:27" s="69" customFormat="1" ht="13.5" thickBot="1" x14ac:dyDescent="0.25">
      <c r="A121" s="74"/>
      <c r="B121" s="74"/>
      <c r="C121" s="74"/>
      <c r="G121" s="49"/>
      <c r="H121" s="49"/>
      <c r="K121" s="74"/>
      <c r="L121" s="262"/>
      <c r="M121" s="425" t="str">
        <f>IF(COUNT(K117,K119)=2,IF(K117&lt;K119,G117,G119),"")</f>
        <v>Irene Võrklaev, Marta Ruus, Valmar Pantšenko</v>
      </c>
      <c r="N121" s="252"/>
      <c r="O121" s="262"/>
      <c r="P121" s="606"/>
      <c r="Q121" s="606"/>
      <c r="R121" s="606"/>
      <c r="S121" s="606"/>
      <c r="T121" s="606"/>
      <c r="U121" s="606"/>
      <c r="V121" s="606"/>
      <c r="W121" s="606"/>
      <c r="X121" s="606"/>
      <c r="Y121" s="606"/>
      <c r="Z121" s="606"/>
      <c r="AA121" s="606"/>
    </row>
    <row r="122" spans="1:27" s="69" customFormat="1" x14ac:dyDescent="0.2">
      <c r="A122" s="74"/>
      <c r="B122" s="74"/>
      <c r="C122" s="74"/>
      <c r="G122" s="74"/>
      <c r="H122" s="74"/>
      <c r="K122" s="74"/>
      <c r="L122" s="262"/>
      <c r="M122" s="41" t="s">
        <v>371</v>
      </c>
      <c r="N122" s="74"/>
      <c r="O122" s="262"/>
      <c r="P122" s="606"/>
      <c r="Q122" s="606"/>
      <c r="R122" s="606"/>
      <c r="S122" s="606"/>
      <c r="T122" s="606"/>
      <c r="U122" s="606"/>
      <c r="V122" s="606"/>
      <c r="W122" s="606"/>
      <c r="X122" s="606"/>
      <c r="Y122" s="606"/>
      <c r="Z122" s="606"/>
      <c r="AA122" s="606"/>
    </row>
    <row r="123" spans="1:27" s="69" customFormat="1" x14ac:dyDescent="0.2">
      <c r="A123" s="74"/>
      <c r="B123" s="74"/>
      <c r="C123" s="417" t="str">
        <f>IF(COUNT(C102,C104)=2,IF(C102&lt;C104,B102,B104),"")</f>
        <v>Kadri Arunurm, Kalju Olmre, Marge Mägi</v>
      </c>
      <c r="G123" s="241">
        <v>13</v>
      </c>
      <c r="H123" s="241"/>
      <c r="K123" s="241"/>
      <c r="L123" s="262"/>
      <c r="M123" s="74"/>
      <c r="N123" s="74"/>
      <c r="O123" s="262"/>
      <c r="P123" s="606"/>
      <c r="Q123" s="606"/>
      <c r="R123" s="606"/>
      <c r="S123" s="606"/>
      <c r="T123" s="606"/>
      <c r="U123" s="606"/>
      <c r="V123" s="606"/>
      <c r="W123" s="606"/>
      <c r="X123" s="606"/>
      <c r="Y123" s="606"/>
      <c r="Z123" s="606"/>
      <c r="AA123" s="606"/>
    </row>
    <row r="124" spans="1:27" s="69" customFormat="1" x14ac:dyDescent="0.2">
      <c r="A124" s="74"/>
      <c r="B124" s="74"/>
      <c r="C124" s="647"/>
      <c r="D124" s="651"/>
      <c r="E124" s="651"/>
      <c r="F124" s="652"/>
      <c r="G124" s="643" t="str">
        <f>IF(COUNT(G123,G125)=2,IF(G123&gt;G125,C123,C125),"")</f>
        <v>Kadri Arunurm, Kalju Olmre, Marge Mägi</v>
      </c>
      <c r="H124" s="74"/>
      <c r="K124" s="648">
        <v>13</v>
      </c>
      <c r="L124" s="262"/>
      <c r="M124" s="74"/>
      <c r="N124" s="74"/>
      <c r="O124" s="262"/>
      <c r="P124" s="606"/>
      <c r="Q124" s="606"/>
      <c r="R124" s="606"/>
      <c r="S124" s="606"/>
      <c r="T124" s="606"/>
      <c r="U124" s="606"/>
      <c r="V124" s="606"/>
      <c r="W124" s="606"/>
      <c r="X124" s="606"/>
      <c r="Y124" s="606"/>
      <c r="Z124" s="606"/>
      <c r="AA124" s="606"/>
    </row>
    <row r="125" spans="1:27" s="69" customFormat="1" x14ac:dyDescent="0.2">
      <c r="A125" s="74"/>
      <c r="B125" s="74"/>
      <c r="C125" s="417" t="str">
        <f>IF(COUNT(C106,C108)=2,IF(C106&lt;C108,B106,B108),"")</f>
        <v>Aigi Orro, Elmo Lageda, Kalle Orro</v>
      </c>
      <c r="D125" s="654"/>
      <c r="E125" s="654"/>
      <c r="F125" s="655"/>
      <c r="G125" s="244">
        <v>2</v>
      </c>
      <c r="H125" s="647"/>
      <c r="I125" s="651"/>
      <c r="J125" s="652"/>
      <c r="K125" s="241"/>
      <c r="L125" s="262"/>
      <c r="M125" s="74"/>
      <c r="N125" s="74"/>
      <c r="O125" s="262"/>
      <c r="P125" s="606"/>
      <c r="Q125" s="606"/>
      <c r="R125" s="606"/>
      <c r="S125" s="606"/>
      <c r="T125" s="606"/>
      <c r="U125" s="606"/>
      <c r="V125" s="606"/>
      <c r="W125" s="606"/>
      <c r="X125" s="606"/>
      <c r="Y125" s="606"/>
      <c r="Z125" s="606"/>
      <c r="AA125" s="606"/>
    </row>
    <row r="126" spans="1:27" s="69" customFormat="1" ht="13.5" thickBot="1" x14ac:dyDescent="0.25">
      <c r="A126" s="74"/>
      <c r="B126" s="74"/>
      <c r="C126" s="241"/>
      <c r="G126" s="247"/>
      <c r="H126" s="247"/>
      <c r="I126" s="262"/>
      <c r="J126" s="653"/>
      <c r="K126" s="241"/>
      <c r="L126" s="262"/>
      <c r="M126" s="418" t="str">
        <f>IF(COUNT(K124,K128)=2,IF(K124&gt;K128,G124,G128),"")</f>
        <v>Kadri Arunurm, Kalju Olmre, Marge Mägi</v>
      </c>
      <c r="N126" s="74"/>
      <c r="O126" s="262"/>
      <c r="P126" s="606"/>
      <c r="Q126" s="606"/>
      <c r="R126" s="606"/>
      <c r="S126" s="606"/>
      <c r="T126" s="606"/>
      <c r="U126" s="606"/>
      <c r="V126" s="606"/>
      <c r="W126" s="606"/>
      <c r="X126" s="606"/>
      <c r="Y126" s="606"/>
      <c r="Z126" s="606"/>
      <c r="AA126" s="606"/>
    </row>
    <row r="127" spans="1:27" s="69" customFormat="1" x14ac:dyDescent="0.2">
      <c r="A127" s="74"/>
      <c r="B127" s="74"/>
      <c r="C127" s="417" t="str">
        <f>IF(COUNT(C110,C112)=2,IF(C110&lt;C112,B110,B112),"")</f>
        <v>Egert Kingissepp, Katrin Tiido, Mare Kingissepp</v>
      </c>
      <c r="G127" s="241">
        <v>13</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s="69" customFormat="1" x14ac:dyDescent="0.2">
      <c r="A128" s="74"/>
      <c r="B128" s="74"/>
      <c r="C128" s="647"/>
      <c r="D128" s="651"/>
      <c r="E128" s="651"/>
      <c r="F128" s="652"/>
      <c r="G128" s="643" t="str">
        <f>IF(COUNT(G127,G129)=2,IF(G127&gt;G129,C127,C129),"")</f>
        <v>Egert Kingissepp, Katrin Tiido, Mare Kingissepp</v>
      </c>
      <c r="H128" s="243"/>
      <c r="I128" s="654"/>
      <c r="J128" s="655"/>
      <c r="K128" s="247">
        <v>9</v>
      </c>
      <c r="L128" s="262"/>
      <c r="M128" s="49"/>
      <c r="N128" s="49"/>
      <c r="O128" s="262"/>
      <c r="P128" s="606"/>
      <c r="Q128" s="606"/>
      <c r="R128" s="606"/>
      <c r="S128" s="606"/>
      <c r="T128" s="606"/>
      <c r="U128" s="606"/>
      <c r="V128" s="606"/>
      <c r="W128" s="606"/>
      <c r="X128" s="606"/>
      <c r="Y128" s="606"/>
      <c r="Z128" s="606"/>
      <c r="AA128" s="606"/>
    </row>
    <row r="129" spans="1:27" s="69" customFormat="1" ht="13.5" thickBot="1" x14ac:dyDescent="0.25">
      <c r="A129" s="74"/>
      <c r="B129" s="74"/>
      <c r="C129" s="417" t="str">
        <f>IF(COUNT(C114,C116)=2,IF(C114&lt;C116,B114,B116),"")</f>
        <v>Alar Sinimäe, Kevin Sten Liik, Silver Kingissepp</v>
      </c>
      <c r="D129" s="654"/>
      <c r="E129" s="654"/>
      <c r="F129" s="655"/>
      <c r="G129" s="244">
        <v>11</v>
      </c>
      <c r="H129" s="241"/>
      <c r="K129" s="247"/>
      <c r="L129" s="262"/>
      <c r="M129" s="425" t="str">
        <f>IF(COUNT(K124,K128)=2,IF(K124&lt;K128,G124,G128),"")</f>
        <v>Egert Kingissepp, Katrin Tiido, Mare Kingissepp</v>
      </c>
      <c r="N129" s="252"/>
      <c r="O129" s="262"/>
      <c r="P129" s="606"/>
      <c r="Q129" s="606"/>
      <c r="R129" s="606"/>
      <c r="S129" s="606"/>
      <c r="T129" s="606"/>
      <c r="U129" s="606"/>
      <c r="V129" s="606"/>
      <c r="W129" s="606"/>
      <c r="X129" s="606"/>
      <c r="Y129" s="606"/>
      <c r="Z129" s="606"/>
      <c r="AA129" s="606"/>
    </row>
    <row r="130" spans="1:27" s="69" customFormat="1" x14ac:dyDescent="0.2">
      <c r="A130" s="74"/>
      <c r="B130" s="74"/>
      <c r="C130" s="241"/>
      <c r="G130" s="241"/>
      <c r="H130" s="241"/>
      <c r="K130" s="247"/>
      <c r="L130" s="262"/>
      <c r="M130" s="250" t="s">
        <v>373</v>
      </c>
      <c r="N130" s="49"/>
      <c r="O130" s="262"/>
      <c r="P130" s="606"/>
      <c r="Q130" s="606"/>
      <c r="R130" s="606"/>
      <c r="S130" s="606"/>
      <c r="T130" s="606"/>
      <c r="U130" s="606"/>
      <c r="V130" s="606"/>
      <c r="W130" s="606"/>
      <c r="X130" s="606"/>
      <c r="Y130" s="606"/>
      <c r="Z130" s="606"/>
      <c r="AA130" s="606"/>
    </row>
    <row r="131" spans="1:27" s="69" customFormat="1" x14ac:dyDescent="0.2">
      <c r="A131" s="74"/>
      <c r="B131" s="74"/>
      <c r="C131" s="247"/>
      <c r="G131" s="418" t="str">
        <f>IF(COUNT(G123,G125)=2,IF(G123&lt;G125,C123,C125),"")</f>
        <v>Aigi Orro, Elmo Lageda, Kalle Orro</v>
      </c>
      <c r="H131" s="74"/>
      <c r="K131" s="247">
        <v>13</v>
      </c>
      <c r="L131" s="262"/>
      <c r="M131" s="49"/>
      <c r="N131" s="49"/>
      <c r="O131" s="262"/>
      <c r="P131" s="606"/>
      <c r="Q131" s="606"/>
      <c r="R131" s="606"/>
      <c r="S131" s="606"/>
      <c r="T131" s="606"/>
      <c r="U131" s="606"/>
      <c r="V131" s="606"/>
      <c r="W131" s="606"/>
      <c r="X131" s="606"/>
      <c r="Y131" s="606"/>
      <c r="Z131" s="606"/>
      <c r="AA131" s="606"/>
    </row>
    <row r="132" spans="1:27" s="69" customFormat="1" ht="13.5" thickBot="1" x14ac:dyDescent="0.25">
      <c r="A132" s="74"/>
      <c r="B132" s="74"/>
      <c r="C132" s="247"/>
      <c r="G132" s="646"/>
      <c r="H132" s="646"/>
      <c r="I132" s="651"/>
      <c r="J132" s="652"/>
      <c r="K132" s="252"/>
      <c r="L132" s="657"/>
      <c r="M132" s="425" t="str">
        <f>IF(COUNT(K131,K133)=2,IF(K131&gt;K133,G131,G133),"")</f>
        <v>Aigi Orro, Elmo Lageda, Kalle Orro</v>
      </c>
      <c r="N132" s="252"/>
      <c r="O132" s="262"/>
      <c r="P132" s="606"/>
      <c r="Q132" s="606"/>
      <c r="R132" s="606"/>
      <c r="S132" s="606"/>
      <c r="T132" s="606"/>
      <c r="U132" s="606"/>
      <c r="V132" s="606"/>
      <c r="W132" s="606"/>
      <c r="X132" s="606"/>
      <c r="Y132" s="606"/>
      <c r="Z132" s="606"/>
      <c r="AA132" s="606"/>
    </row>
    <row r="133" spans="1:27" s="69" customFormat="1" x14ac:dyDescent="0.2">
      <c r="A133" s="74"/>
      <c r="B133" s="74"/>
      <c r="C133" s="247"/>
      <c r="G133" s="417" t="str">
        <f>IF(COUNT(G127,G129)=2,IF(G127&lt;G129,C127,C129),"")</f>
        <v>Alar Sinimäe, Kevin Sten Liik, Silver Kingissepp</v>
      </c>
      <c r="H133" s="243"/>
      <c r="I133" s="654"/>
      <c r="J133" s="655"/>
      <c r="K133" s="247">
        <v>9</v>
      </c>
      <c r="L133" s="262"/>
      <c r="M133" s="253" t="s">
        <v>374</v>
      </c>
      <c r="N133" s="49"/>
      <c r="O133" s="262"/>
      <c r="P133" s="606"/>
      <c r="Q133" s="606"/>
      <c r="R133" s="606"/>
      <c r="S133" s="606"/>
      <c r="T133" s="606"/>
      <c r="U133" s="606"/>
      <c r="V133" s="606"/>
      <c r="W133" s="606"/>
      <c r="X133" s="606"/>
      <c r="Y133" s="606"/>
      <c r="Z133" s="606"/>
      <c r="AA133" s="606"/>
    </row>
    <row r="134" spans="1:27" s="69" customFormat="1" x14ac:dyDescent="0.2">
      <c r="A134" s="74"/>
      <c r="B134" s="74"/>
      <c r="C134" s="49"/>
      <c r="G134" s="74"/>
      <c r="H134" s="74"/>
      <c r="K134" s="74"/>
      <c r="L134" s="262"/>
      <c r="M134" s="49"/>
      <c r="N134" s="49"/>
      <c r="O134" s="262"/>
      <c r="P134" s="606"/>
      <c r="Q134" s="606"/>
      <c r="R134" s="606"/>
      <c r="S134" s="606"/>
      <c r="T134" s="606"/>
      <c r="U134" s="606"/>
      <c r="V134" s="606"/>
      <c r="W134" s="606"/>
      <c r="X134" s="606"/>
      <c r="Y134" s="606"/>
      <c r="Z134" s="606"/>
      <c r="AA134" s="606"/>
    </row>
    <row r="135" spans="1:27" s="69" customFormat="1" ht="13.5" thickBot="1" x14ac:dyDescent="0.25">
      <c r="A135" s="74"/>
      <c r="B135" s="74"/>
      <c r="C135" s="74"/>
      <c r="G135" s="49"/>
      <c r="H135" s="49"/>
      <c r="K135" s="74"/>
      <c r="L135" s="262"/>
      <c r="M135" s="252" t="str">
        <f>IF(COUNT(K131,K133)=2,IF(K131&lt;K133,G131,G133),"")</f>
        <v>Alar Sinimäe, Kevin Sten Liik, Silver Kingissepp</v>
      </c>
      <c r="N135" s="252"/>
      <c r="O135" s="262"/>
      <c r="P135" s="606"/>
      <c r="Q135" s="606"/>
      <c r="R135" s="606"/>
      <c r="S135" s="606"/>
      <c r="T135" s="606"/>
      <c r="U135" s="606"/>
      <c r="V135" s="606"/>
      <c r="W135" s="606"/>
      <c r="X135" s="606"/>
      <c r="Y135" s="606"/>
      <c r="Z135" s="606"/>
      <c r="AA135" s="606"/>
    </row>
    <row r="136" spans="1:27" s="69" customFormat="1" x14ac:dyDescent="0.2">
      <c r="A136" s="202"/>
      <c r="B136" s="260"/>
      <c r="C136" s="204"/>
      <c r="G136" s="204"/>
      <c r="H136" s="204"/>
      <c r="K136" s="259"/>
      <c r="L136" s="262"/>
      <c r="M136" s="250" t="s">
        <v>375</v>
      </c>
      <c r="N136" s="238"/>
      <c r="O136" s="262"/>
      <c r="P136" s="606"/>
      <c r="Q136" s="606"/>
      <c r="R136" s="606"/>
      <c r="S136" s="606"/>
      <c r="T136" s="606"/>
      <c r="U136" s="606"/>
      <c r="V136" s="606"/>
      <c r="W136" s="606"/>
      <c r="X136" s="606"/>
      <c r="Y136" s="606"/>
      <c r="Z136" s="606"/>
      <c r="AA136" s="606"/>
    </row>
    <row r="137" spans="1:27" s="69" customFormat="1" x14ac:dyDescent="0.2">
      <c r="A137" s="415"/>
      <c r="B137" s="415"/>
      <c r="C137" s="415"/>
      <c r="G137" s="415"/>
      <c r="H137" s="415"/>
      <c r="K137" s="415"/>
      <c r="L137" s="262"/>
      <c r="M137" s="415"/>
      <c r="N137" s="415"/>
      <c r="O137" s="262"/>
      <c r="P137" s="606"/>
      <c r="Q137" s="606"/>
      <c r="R137" s="606"/>
      <c r="S137" s="606"/>
      <c r="T137" s="606"/>
      <c r="U137" s="606"/>
      <c r="V137" s="606"/>
      <c r="W137" s="606"/>
      <c r="X137" s="606"/>
      <c r="Y137" s="606"/>
      <c r="Z137" s="606"/>
      <c r="AA137" s="606"/>
    </row>
    <row r="138" spans="1:27" s="69" customFormat="1" x14ac:dyDescent="0.2">
      <c r="A138" s="239" t="s">
        <v>593</v>
      </c>
      <c r="B138" s="49"/>
      <c r="C138" s="203"/>
      <c r="G138" s="203"/>
      <c r="H138" s="204"/>
      <c r="K138" s="205"/>
      <c r="L138" s="262"/>
      <c r="M138" s="74"/>
      <c r="N138" s="130"/>
      <c r="O138" s="262"/>
      <c r="P138" s="606"/>
      <c r="Q138" s="606"/>
      <c r="R138" s="606"/>
      <c r="S138" s="606"/>
      <c r="T138" s="606"/>
      <c r="U138" s="606"/>
      <c r="V138" s="606"/>
      <c r="W138" s="606"/>
      <c r="X138" s="606"/>
      <c r="Y138" s="606"/>
      <c r="Z138" s="606"/>
      <c r="AA138" s="606"/>
    </row>
    <row r="139" spans="1:27" s="69" customFormat="1" x14ac:dyDescent="0.2">
      <c r="A139" s="74"/>
      <c r="B139" s="74"/>
      <c r="C139" s="74"/>
      <c r="G139" s="74"/>
      <c r="H139" s="74"/>
      <c r="K139" s="74"/>
      <c r="L139" s="262"/>
      <c r="M139" s="74"/>
      <c r="N139" s="130"/>
      <c r="O139" s="262"/>
      <c r="P139" s="606"/>
      <c r="Q139" s="606"/>
      <c r="R139" s="606"/>
      <c r="S139" s="606"/>
      <c r="T139" s="606"/>
      <c r="U139" s="606"/>
      <c r="V139" s="606"/>
      <c r="W139" s="606"/>
      <c r="X139" s="606"/>
      <c r="Y139" s="606"/>
      <c r="Z139" s="606"/>
      <c r="AA139" s="606"/>
    </row>
    <row r="140" spans="1:27" s="69" customFormat="1" x14ac:dyDescent="0.2">
      <c r="B140" s="41">
        <v>9</v>
      </c>
      <c r="C140" s="641" t="str">
        <f>IFERROR(INDEX(B$1:B$93,MATCH(B140,A$1:A$93,0)),"")</f>
        <v>Andres Veski, Kenneth Muusikus, Svetlana Veski</v>
      </c>
      <c r="G140" s="241">
        <v>3</v>
      </c>
      <c r="H140" s="241"/>
      <c r="K140" s="241"/>
      <c r="L140" s="262"/>
      <c r="M140" s="74"/>
      <c r="N140" s="74"/>
      <c r="Q140" s="606"/>
      <c r="R140" s="606"/>
      <c r="S140" s="606"/>
      <c r="T140" s="606"/>
      <c r="U140" s="606"/>
      <c r="V140" s="606"/>
      <c r="W140" s="606"/>
      <c r="X140" s="606"/>
      <c r="Y140" s="606"/>
      <c r="Z140" s="606"/>
      <c r="AA140" s="606"/>
    </row>
    <row r="141" spans="1:27" s="69" customFormat="1" x14ac:dyDescent="0.2">
      <c r="B141" s="41"/>
      <c r="C141" s="684"/>
      <c r="D141" s="685"/>
      <c r="E141" s="685"/>
      <c r="F141" s="686"/>
      <c r="G141" s="643" t="str">
        <f>IF(COUNT(G140,G142)=2,IF(G140&gt;G142,C140,C142),"")</f>
        <v>Jaan Sepp, Mait Metsla, Oskar Sepp</v>
      </c>
      <c r="H141" s="74"/>
      <c r="K141" s="648">
        <v>13</v>
      </c>
      <c r="L141" s="262"/>
      <c r="M141" s="74"/>
      <c r="N141" s="74"/>
      <c r="Q141" s="606"/>
      <c r="R141" s="606"/>
      <c r="S141" s="606"/>
      <c r="T141" s="606"/>
      <c r="U141" s="606"/>
      <c r="V141" s="606"/>
      <c r="W141" s="606"/>
      <c r="X141" s="606"/>
      <c r="Y141" s="606"/>
      <c r="Z141" s="606"/>
      <c r="AA141" s="606"/>
    </row>
    <row r="142" spans="1:27" s="69" customFormat="1" x14ac:dyDescent="0.2">
      <c r="B142" s="41">
        <v>12</v>
      </c>
      <c r="C142" s="650" t="str">
        <f>IFERROR(INDEX(B$1:B$93,MATCH(B142,A$1:A$93,0)),"")</f>
        <v>Jaan Sepp, Mait Metsla, Oskar Sepp</v>
      </c>
      <c r="D142" s="654"/>
      <c r="E142" s="654"/>
      <c r="F142" s="655"/>
      <c r="G142" s="244">
        <v>13</v>
      </c>
      <c r="H142" s="647"/>
      <c r="I142" s="651"/>
      <c r="J142" s="652"/>
      <c r="K142" s="241"/>
      <c r="L142" s="262"/>
      <c r="M142" s="74"/>
      <c r="N142" s="74"/>
      <c r="Q142" s="606"/>
      <c r="R142" s="606"/>
      <c r="S142" s="606"/>
      <c r="T142" s="606"/>
      <c r="U142" s="606"/>
      <c r="V142" s="606"/>
      <c r="W142" s="606"/>
      <c r="X142" s="606"/>
      <c r="Y142" s="606"/>
      <c r="Z142" s="606"/>
      <c r="AA142" s="606"/>
    </row>
    <row r="143" spans="1:27" s="69" customFormat="1" ht="13.5" thickBot="1" x14ac:dyDescent="0.25">
      <c r="B143" s="41"/>
      <c r="C143" s="241"/>
      <c r="G143" s="247"/>
      <c r="H143" s="247"/>
      <c r="I143" s="262"/>
      <c r="J143" s="653"/>
      <c r="K143" s="241"/>
      <c r="L143" s="262"/>
      <c r="M143" s="418" t="str">
        <f>IF(COUNT(K141,K145)=2,IF(K141&gt;K145,G141,G145),"")</f>
        <v>Jaan Sepp, Mait Metsla, Oskar Sepp</v>
      </c>
      <c r="N143" s="74"/>
      <c r="Q143" s="606"/>
      <c r="R143" s="606"/>
      <c r="S143" s="606"/>
      <c r="T143" s="606"/>
      <c r="U143" s="606"/>
      <c r="V143" s="606"/>
      <c r="W143" s="606"/>
      <c r="X143" s="606"/>
      <c r="Y143" s="606"/>
      <c r="Z143" s="606"/>
      <c r="AA143" s="606"/>
    </row>
    <row r="144" spans="1:27" s="69" customFormat="1" x14ac:dyDescent="0.2">
      <c r="B144" s="41">
        <v>10</v>
      </c>
      <c r="C144" s="641" t="str">
        <f>IFERROR(INDEX(B$1:B$93,MATCH(B144,A$1:A$93,0)),"")</f>
        <v>Marek Lehis, Margo Peebo, Margus Strööm</v>
      </c>
      <c r="G144" s="241">
        <v>13</v>
      </c>
      <c r="H144" s="247"/>
      <c r="I144" s="262"/>
      <c r="J144" s="653"/>
      <c r="K144" s="420"/>
      <c r="L144" s="656"/>
      <c r="M144" s="250" t="s">
        <v>376</v>
      </c>
      <c r="N144" s="251"/>
      <c r="Q144" s="606"/>
      <c r="R144" s="606"/>
      <c r="S144" s="606"/>
      <c r="T144" s="606"/>
      <c r="U144" s="606"/>
      <c r="V144" s="606"/>
      <c r="W144" s="606"/>
      <c r="X144" s="606"/>
      <c r="Y144" s="606"/>
      <c r="Z144" s="606"/>
      <c r="AA144" s="606"/>
    </row>
    <row r="145" spans="1:27" s="69" customFormat="1" x14ac:dyDescent="0.2">
      <c r="B145" s="41"/>
      <c r="C145" s="684"/>
      <c r="D145" s="685"/>
      <c r="E145" s="685"/>
      <c r="F145" s="686"/>
      <c r="G145" s="643" t="str">
        <f>IF(COUNT(G144,G146)=2,IF(G144&gt;G146,C144,C146),"")</f>
        <v>Marek Lehis, Margo Peebo, Margus Strööm</v>
      </c>
      <c r="H145" s="243"/>
      <c r="I145" s="654"/>
      <c r="J145" s="655"/>
      <c r="K145" s="247">
        <v>6</v>
      </c>
      <c r="L145" s="262"/>
      <c r="M145" s="49"/>
      <c r="N145" s="49"/>
      <c r="Q145" s="606"/>
      <c r="R145" s="606"/>
      <c r="S145" s="606"/>
      <c r="T145" s="606"/>
      <c r="U145" s="606"/>
      <c r="V145" s="606"/>
      <c r="W145" s="606"/>
      <c r="X145" s="606"/>
      <c r="Y145" s="606"/>
      <c r="Z145" s="606"/>
      <c r="AA145" s="606"/>
    </row>
    <row r="146" spans="1:27" s="69" customFormat="1" ht="13.5" thickBot="1" x14ac:dyDescent="0.25">
      <c r="B146" s="41">
        <v>11</v>
      </c>
      <c r="C146" s="650" t="str">
        <f>IFERROR(INDEX(B$1:B$93,MATCH(B146,A$1:A$93,0)),"")</f>
        <v>Henri Mitt, Johannes Neiland, Lemmit Toomra</v>
      </c>
      <c r="D146" s="654"/>
      <c r="E146" s="654"/>
      <c r="F146" s="655"/>
      <c r="G146" s="244">
        <v>9</v>
      </c>
      <c r="H146" s="241"/>
      <c r="K146" s="247"/>
      <c r="L146" s="262"/>
      <c r="M146" s="425" t="str">
        <f>IF(COUNT(K141,K145)=2,IF(K141&lt;K145,G141,G145),"")</f>
        <v>Marek Lehis, Margo Peebo, Margus Strööm</v>
      </c>
      <c r="N146" s="252"/>
      <c r="Q146" s="606"/>
      <c r="R146" s="606"/>
      <c r="S146" s="606"/>
      <c r="T146" s="606"/>
      <c r="U146" s="606"/>
      <c r="V146" s="606"/>
      <c r="W146" s="606"/>
      <c r="X146" s="606"/>
      <c r="Y146" s="606"/>
      <c r="Z146" s="606"/>
      <c r="AA146" s="606"/>
    </row>
    <row r="147" spans="1:27" s="69" customFormat="1" x14ac:dyDescent="0.2">
      <c r="B147" s="74"/>
      <c r="C147" s="241"/>
      <c r="G147" s="241"/>
      <c r="H147" s="241"/>
      <c r="K147" s="247"/>
      <c r="L147" s="262"/>
      <c r="M147" s="250" t="s">
        <v>377</v>
      </c>
      <c r="N147" s="49"/>
      <c r="Q147" s="606"/>
      <c r="R147" s="606"/>
      <c r="S147" s="606"/>
      <c r="T147" s="606"/>
      <c r="U147" s="606"/>
      <c r="V147" s="606"/>
      <c r="W147" s="606"/>
      <c r="X147" s="606"/>
      <c r="Y147" s="606"/>
      <c r="Z147" s="606"/>
      <c r="AA147" s="606"/>
    </row>
    <row r="148" spans="1:27" s="69" customFormat="1" x14ac:dyDescent="0.2">
      <c r="B148" s="74"/>
      <c r="C148" s="247"/>
      <c r="G148" s="418" t="str">
        <f>IF(COUNT(G140,G142)=2,IF(G140&lt;G142,C140,C142),"")</f>
        <v>Andres Veski, Kenneth Muusikus, Svetlana Veski</v>
      </c>
      <c r="H148" s="74"/>
      <c r="K148" s="247">
        <v>11</v>
      </c>
      <c r="L148" s="262"/>
      <c r="M148" s="49"/>
      <c r="N148" s="49"/>
      <c r="Q148" s="606"/>
      <c r="R148" s="606"/>
      <c r="S148" s="606"/>
      <c r="T148" s="606"/>
      <c r="U148" s="606"/>
      <c r="V148" s="606"/>
      <c r="W148" s="606"/>
      <c r="X148" s="606"/>
      <c r="Y148" s="606"/>
      <c r="Z148" s="606"/>
      <c r="AA148" s="606"/>
    </row>
    <row r="149" spans="1:27" s="69" customFormat="1" ht="13.5" thickBot="1" x14ac:dyDescent="0.25">
      <c r="B149" s="74"/>
      <c r="C149" s="247"/>
      <c r="G149" s="646"/>
      <c r="H149" s="646"/>
      <c r="I149" s="651"/>
      <c r="J149" s="652"/>
      <c r="K149" s="252"/>
      <c r="L149" s="657"/>
      <c r="M149" s="425" t="str">
        <f>IF(COUNT(K148,K150)=2,IF(K148&gt;K150,G148,G150),"")</f>
        <v>Henri Mitt, Johannes Neiland, Lemmit Toomra</v>
      </c>
      <c r="N149" s="252"/>
      <c r="Q149" s="606"/>
      <c r="R149" s="606"/>
      <c r="S149" s="606"/>
      <c r="T149" s="606"/>
      <c r="U149" s="606"/>
      <c r="V149" s="606"/>
      <c r="W149" s="606"/>
      <c r="X149" s="606"/>
      <c r="Y149" s="606"/>
      <c r="Z149" s="606"/>
      <c r="AA149" s="606"/>
    </row>
    <row r="150" spans="1:27" s="69" customFormat="1" x14ac:dyDescent="0.2">
      <c r="B150" s="74"/>
      <c r="C150" s="247"/>
      <c r="G150" s="417" t="str">
        <f>IF(COUNT(G144,G146)=2,IF(G144&lt;G146,C144,C146),"")</f>
        <v>Henri Mitt, Johannes Neiland, Lemmit Toomra</v>
      </c>
      <c r="H150" s="243"/>
      <c r="I150" s="654"/>
      <c r="J150" s="655"/>
      <c r="K150" s="247">
        <v>13</v>
      </c>
      <c r="L150" s="262"/>
      <c r="M150" s="253" t="s">
        <v>378</v>
      </c>
      <c r="N150" s="49"/>
      <c r="Q150" s="606"/>
      <c r="R150" s="606"/>
      <c r="S150" s="606"/>
      <c r="T150" s="606"/>
      <c r="U150" s="606"/>
      <c r="V150" s="606"/>
      <c r="W150" s="606"/>
      <c r="X150" s="606"/>
      <c r="Y150" s="606"/>
      <c r="Z150" s="606"/>
      <c r="AA150" s="606"/>
    </row>
    <row r="151" spans="1:27" s="69" customFormat="1" x14ac:dyDescent="0.2">
      <c r="B151" s="74"/>
      <c r="C151" s="49"/>
      <c r="G151" s="74"/>
      <c r="H151" s="74"/>
      <c r="K151" s="74"/>
      <c r="L151" s="262"/>
      <c r="M151" s="49"/>
      <c r="N151" s="49"/>
      <c r="Q151" s="606"/>
      <c r="R151" s="606"/>
      <c r="S151" s="606"/>
      <c r="T151" s="606"/>
      <c r="U151" s="606"/>
      <c r="V151" s="606"/>
      <c r="W151" s="606"/>
      <c r="X151" s="606"/>
      <c r="Y151" s="606"/>
      <c r="Z151" s="606"/>
      <c r="AA151" s="606"/>
    </row>
    <row r="152" spans="1:27" s="69" customFormat="1" ht="13.5" thickBot="1" x14ac:dyDescent="0.25">
      <c r="B152" s="74"/>
      <c r="C152" s="74"/>
      <c r="G152" s="49"/>
      <c r="H152" s="49"/>
      <c r="K152" s="74"/>
      <c r="L152" s="262"/>
      <c r="M152" s="252" t="str">
        <f>IF(COUNT(K148,K150)=2,IF(K148&lt;K150,G148,G150),"")</f>
        <v>Andres Veski, Kenneth Muusikus, Svetlana Veski</v>
      </c>
      <c r="N152" s="252"/>
      <c r="Q152" s="606"/>
      <c r="R152" s="606"/>
      <c r="S152" s="606"/>
      <c r="T152" s="606"/>
      <c r="U152" s="606"/>
      <c r="V152" s="606"/>
      <c r="W152" s="606"/>
      <c r="X152" s="606"/>
      <c r="Y152" s="606"/>
      <c r="Z152" s="606"/>
      <c r="AA152" s="606"/>
    </row>
    <row r="153" spans="1:27" s="69" customFormat="1" x14ac:dyDescent="0.2">
      <c r="M153" s="253" t="s">
        <v>539</v>
      </c>
      <c r="Q153" s="606"/>
      <c r="R153" s="606"/>
      <c r="S153" s="606"/>
      <c r="T153" s="606"/>
      <c r="U153" s="606"/>
      <c r="V153" s="606"/>
      <c r="W153" s="606"/>
      <c r="X153" s="606"/>
      <c r="Y153" s="606"/>
      <c r="Z153" s="606"/>
      <c r="AA153" s="606"/>
    </row>
    <row r="154" spans="1:27" s="69" customFormat="1" hidden="1" x14ac:dyDescent="0.2">
      <c r="Q154" s="606"/>
      <c r="R154" s="606"/>
      <c r="S154" s="606"/>
      <c r="T154" s="606"/>
      <c r="U154" s="606"/>
      <c r="V154" s="606"/>
      <c r="W154" s="606"/>
      <c r="X154" s="606"/>
      <c r="Y154" s="606"/>
      <c r="Z154" s="606"/>
      <c r="AA154" s="606"/>
    </row>
    <row r="155" spans="1:27" s="69" customFormat="1" hidden="1" x14ac:dyDescent="0.2">
      <c r="Q155" s="606"/>
      <c r="R155" s="606"/>
      <c r="S155" s="606"/>
      <c r="T155" s="606"/>
      <c r="U155" s="606"/>
      <c r="V155" s="606"/>
      <c r="W155" s="606"/>
      <c r="X155" s="606"/>
      <c r="Y155" s="606"/>
      <c r="Z155" s="606"/>
      <c r="AA155" s="606"/>
    </row>
    <row r="156" spans="1:27" s="69" customFormat="1" hidden="1" x14ac:dyDescent="0.2">
      <c r="Q156" s="606"/>
      <c r="R156" s="606"/>
      <c r="S156" s="606"/>
      <c r="T156" s="606"/>
      <c r="U156" s="606"/>
      <c r="V156" s="606"/>
      <c r="W156" s="606"/>
      <c r="X156" s="606"/>
      <c r="Y156" s="606"/>
      <c r="Z156" s="606"/>
      <c r="AA156" s="606"/>
    </row>
    <row r="157" spans="1:27" s="69" customFormat="1" hidden="1" x14ac:dyDescent="0.2">
      <c r="A157" s="74"/>
      <c r="O157" s="262"/>
      <c r="P157" s="606"/>
      <c r="Q157" s="606"/>
      <c r="R157" s="606"/>
      <c r="S157" s="606"/>
      <c r="T157" s="606"/>
      <c r="U157" s="606"/>
      <c r="V157" s="606"/>
      <c r="W157" s="606"/>
      <c r="X157" s="606"/>
      <c r="Y157" s="606"/>
      <c r="Z157" s="606"/>
      <c r="AA157" s="606"/>
    </row>
    <row r="158" spans="1:27" s="69" customFormat="1" hidden="1" x14ac:dyDescent="0.2">
      <c r="A158" s="74"/>
      <c r="O158" s="262"/>
      <c r="P158" s="606"/>
      <c r="Q158" s="606"/>
      <c r="R158" s="606"/>
      <c r="S158" s="606"/>
      <c r="T158" s="606"/>
      <c r="U158" s="606"/>
      <c r="V158" s="606"/>
      <c r="W158" s="606"/>
      <c r="X158" s="606"/>
      <c r="Y158" s="606"/>
      <c r="Z158" s="606"/>
      <c r="AA158" s="606"/>
    </row>
    <row r="159" spans="1:27" s="69" customFormat="1" hidden="1" x14ac:dyDescent="0.2">
      <c r="A159" s="74"/>
      <c r="O159" s="262"/>
      <c r="P159" s="606"/>
      <c r="Q159" s="606"/>
      <c r="R159" s="606"/>
      <c r="S159" s="606"/>
      <c r="T159" s="606"/>
      <c r="U159" s="606"/>
      <c r="V159" s="606"/>
      <c r="W159" s="606"/>
      <c r="X159" s="606"/>
      <c r="Y159" s="606"/>
      <c r="Z159" s="606"/>
      <c r="AA159" s="606"/>
    </row>
    <row r="160" spans="1:27" s="69" customFormat="1" hidden="1" x14ac:dyDescent="0.2">
      <c r="A160" s="74"/>
      <c r="O160" s="262"/>
      <c r="P160" s="606"/>
      <c r="Q160" s="606"/>
      <c r="R160" s="606"/>
      <c r="S160" s="606"/>
      <c r="T160" s="606"/>
      <c r="U160" s="606"/>
      <c r="V160" s="606"/>
      <c r="W160" s="606"/>
      <c r="X160" s="606"/>
      <c r="Y160" s="606"/>
      <c r="Z160" s="606"/>
      <c r="AA160" s="606"/>
    </row>
    <row r="161" spans="1:27" s="69" customFormat="1" hidden="1" x14ac:dyDescent="0.2">
      <c r="A161" s="74"/>
      <c r="O161" s="262"/>
      <c r="P161" s="606"/>
      <c r="Q161" s="606"/>
      <c r="R161" s="606"/>
      <c r="S161" s="606"/>
      <c r="T161" s="606"/>
      <c r="U161" s="606"/>
      <c r="V161" s="606"/>
      <c r="W161" s="606"/>
      <c r="X161" s="606"/>
      <c r="Y161" s="606"/>
      <c r="Z161" s="606"/>
      <c r="AA161" s="606"/>
    </row>
    <row r="162" spans="1:27" s="69" customFormat="1" hidden="1" x14ac:dyDescent="0.2">
      <c r="A162" s="74"/>
      <c r="O162" s="262"/>
      <c r="P162" s="606"/>
      <c r="Q162" s="606"/>
      <c r="R162" s="606"/>
      <c r="S162" s="606"/>
      <c r="T162" s="606"/>
      <c r="U162" s="606"/>
      <c r="V162" s="606"/>
      <c r="W162" s="606"/>
      <c r="X162" s="606"/>
      <c r="Y162" s="606"/>
      <c r="Z162" s="606"/>
      <c r="AA162" s="606"/>
    </row>
    <row r="163" spans="1:27" s="69" customFormat="1" hidden="1" x14ac:dyDescent="0.2">
      <c r="A163" s="74"/>
      <c r="O163" s="262"/>
    </row>
    <row r="164" spans="1:27" s="69" customFormat="1" hidden="1" x14ac:dyDescent="0.2">
      <c r="A164" s="74"/>
      <c r="O164" s="262"/>
    </row>
    <row r="165" spans="1:27" s="69" customFormat="1" hidden="1" x14ac:dyDescent="0.2">
      <c r="A165" s="74"/>
      <c r="O165" s="262"/>
    </row>
    <row r="166" spans="1:27" s="69" customFormat="1" hidden="1" x14ac:dyDescent="0.2">
      <c r="A166" s="74"/>
      <c r="O166" s="262"/>
      <c r="S166" s="262"/>
      <c r="T166" s="262"/>
      <c r="U166" s="262"/>
      <c r="V166" s="262"/>
      <c r="W166" s="262"/>
      <c r="X166" s="262"/>
      <c r="Y166" s="262"/>
      <c r="Z166" s="262"/>
    </row>
    <row r="167" spans="1:27" s="69" customFormat="1" hidden="1" x14ac:dyDescent="0.2">
      <c r="A167" s="74"/>
      <c r="O167" s="262"/>
      <c r="S167" s="262"/>
      <c r="T167" s="262"/>
      <c r="U167" s="262"/>
      <c r="V167" s="262"/>
      <c r="W167" s="262"/>
      <c r="X167" s="262"/>
      <c r="Y167" s="262"/>
      <c r="Z167" s="262"/>
    </row>
    <row r="168" spans="1:27" s="69" customFormat="1" hidden="1" x14ac:dyDescent="0.2"/>
    <row r="169" spans="1:27" s="69" customFormat="1" hidden="1" x14ac:dyDescent="0.2"/>
    <row r="170" spans="1:27" s="69" customFormat="1" hidden="1" x14ac:dyDescent="0.2"/>
    <row r="171" spans="1:27" s="69" customFormat="1" hidden="1" x14ac:dyDescent="0.2"/>
    <row r="172" spans="1:27" s="69" customFormat="1" hidden="1" x14ac:dyDescent="0.2"/>
    <row r="173" spans="1:27" s="69" customFormat="1" hidden="1" x14ac:dyDescent="0.2"/>
    <row r="174" spans="1:27" s="69" customFormat="1" hidden="1" x14ac:dyDescent="0.2"/>
    <row r="175" spans="1:27" s="69" customFormat="1" hidden="1" x14ac:dyDescent="0.2"/>
    <row r="176" spans="1:27" s="69" customFormat="1" hidden="1" x14ac:dyDescent="0.2"/>
    <row r="177" spans="12:12" s="69" customFormat="1" hidden="1" x14ac:dyDescent="0.2"/>
    <row r="178" spans="12:12" s="69" customFormat="1" hidden="1" x14ac:dyDescent="0.2">
      <c r="L178" s="262"/>
    </row>
    <row r="179" spans="12:12" s="69" customFormat="1" hidden="1" x14ac:dyDescent="0.2">
      <c r="L179" s="262"/>
    </row>
    <row r="180" spans="12:12" s="69" customFormat="1" hidden="1" x14ac:dyDescent="0.2"/>
    <row r="181" spans="12:12" s="69" customFormat="1" hidden="1" x14ac:dyDescent="0.2"/>
    <row r="182" spans="12:12" s="69" customFormat="1" hidden="1" x14ac:dyDescent="0.2"/>
    <row r="183" spans="12:12" s="69" customFormat="1" hidden="1" x14ac:dyDescent="0.2"/>
    <row r="184" spans="12:12" s="69" customFormat="1" hidden="1" x14ac:dyDescent="0.2"/>
    <row r="185" spans="12:12" s="69" customFormat="1" hidden="1" x14ac:dyDescent="0.2"/>
    <row r="186" spans="12:12" s="69" customFormat="1" hidden="1" x14ac:dyDescent="0.2"/>
    <row r="187" spans="12:12" s="69" customFormat="1" hidden="1" x14ac:dyDescent="0.2"/>
    <row r="188" spans="12:12" s="69" customFormat="1" hidden="1" x14ac:dyDescent="0.2"/>
    <row r="189" spans="12:12" s="69" customFormat="1" hidden="1" x14ac:dyDescent="0.2"/>
    <row r="190" spans="12:12" s="69" customFormat="1" hidden="1" x14ac:dyDescent="0.2"/>
    <row r="191" spans="12:12" s="69" customFormat="1" hidden="1" x14ac:dyDescent="0.2"/>
    <row r="192" spans="12:12" s="69" customFormat="1" hidden="1" x14ac:dyDescent="0.2"/>
    <row r="193" spans="11:33" hidden="1" x14ac:dyDescent="0.2">
      <c r="K193" s="69"/>
      <c r="L193" s="69"/>
      <c r="M193" s="69"/>
      <c r="S193" s="69"/>
      <c r="T193" s="69"/>
      <c r="U193" s="69"/>
      <c r="V193" s="69"/>
      <c r="W193" s="69"/>
      <c r="X193" s="69"/>
      <c r="Y193" s="69"/>
      <c r="Z193" s="69"/>
      <c r="AG193" s="69"/>
    </row>
    <row r="194" spans="11:33" hidden="1" x14ac:dyDescent="0.2">
      <c r="K194" s="69"/>
      <c r="L194" s="69"/>
      <c r="M194" s="69"/>
      <c r="S194" s="69"/>
      <c r="T194" s="69"/>
      <c r="U194" s="69"/>
      <c r="V194" s="69"/>
      <c r="W194" s="69"/>
      <c r="X194" s="69"/>
      <c r="Y194" s="69"/>
      <c r="Z194" s="69"/>
      <c r="AG194" s="69"/>
    </row>
    <row r="195" spans="11:33" hidden="1" x14ac:dyDescent="0.2">
      <c r="K195" s="69"/>
      <c r="L195" s="69"/>
      <c r="M195" s="69"/>
      <c r="S195" s="69"/>
      <c r="T195" s="69"/>
      <c r="U195" s="69"/>
      <c r="V195" s="69"/>
      <c r="W195" s="69"/>
      <c r="X195" s="69"/>
      <c r="Y195" s="69"/>
      <c r="Z195" s="69"/>
      <c r="AG195" s="69"/>
    </row>
    <row r="196" spans="11:33" hidden="1" x14ac:dyDescent="0.2">
      <c r="K196" s="69"/>
      <c r="L196" s="69"/>
      <c r="M196" s="69"/>
      <c r="S196" s="69"/>
      <c r="T196" s="69"/>
      <c r="U196" s="69"/>
      <c r="V196" s="69"/>
      <c r="W196" s="69"/>
      <c r="X196" s="69"/>
      <c r="Y196" s="69"/>
      <c r="Z196" s="69"/>
      <c r="AG196" s="69"/>
    </row>
    <row r="197" spans="11:33" hidden="1" x14ac:dyDescent="0.2">
      <c r="K197" s="69"/>
      <c r="L197" s="69"/>
      <c r="M197" s="69"/>
      <c r="S197" s="69"/>
      <c r="T197" s="69"/>
      <c r="U197" s="69"/>
      <c r="V197" s="69"/>
      <c r="W197" s="69"/>
      <c r="X197" s="69"/>
      <c r="Y197" s="69"/>
      <c r="Z197" s="69"/>
      <c r="AG197" s="69"/>
    </row>
    <row r="198" spans="11:33" hidden="1" x14ac:dyDescent="0.2">
      <c r="K198" s="69"/>
      <c r="L198" s="69"/>
      <c r="M198" s="69"/>
      <c r="S198" s="69"/>
      <c r="T198" s="69"/>
      <c r="U198" s="69"/>
      <c r="V198" s="69"/>
      <c r="W198" s="69"/>
      <c r="X198" s="69"/>
      <c r="Y198" s="69"/>
      <c r="Z198" s="69"/>
      <c r="AG198" s="69"/>
    </row>
    <row r="199" spans="11:33" hidden="1" x14ac:dyDescent="0.2">
      <c r="K199" s="69"/>
      <c r="L199" s="69"/>
      <c r="M199" s="69"/>
      <c r="S199" s="69"/>
      <c r="T199" s="69"/>
      <c r="U199" s="69"/>
      <c r="V199" s="69"/>
      <c r="W199" s="69"/>
      <c r="X199" s="69"/>
      <c r="Y199" s="69"/>
      <c r="Z199" s="69"/>
      <c r="AG199" s="69"/>
    </row>
    <row r="200" spans="11:33" hidden="1" x14ac:dyDescent="0.2">
      <c r="K200" s="69"/>
      <c r="L200" s="69"/>
      <c r="M200" s="69"/>
      <c r="S200" s="69"/>
      <c r="T200" s="69"/>
      <c r="U200" s="69"/>
      <c r="V200" s="69"/>
      <c r="W200" s="69"/>
      <c r="X200" s="69"/>
      <c r="Y200" s="69"/>
      <c r="Z200" s="69"/>
      <c r="AG200" s="69"/>
    </row>
    <row r="201" spans="11:33" hidden="1" x14ac:dyDescent="0.2">
      <c r="K201" s="69"/>
      <c r="L201" s="69"/>
      <c r="M201" s="69"/>
      <c r="S201" s="69"/>
      <c r="T201" s="69"/>
      <c r="U201" s="69"/>
      <c r="V201" s="69"/>
      <c r="W201" s="69"/>
      <c r="X201" s="69"/>
      <c r="Y201" s="69"/>
      <c r="Z201" s="69"/>
      <c r="AG201" s="69"/>
    </row>
    <row r="202" spans="11:33" hidden="1" x14ac:dyDescent="0.2">
      <c r="K202" s="69"/>
      <c r="L202" s="69"/>
      <c r="M202" s="69"/>
      <c r="S202" s="69"/>
      <c r="T202" s="69"/>
      <c r="U202" s="69"/>
      <c r="V202" s="69"/>
      <c r="W202" s="69"/>
      <c r="X202" s="69"/>
      <c r="Y202" s="69"/>
      <c r="Z202" s="69"/>
      <c r="AG202" s="69"/>
    </row>
    <row r="203" spans="11:33" hidden="1" x14ac:dyDescent="0.2">
      <c r="K203" s="69"/>
      <c r="L203" s="69"/>
      <c r="M203" s="69"/>
      <c r="S203" s="69"/>
      <c r="T203" s="69"/>
      <c r="U203" s="69"/>
      <c r="V203" s="69"/>
      <c r="W203" s="69"/>
      <c r="X203" s="69"/>
      <c r="Y203" s="69"/>
      <c r="Z203" s="69"/>
      <c r="AG203" s="69"/>
    </row>
    <row r="204" spans="11:33" hidden="1" x14ac:dyDescent="0.2">
      <c r="K204" s="69"/>
      <c r="L204" s="69"/>
      <c r="M204" s="69"/>
      <c r="S204" s="69"/>
      <c r="T204" s="69"/>
      <c r="U204" s="69"/>
      <c r="V204" s="69"/>
      <c r="W204" s="69"/>
      <c r="X204" s="69"/>
      <c r="Y204" s="69"/>
      <c r="Z204" s="69"/>
      <c r="AG204" s="69"/>
    </row>
    <row r="205" spans="11:33" hidden="1" x14ac:dyDescent="0.2">
      <c r="K205" s="69"/>
      <c r="L205" s="69"/>
      <c r="M205" s="69"/>
      <c r="S205" s="69"/>
      <c r="T205" s="69"/>
      <c r="U205" s="69"/>
      <c r="V205" s="69"/>
      <c r="W205" s="69"/>
      <c r="X205" s="69"/>
      <c r="Y205" s="69"/>
      <c r="Z205" s="69"/>
      <c r="AG205" s="69"/>
    </row>
    <row r="206" spans="11:33" hidden="1" x14ac:dyDescent="0.2">
      <c r="K206" s="69"/>
      <c r="L206" s="69"/>
      <c r="M206" s="69"/>
      <c r="S206" s="69"/>
      <c r="T206" s="69"/>
      <c r="U206" s="69"/>
      <c r="V206" s="69"/>
      <c r="W206" s="69"/>
      <c r="X206" s="69"/>
      <c r="Y206" s="69"/>
      <c r="Z206" s="69"/>
      <c r="AG206" s="69"/>
    </row>
    <row r="207" spans="11:33" hidden="1" x14ac:dyDescent="0.2">
      <c r="K207" s="69"/>
      <c r="L207" s="69"/>
      <c r="M207" s="69"/>
      <c r="S207" s="69"/>
      <c r="T207" s="69"/>
      <c r="U207" s="69"/>
      <c r="V207" s="69"/>
      <c r="W207" s="69"/>
      <c r="X207" s="69"/>
      <c r="Y207" s="69"/>
      <c r="Z207" s="69"/>
      <c r="AG207" s="69"/>
    </row>
    <row r="208" spans="11:33"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c r="E293" s="611"/>
    </row>
    <row r="294" spans="1:46" hidden="1" x14ac:dyDescent="0.2">
      <c r="E294" s="74"/>
    </row>
    <row r="295" spans="1:46" hidden="1" x14ac:dyDescent="0.2">
      <c r="E295" s="606"/>
    </row>
    <row r="296" spans="1:46" hidden="1" x14ac:dyDescent="0.2">
      <c r="E296" s="606"/>
    </row>
    <row r="297" spans="1:46" hidden="1" x14ac:dyDescent="0.2">
      <c r="E297" s="606"/>
    </row>
    <row r="298" spans="1:46" x14ac:dyDescent="0.2">
      <c r="E298" s="606"/>
      <c r="AS298" s="262"/>
    </row>
    <row r="299" spans="1:46" x14ac:dyDescent="0.2">
      <c r="A299" s="623"/>
      <c r="B299" s="623"/>
      <c r="C299" s="264" t="s">
        <v>220</v>
      </c>
      <c r="D299" s="611"/>
      <c r="E299" s="606"/>
      <c r="AS299" s="262"/>
      <c r="AT299" s="262"/>
    </row>
    <row r="300" spans="1:46" x14ac:dyDescent="0.2">
      <c r="A300" s="624">
        <v>1</v>
      </c>
      <c r="B300" s="680" t="str">
        <f t="shared" ref="B300:B311" si="10">IFERROR(INDEX(M$100:M$292,MATCH(A300&amp;". koht",M$101:M$293,0)),"")</f>
        <v>Aivar Sein, Maive Sein, Varje Reede</v>
      </c>
      <c r="C300" s="74">
        <v>115</v>
      </c>
      <c r="D300" s="74"/>
      <c r="E300" s="606"/>
      <c r="AS300" s="262"/>
      <c r="AT300" s="262"/>
    </row>
    <row r="301" spans="1:46" x14ac:dyDescent="0.2">
      <c r="A301" s="624">
        <v>2</v>
      </c>
      <c r="B301" s="261" t="str">
        <f t="shared" si="10"/>
        <v>Janek Kiisk, Kadri Veljend, Ruudi Väärtnõu</v>
      </c>
      <c r="C301" s="606">
        <v>105</v>
      </c>
      <c r="D301" s="606"/>
      <c r="E301" s="606"/>
      <c r="AS301" s="262"/>
      <c r="AT301" s="262"/>
    </row>
    <row r="302" spans="1:46" x14ac:dyDescent="0.2">
      <c r="A302" s="624">
        <v>3</v>
      </c>
      <c r="B302" s="261" t="str">
        <f t="shared" si="10"/>
        <v>Kertu Palm, Marek Kolk, Urmo Auväärt</v>
      </c>
      <c r="C302" s="606">
        <v>97</v>
      </c>
      <c r="D302" s="606"/>
      <c r="E302" s="606"/>
      <c r="AS302" s="262"/>
      <c r="AT302" s="262"/>
    </row>
    <row r="303" spans="1:46" x14ac:dyDescent="0.2">
      <c r="A303" s="624">
        <v>4</v>
      </c>
      <c r="B303" s="261" t="str">
        <f t="shared" si="10"/>
        <v>Irene Võrklaev, Marta Ruus, Valmar Pantšenko</v>
      </c>
      <c r="C303" s="606">
        <v>90</v>
      </c>
      <c r="D303" s="606"/>
      <c r="E303" s="606"/>
      <c r="AS303" s="262"/>
      <c r="AT303" s="262"/>
    </row>
    <row r="304" spans="1:46" x14ac:dyDescent="0.2">
      <c r="A304" s="624">
        <v>5</v>
      </c>
      <c r="B304" s="261" t="str">
        <f t="shared" si="10"/>
        <v>Kadri Arunurm, Kalju Olmre, Marge Mägi</v>
      </c>
      <c r="C304" s="606">
        <v>84</v>
      </c>
      <c r="D304" s="606"/>
      <c r="AS304" s="262"/>
      <c r="AT304" s="262"/>
    </row>
    <row r="305" spans="1:46" x14ac:dyDescent="0.2">
      <c r="A305" s="624">
        <v>6</v>
      </c>
      <c r="B305" s="261" t="str">
        <f t="shared" si="10"/>
        <v>Egert Kingissepp, Katrin Tiido, Mare Kingissepp</v>
      </c>
      <c r="C305" s="606">
        <v>79</v>
      </c>
      <c r="D305" s="606"/>
      <c r="AS305" s="262"/>
      <c r="AT305" s="262"/>
    </row>
    <row r="306" spans="1:46" x14ac:dyDescent="0.2">
      <c r="A306" s="624">
        <v>7</v>
      </c>
      <c r="B306" s="261" t="str">
        <f t="shared" si="10"/>
        <v>Aigi Orro, Elmo Lageda, Kalle Orro</v>
      </c>
      <c r="C306" s="606">
        <v>74</v>
      </c>
      <c r="D306" s="606"/>
      <c r="AS306" s="262"/>
      <c r="AT306" s="262"/>
    </row>
    <row r="307" spans="1:46" x14ac:dyDescent="0.2">
      <c r="A307" s="624">
        <v>8</v>
      </c>
      <c r="B307" s="261" t="str">
        <f t="shared" si="10"/>
        <v>Alar Sinimäe, Kevin Sten Liik, Silver Kingissepp</v>
      </c>
      <c r="C307" s="606">
        <v>69</v>
      </c>
      <c r="D307" s="606"/>
      <c r="AS307" s="262"/>
      <c r="AT307" s="262"/>
    </row>
    <row r="308" spans="1:46" x14ac:dyDescent="0.2">
      <c r="A308" s="624">
        <v>9</v>
      </c>
      <c r="B308" s="261" t="str">
        <f t="shared" si="10"/>
        <v>Jaan Sepp, Mait Metsla, Oskar Sepp</v>
      </c>
      <c r="C308" s="606">
        <v>64</v>
      </c>
      <c r="D308" s="606"/>
      <c r="AS308" s="262"/>
      <c r="AT308" s="262"/>
    </row>
    <row r="309" spans="1:46" x14ac:dyDescent="0.2">
      <c r="A309" s="624">
        <v>10</v>
      </c>
      <c r="B309" s="261" t="str">
        <f t="shared" si="10"/>
        <v>Marek Lehis, Margo Peebo, Margus Strööm</v>
      </c>
      <c r="C309" s="606">
        <v>60</v>
      </c>
      <c r="D309" s="606"/>
      <c r="AS309" s="262"/>
      <c r="AT309" s="262"/>
    </row>
    <row r="310" spans="1:46" x14ac:dyDescent="0.2">
      <c r="A310" s="624">
        <v>11</v>
      </c>
      <c r="B310" s="261" t="str">
        <f t="shared" si="10"/>
        <v>Henri Mitt, Johannes Neiland, Lemmit Toomra</v>
      </c>
      <c r="C310" s="606">
        <v>56</v>
      </c>
      <c r="D310" s="606"/>
      <c r="AS310" s="262"/>
      <c r="AT310" s="262"/>
    </row>
    <row r="311" spans="1:46" x14ac:dyDescent="0.2">
      <c r="A311" s="624">
        <v>12</v>
      </c>
      <c r="B311" s="261" t="str">
        <f t="shared" si="10"/>
        <v>Andres Veski, Kenneth Muusikus, Svetlana Veski</v>
      </c>
      <c r="C311" s="69">
        <v>52</v>
      </c>
      <c r="AS311" s="262"/>
      <c r="AT311" s="262"/>
    </row>
    <row r="312" spans="1:46" hidden="1" x14ac:dyDescent="0.2">
      <c r="C312" s="69">
        <v>49</v>
      </c>
      <c r="AH312" s="672">
        <f t="shared" ref="AH312:AH333" si="11">SUM(AJ312:AR312)</f>
        <v>0</v>
      </c>
      <c r="AI312" s="676" t="str">
        <f t="shared" ref="AI312:AI333" si="12">IFERROR(LEFT($B312,(FIND(",",$B312,1)-1)),"")</f>
        <v/>
      </c>
      <c r="AJ312" s="675" t="str">
        <f>IFERROR(INDEX(Üldreiting!$M:$M,MATCH(AI312,Üldreiting!$H:$H,0)),"")</f>
        <v/>
      </c>
      <c r="AK312" s="676" t="str">
        <f t="shared" ref="AK312:AK333" si="13">IFERROR(MID($B312,FIND("^",SUBSTITUTE($B312,", ","^",1))+2,FIND("^",SUBSTITUTE($B312,", ","^",2))-FIND("^",SUBSTITUTE($B312,", ","^",1))-2),"")</f>
        <v/>
      </c>
      <c r="AL312" s="675" t="str">
        <f>IFERROR(INDEX(Üldreiting!$M:$M,MATCH(AK312,Üldreiting!$H:$H,0)),"")</f>
        <v/>
      </c>
      <c r="AM312" s="676" t="str">
        <f t="shared" ref="AM312:AM333" si="14">IFERROR(MID($B312,FIND(", ",$B312,FIND(", ",$B312,FIND(", ",$B312))+1)+2,30000),"")</f>
        <v/>
      </c>
      <c r="AN312" s="675" t="str">
        <f>IFERROR(INDEX(Üldreiting!$M:$M,MATCH(AM312,Üldreiting!$H:$H,0)),"")</f>
        <v/>
      </c>
      <c r="AO312" s="674" t="str">
        <f t="shared" ref="AO312:AO333" si="15">IFERROR(MID($B312,FIND(", ",$B312,FIND(", ",$B312)+1)+2,FIND(", ",$B312,FIND(", ",$B312,FIND(", ",$B312)+1)+1)-FIND(", ",$B312,FIND(", ",$B312)+1)-2),"")</f>
        <v/>
      </c>
      <c r="AP312" s="675" t="str">
        <f>IFERROR(INDEX(Üldreiting!$M:$M,MATCH(AO312,Üldreiting!$H:$H,0)),"")</f>
        <v/>
      </c>
      <c r="AQ312" s="676" t="str">
        <f t="shared" ref="AQ312:AQ333" si="16">IFERROR(MID($B312,FIND(", ",$B312,FIND(", ",$B312,FIND(", ",$B312)+1)+1)+2,30000),"")</f>
        <v/>
      </c>
      <c r="AR312" s="675" t="str">
        <f>IFERROR(INDEX(Üldreiting!$M:$M,MATCH(AQ312,Üldreiting!$H:$H,0)),"")</f>
        <v/>
      </c>
      <c r="AS312" s="262"/>
      <c r="AT312" s="262"/>
    </row>
    <row r="313" spans="1:46" hidden="1" x14ac:dyDescent="0.2">
      <c r="C313" s="69">
        <v>46</v>
      </c>
      <c r="AH313" s="672">
        <f t="shared" si="11"/>
        <v>0</v>
      </c>
      <c r="AI313" s="676" t="str">
        <f t="shared" si="12"/>
        <v/>
      </c>
      <c r="AJ313" s="675" t="str">
        <f>IFERROR(INDEX(Üldreiting!$M:$M,MATCH(AI313,Üldreiting!$H:$H,0)),"")</f>
        <v/>
      </c>
      <c r="AK313" s="676" t="str">
        <f t="shared" si="13"/>
        <v/>
      </c>
      <c r="AL313" s="675" t="str">
        <f>IFERROR(INDEX(Üldreiting!$M:$M,MATCH(AK313,Üldreiting!$H:$H,0)),"")</f>
        <v/>
      </c>
      <c r="AM313" s="676" t="str">
        <f t="shared" si="14"/>
        <v/>
      </c>
      <c r="AN313" s="675" t="str">
        <f>IFERROR(INDEX(Üldreiting!$M:$M,MATCH(AM313,Üldreiting!$H:$H,0)),"")</f>
        <v/>
      </c>
      <c r="AO313" s="674" t="str">
        <f t="shared" si="15"/>
        <v/>
      </c>
      <c r="AP313" s="675" t="str">
        <f>IFERROR(INDEX(Üldreiting!$M:$M,MATCH(AO313,Üldreiting!$H:$H,0)),"")</f>
        <v/>
      </c>
      <c r="AQ313" s="676" t="str">
        <f t="shared" si="16"/>
        <v/>
      </c>
      <c r="AR313" s="675" t="str">
        <f>IFERROR(INDEX(Üldreiting!$M:$M,MATCH(AQ313,Üldreiting!$H:$H,0)),"")</f>
        <v/>
      </c>
      <c r="AS313" s="262"/>
      <c r="AT313" s="262"/>
    </row>
    <row r="314" spans="1:46" hidden="1" x14ac:dyDescent="0.2">
      <c r="C314" s="69">
        <v>43</v>
      </c>
      <c r="AH314" s="672">
        <f t="shared" si="11"/>
        <v>0</v>
      </c>
      <c r="AI314" s="676" t="str">
        <f t="shared" si="12"/>
        <v/>
      </c>
      <c r="AJ314" s="675" t="str">
        <f>IFERROR(INDEX(Üldreiting!$M:$M,MATCH(AI314,Üldreiting!$H:$H,0)),"")</f>
        <v/>
      </c>
      <c r="AK314" s="676" t="str">
        <f t="shared" si="13"/>
        <v/>
      </c>
      <c r="AL314" s="675" t="str">
        <f>IFERROR(INDEX(Üldreiting!$M:$M,MATCH(AK314,Üldreiting!$H:$H,0)),"")</f>
        <v/>
      </c>
      <c r="AM314" s="676" t="str">
        <f t="shared" si="14"/>
        <v/>
      </c>
      <c r="AN314" s="675" t="str">
        <f>IFERROR(INDEX(Üldreiting!$M:$M,MATCH(AM314,Üldreiting!$H:$H,0)),"")</f>
        <v/>
      </c>
      <c r="AO314" s="674" t="str">
        <f t="shared" si="15"/>
        <v/>
      </c>
      <c r="AP314" s="675" t="str">
        <f>IFERROR(INDEX(Üldreiting!$M:$M,MATCH(AO314,Üldreiting!$H:$H,0)),"")</f>
        <v/>
      </c>
      <c r="AQ314" s="676" t="str">
        <f t="shared" si="16"/>
        <v/>
      </c>
      <c r="AR314" s="675" t="str">
        <f>IFERROR(INDEX(Üldreiting!$M:$M,MATCH(AQ314,Üldreiting!$H:$H,0)),"")</f>
        <v/>
      </c>
      <c r="AS314" s="262"/>
      <c r="AT314" s="262"/>
    </row>
    <row r="315" spans="1:46" hidden="1" x14ac:dyDescent="0.2">
      <c r="C315" s="69">
        <v>40</v>
      </c>
      <c r="AH315" s="672">
        <f t="shared" si="11"/>
        <v>0</v>
      </c>
      <c r="AI315" s="676" t="str">
        <f t="shared" si="12"/>
        <v/>
      </c>
      <c r="AJ315" s="675" t="str">
        <f>IFERROR(INDEX(Üldreiting!$M:$M,MATCH(AI315,Üldreiting!$H:$H,0)),"")</f>
        <v/>
      </c>
      <c r="AK315" s="676" t="str">
        <f t="shared" si="13"/>
        <v/>
      </c>
      <c r="AL315" s="675" t="str">
        <f>IFERROR(INDEX(Üldreiting!$M:$M,MATCH(AK315,Üldreiting!$H:$H,0)),"")</f>
        <v/>
      </c>
      <c r="AM315" s="676" t="str">
        <f t="shared" si="14"/>
        <v/>
      </c>
      <c r="AN315" s="675" t="str">
        <f>IFERROR(INDEX(Üldreiting!$M:$M,MATCH(AM315,Üldreiting!$H:$H,0)),"")</f>
        <v/>
      </c>
      <c r="AO315" s="674" t="str">
        <f t="shared" si="15"/>
        <v/>
      </c>
      <c r="AP315" s="675" t="str">
        <f>IFERROR(INDEX(Üldreiting!$M:$M,MATCH(AO315,Üldreiting!$H:$H,0)),"")</f>
        <v/>
      </c>
      <c r="AQ315" s="676" t="str">
        <f t="shared" si="16"/>
        <v/>
      </c>
      <c r="AR315" s="675" t="str">
        <f>IFERROR(INDEX(Üldreiting!$M:$M,MATCH(AQ315,Üldreiting!$H:$H,0)),"")</f>
        <v/>
      </c>
      <c r="AS315" s="262"/>
      <c r="AT315" s="262"/>
    </row>
    <row r="316" spans="1:46" hidden="1" x14ac:dyDescent="0.2">
      <c r="C316" s="69">
        <v>37</v>
      </c>
      <c r="AH316" s="672">
        <f t="shared" si="11"/>
        <v>0</v>
      </c>
      <c r="AI316" s="676" t="str">
        <f t="shared" si="12"/>
        <v/>
      </c>
      <c r="AJ316" s="675" t="str">
        <f>IFERROR(INDEX(Üldreiting!$M:$M,MATCH(AI316,Üldreiting!$H:$H,0)),"")</f>
        <v/>
      </c>
      <c r="AK316" s="676" t="str">
        <f t="shared" si="13"/>
        <v/>
      </c>
      <c r="AL316" s="675" t="str">
        <f>IFERROR(INDEX(Üldreiting!$M:$M,MATCH(AK316,Üldreiting!$H:$H,0)),"")</f>
        <v/>
      </c>
      <c r="AM316" s="676" t="str">
        <f t="shared" si="14"/>
        <v/>
      </c>
      <c r="AN316" s="675" t="str">
        <f>IFERROR(INDEX(Üldreiting!$M:$M,MATCH(AM316,Üldreiting!$H:$H,0)),"")</f>
        <v/>
      </c>
      <c r="AO316" s="674" t="str">
        <f t="shared" si="15"/>
        <v/>
      </c>
      <c r="AP316" s="675" t="str">
        <f>IFERROR(INDEX(Üldreiting!$M:$M,MATCH(AO316,Üldreiting!$H:$H,0)),"")</f>
        <v/>
      </c>
      <c r="AQ316" s="676" t="str">
        <f t="shared" si="16"/>
        <v/>
      </c>
      <c r="AR316" s="675" t="str">
        <f>IFERROR(INDEX(Üldreiting!$M:$M,MATCH(AQ316,Üldreiting!$H:$H,0)),"")</f>
        <v/>
      </c>
      <c r="AS316" s="262"/>
      <c r="AT316" s="262"/>
    </row>
    <row r="317" spans="1:46" hidden="1" x14ac:dyDescent="0.2">
      <c r="C317" s="69">
        <v>34</v>
      </c>
      <c r="AH317" s="672">
        <f t="shared" si="11"/>
        <v>0</v>
      </c>
      <c r="AI317" s="676" t="str">
        <f t="shared" si="12"/>
        <v/>
      </c>
      <c r="AJ317" s="675" t="str">
        <f>IFERROR(INDEX(Üldreiting!$M:$M,MATCH(AI317,Üldreiting!$H:$H,0)),"")</f>
        <v/>
      </c>
      <c r="AK317" s="676" t="str">
        <f t="shared" si="13"/>
        <v/>
      </c>
      <c r="AL317" s="675" t="str">
        <f>IFERROR(INDEX(Üldreiting!$M:$M,MATCH(AK317,Üldreiting!$H:$H,0)),"")</f>
        <v/>
      </c>
      <c r="AM317" s="676" t="str">
        <f t="shared" si="14"/>
        <v/>
      </c>
      <c r="AN317" s="675" t="str">
        <f>IFERROR(INDEX(Üldreiting!$M:$M,MATCH(AM317,Üldreiting!$H:$H,0)),"")</f>
        <v/>
      </c>
      <c r="AO317" s="674" t="str">
        <f t="shared" si="15"/>
        <v/>
      </c>
      <c r="AP317" s="675" t="str">
        <f>IFERROR(INDEX(Üldreiting!$M:$M,MATCH(AO317,Üldreiting!$H:$H,0)),"")</f>
        <v/>
      </c>
      <c r="AQ317" s="676" t="str">
        <f t="shared" si="16"/>
        <v/>
      </c>
      <c r="AR317" s="675" t="str">
        <f>IFERROR(INDEX(Üldreiting!$M:$M,MATCH(AQ317,Üldreiting!$H:$H,0)),"")</f>
        <v/>
      </c>
      <c r="AS317" s="262"/>
      <c r="AT317" s="262"/>
    </row>
    <row r="318" spans="1:46" hidden="1" x14ac:dyDescent="0.2">
      <c r="C318" s="69">
        <v>31</v>
      </c>
      <c r="AH318" s="672">
        <f t="shared" si="11"/>
        <v>0</v>
      </c>
      <c r="AI318" s="676" t="str">
        <f t="shared" si="12"/>
        <v/>
      </c>
      <c r="AJ318" s="675" t="str">
        <f>IFERROR(INDEX(Üldreiting!$M:$M,MATCH(AI318,Üldreiting!$H:$H,0)),"")</f>
        <v/>
      </c>
      <c r="AK318" s="676" t="str">
        <f t="shared" si="13"/>
        <v/>
      </c>
      <c r="AL318" s="675" t="str">
        <f>IFERROR(INDEX(Üldreiting!$M:$M,MATCH(AK318,Üldreiting!$H:$H,0)),"")</f>
        <v/>
      </c>
      <c r="AM318" s="676" t="str">
        <f t="shared" si="14"/>
        <v/>
      </c>
      <c r="AN318" s="675" t="str">
        <f>IFERROR(INDEX(Üldreiting!$M:$M,MATCH(AM318,Üldreiting!$H:$H,0)),"")</f>
        <v/>
      </c>
      <c r="AO318" s="674" t="str">
        <f t="shared" si="15"/>
        <v/>
      </c>
      <c r="AP318" s="675" t="str">
        <f>IFERROR(INDEX(Üldreiting!$M:$M,MATCH(AO318,Üldreiting!$H:$H,0)),"")</f>
        <v/>
      </c>
      <c r="AQ318" s="676" t="str">
        <f t="shared" si="16"/>
        <v/>
      </c>
      <c r="AR318" s="675" t="str">
        <f>IFERROR(INDEX(Üldreiting!$M:$M,MATCH(AQ318,Üldreiting!$H:$H,0)),"")</f>
        <v/>
      </c>
      <c r="AS318" s="262"/>
      <c r="AT318" s="262"/>
    </row>
    <row r="319" spans="1:46" hidden="1" x14ac:dyDescent="0.2">
      <c r="C319" s="69">
        <v>28</v>
      </c>
      <c r="AH319" s="672">
        <f t="shared" si="11"/>
        <v>0</v>
      </c>
      <c r="AI319" s="676" t="str">
        <f t="shared" si="12"/>
        <v/>
      </c>
      <c r="AJ319" s="675" t="str">
        <f>IFERROR(INDEX(Üldreiting!$M:$M,MATCH(AI319,Üldreiting!$H:$H,0)),"")</f>
        <v/>
      </c>
      <c r="AK319" s="676" t="str">
        <f t="shared" si="13"/>
        <v/>
      </c>
      <c r="AL319" s="675" t="str">
        <f>IFERROR(INDEX(Üldreiting!$M:$M,MATCH(AK319,Üldreiting!$H:$H,0)),"")</f>
        <v/>
      </c>
      <c r="AM319" s="676" t="str">
        <f t="shared" si="14"/>
        <v/>
      </c>
      <c r="AN319" s="675" t="str">
        <f>IFERROR(INDEX(Üldreiting!$M:$M,MATCH(AM319,Üldreiting!$H:$H,0)),"")</f>
        <v/>
      </c>
      <c r="AO319" s="674" t="str">
        <f t="shared" si="15"/>
        <v/>
      </c>
      <c r="AP319" s="675" t="str">
        <f>IFERROR(INDEX(Üldreiting!$M:$M,MATCH(AO319,Üldreiting!$H:$H,0)),"")</f>
        <v/>
      </c>
      <c r="AQ319" s="676" t="str">
        <f t="shared" si="16"/>
        <v/>
      </c>
      <c r="AR319" s="675" t="str">
        <f>IFERROR(INDEX(Üldreiting!$M:$M,MATCH(AQ319,Üldreiting!$H:$H,0)),"")</f>
        <v/>
      </c>
      <c r="AS319" s="262"/>
      <c r="AT319" s="262"/>
    </row>
    <row r="320" spans="1:46" hidden="1" x14ac:dyDescent="0.2">
      <c r="C320" s="69">
        <v>25</v>
      </c>
      <c r="AH320" s="672">
        <f t="shared" si="11"/>
        <v>0</v>
      </c>
      <c r="AI320" s="676" t="str">
        <f t="shared" si="12"/>
        <v/>
      </c>
      <c r="AJ320" s="675" t="str">
        <f>IFERROR(INDEX(Üldreiting!$M:$M,MATCH(AI320,Üldreiting!$H:$H,0)),"")</f>
        <v/>
      </c>
      <c r="AK320" s="676" t="str">
        <f t="shared" si="13"/>
        <v/>
      </c>
      <c r="AL320" s="675" t="str">
        <f>IFERROR(INDEX(Üldreiting!$M:$M,MATCH(AK320,Üldreiting!$H:$H,0)),"")</f>
        <v/>
      </c>
      <c r="AM320" s="676" t="str">
        <f t="shared" si="14"/>
        <v/>
      </c>
      <c r="AN320" s="675" t="str">
        <f>IFERROR(INDEX(Üldreiting!$M:$M,MATCH(AM320,Üldreiting!$H:$H,0)),"")</f>
        <v/>
      </c>
      <c r="AO320" s="674" t="str">
        <f t="shared" si="15"/>
        <v/>
      </c>
      <c r="AP320" s="675" t="str">
        <f>IFERROR(INDEX(Üldreiting!$M:$M,MATCH(AO320,Üldreiting!$H:$H,0)),"")</f>
        <v/>
      </c>
      <c r="AQ320" s="676" t="str">
        <f t="shared" si="16"/>
        <v/>
      </c>
      <c r="AR320" s="675" t="str">
        <f>IFERROR(INDEX(Üldreiting!$M:$M,MATCH(AQ320,Üldreiting!$H:$H,0)),"")</f>
        <v/>
      </c>
      <c r="AS320" s="262"/>
      <c r="AT320" s="262"/>
    </row>
    <row r="321" spans="3:46" hidden="1" x14ac:dyDescent="0.2">
      <c r="C321" s="69">
        <v>22</v>
      </c>
      <c r="AH321" s="672">
        <f t="shared" si="11"/>
        <v>0</v>
      </c>
      <c r="AI321" s="676" t="str">
        <f t="shared" si="12"/>
        <v/>
      </c>
      <c r="AJ321" s="675" t="str">
        <f>IFERROR(INDEX(Üldreiting!$M:$M,MATCH(AI321,Üldreiting!$H:$H,0)),"")</f>
        <v/>
      </c>
      <c r="AK321" s="676" t="str">
        <f t="shared" si="13"/>
        <v/>
      </c>
      <c r="AL321" s="675" t="str">
        <f>IFERROR(INDEX(Üldreiting!$M:$M,MATCH(AK321,Üldreiting!$H:$H,0)),"")</f>
        <v/>
      </c>
      <c r="AM321" s="676" t="str">
        <f t="shared" si="14"/>
        <v/>
      </c>
      <c r="AN321" s="675" t="str">
        <f>IFERROR(INDEX(Üldreiting!$M:$M,MATCH(AM321,Üldreiting!$H:$H,0)),"")</f>
        <v/>
      </c>
      <c r="AO321" s="674" t="str">
        <f t="shared" si="15"/>
        <v/>
      </c>
      <c r="AP321" s="675" t="str">
        <f>IFERROR(INDEX(Üldreiting!$M:$M,MATCH(AO321,Üldreiting!$H:$H,0)),"")</f>
        <v/>
      </c>
      <c r="AQ321" s="676" t="str">
        <f t="shared" si="16"/>
        <v/>
      </c>
      <c r="AR321" s="675" t="str">
        <f>IFERROR(INDEX(Üldreiting!$M:$M,MATCH(AQ321,Üldreiting!$H:$H,0)),"")</f>
        <v/>
      </c>
      <c r="AS321" s="262"/>
      <c r="AT321" s="262"/>
    </row>
    <row r="322" spans="3:46" hidden="1" x14ac:dyDescent="0.2">
      <c r="C322" s="69">
        <v>19</v>
      </c>
      <c r="AH322" s="672">
        <f t="shared" si="11"/>
        <v>0</v>
      </c>
      <c r="AI322" s="676" t="str">
        <f t="shared" si="12"/>
        <v/>
      </c>
      <c r="AJ322" s="675" t="str">
        <f>IFERROR(INDEX(Üldreiting!$M:$M,MATCH(AI322,Üldreiting!$H:$H,0)),"")</f>
        <v/>
      </c>
      <c r="AK322" s="676" t="str">
        <f t="shared" si="13"/>
        <v/>
      </c>
      <c r="AL322" s="675" t="str">
        <f>IFERROR(INDEX(Üldreiting!$M:$M,MATCH(AK322,Üldreiting!$H:$H,0)),"")</f>
        <v/>
      </c>
      <c r="AM322" s="676" t="str">
        <f t="shared" si="14"/>
        <v/>
      </c>
      <c r="AN322" s="675" t="str">
        <f>IFERROR(INDEX(Üldreiting!$M:$M,MATCH(AM322,Üldreiting!$H:$H,0)),"")</f>
        <v/>
      </c>
      <c r="AO322" s="674" t="str">
        <f t="shared" si="15"/>
        <v/>
      </c>
      <c r="AP322" s="675" t="str">
        <f>IFERROR(INDEX(Üldreiting!$M:$M,MATCH(AO322,Üldreiting!$H:$H,0)),"")</f>
        <v/>
      </c>
      <c r="AQ322" s="676" t="str">
        <f t="shared" si="16"/>
        <v/>
      </c>
      <c r="AR322" s="675" t="str">
        <f>IFERROR(INDEX(Üldreiting!$M:$M,MATCH(AQ322,Üldreiting!$H:$H,0)),"")</f>
        <v/>
      </c>
      <c r="AS322" s="262"/>
      <c r="AT322" s="262"/>
    </row>
    <row r="323" spans="3:46" hidden="1" x14ac:dyDescent="0.2">
      <c r="C323" s="69">
        <v>16</v>
      </c>
      <c r="M323" s="69"/>
      <c r="S323" s="675" t="str">
        <f>IFERROR(INDEX([1]Üldreiting!$K:$K,MATCH(#REF!,[1]Üldreiting!$L:$L,0)),"")</f>
        <v/>
      </c>
      <c r="T323" s="676" t="str">
        <f>IFERROR(MID($B330,FIND(", ",$B330,FIND(", ",$B330,FIND(", ",$B330))+1)+2,30000),"")</f>
        <v/>
      </c>
      <c r="U323" s="675" t="str">
        <f>IFERROR(INDEX([1]Üldreiting!$K:$K,MATCH(T323,[1]Üldreiting!$L:$L,0)),"")</f>
        <v/>
      </c>
      <c r="AH323" s="672">
        <f t="shared" si="11"/>
        <v>0</v>
      </c>
      <c r="AI323" s="676" t="str">
        <f t="shared" si="12"/>
        <v/>
      </c>
      <c r="AJ323" s="675" t="str">
        <f>IFERROR(INDEX(Üldreiting!$M:$M,MATCH(AI323,Üldreiting!$H:$H,0)),"")</f>
        <v/>
      </c>
      <c r="AK323" s="676" t="str">
        <f t="shared" si="13"/>
        <v/>
      </c>
      <c r="AL323" s="675" t="str">
        <f>IFERROR(INDEX(Üldreiting!$M:$M,MATCH(AK323,Üldreiting!$H:$H,0)),"")</f>
        <v/>
      </c>
      <c r="AM323" s="676" t="str">
        <f t="shared" si="14"/>
        <v/>
      </c>
      <c r="AN323" s="675" t="str">
        <f>IFERROR(INDEX(Üldreiting!$M:$M,MATCH(AM323,Üldreiting!$H:$H,0)),"")</f>
        <v/>
      </c>
      <c r="AO323" s="674" t="str">
        <f t="shared" si="15"/>
        <v/>
      </c>
      <c r="AP323" s="675" t="str">
        <f>IFERROR(INDEX(Üldreiting!$M:$M,MATCH(AO323,Üldreiting!$H:$H,0)),"")</f>
        <v/>
      </c>
      <c r="AQ323" s="676" t="str">
        <f t="shared" si="16"/>
        <v/>
      </c>
      <c r="AR323" s="675" t="str">
        <f>IFERROR(INDEX(Üldreiting!$M:$M,MATCH(AQ323,Üldreiting!$H:$H,0)),"")</f>
        <v/>
      </c>
      <c r="AS323" s="262"/>
      <c r="AT323" s="262"/>
    </row>
    <row r="324" spans="3:46" hidden="1" x14ac:dyDescent="0.2">
      <c r="C324" s="69">
        <v>14</v>
      </c>
      <c r="M324" s="69"/>
      <c r="S324" s="673"/>
      <c r="T324" s="673"/>
      <c r="U324" s="673"/>
      <c r="AH324" s="672">
        <f t="shared" si="11"/>
        <v>0</v>
      </c>
      <c r="AI324" s="676" t="str">
        <f t="shared" si="12"/>
        <v/>
      </c>
      <c r="AJ324" s="675" t="str">
        <f>IFERROR(INDEX(Üldreiting!$M:$M,MATCH(AI324,Üldreiting!$H:$H,0)),"")</f>
        <v/>
      </c>
      <c r="AK324" s="676" t="str">
        <f t="shared" si="13"/>
        <v/>
      </c>
      <c r="AL324" s="675" t="str">
        <f>IFERROR(INDEX(Üldreiting!$M:$M,MATCH(AK324,Üldreiting!$H:$H,0)),"")</f>
        <v/>
      </c>
      <c r="AM324" s="676" t="str">
        <f t="shared" si="14"/>
        <v/>
      </c>
      <c r="AN324" s="675" t="str">
        <f>IFERROR(INDEX(Üldreiting!$M:$M,MATCH(AM324,Üldreiting!$H:$H,0)),"")</f>
        <v/>
      </c>
      <c r="AO324" s="674" t="str">
        <f t="shared" si="15"/>
        <v/>
      </c>
      <c r="AP324" s="675" t="str">
        <f>IFERROR(INDEX(Üldreiting!$M:$M,MATCH(AO324,Üldreiting!$H:$H,0)),"")</f>
        <v/>
      </c>
      <c r="AQ324" s="676" t="str">
        <f t="shared" si="16"/>
        <v/>
      </c>
      <c r="AR324" s="675" t="str">
        <f>IFERROR(INDEX(Üldreiting!$M:$M,MATCH(AQ324,Üldreiting!$H:$H,0)),"")</f>
        <v/>
      </c>
      <c r="AS324" s="262"/>
      <c r="AT324" s="262"/>
    </row>
    <row r="325" spans="3:46" hidden="1" x14ac:dyDescent="0.2">
      <c r="C325" s="69">
        <v>12</v>
      </c>
      <c r="M325" s="69"/>
      <c r="S325" s="673"/>
      <c r="T325" s="673"/>
      <c r="U325" s="673"/>
      <c r="AH325" s="672">
        <f t="shared" si="11"/>
        <v>0</v>
      </c>
      <c r="AI325" s="676" t="str">
        <f t="shared" si="12"/>
        <v/>
      </c>
      <c r="AJ325" s="675" t="str">
        <f>IFERROR(INDEX(Üldreiting!$M:$M,MATCH(AI325,Üldreiting!$H:$H,0)),"")</f>
        <v/>
      </c>
      <c r="AK325" s="676" t="str">
        <f t="shared" si="13"/>
        <v/>
      </c>
      <c r="AL325" s="675" t="str">
        <f>IFERROR(INDEX(Üldreiting!$M:$M,MATCH(AK325,Üldreiting!$H:$H,0)),"")</f>
        <v/>
      </c>
      <c r="AM325" s="676" t="str">
        <f t="shared" si="14"/>
        <v/>
      </c>
      <c r="AN325" s="675" t="str">
        <f>IFERROR(INDEX(Üldreiting!$M:$M,MATCH(AM325,Üldreiting!$H:$H,0)),"")</f>
        <v/>
      </c>
      <c r="AO325" s="674" t="str">
        <f t="shared" si="15"/>
        <v/>
      </c>
      <c r="AP325" s="675" t="str">
        <f>IFERROR(INDEX(Üldreiting!$M:$M,MATCH(AO325,Üldreiting!$H:$H,0)),"")</f>
        <v/>
      </c>
      <c r="AQ325" s="676" t="str">
        <f t="shared" si="16"/>
        <v/>
      </c>
      <c r="AR325" s="675" t="str">
        <f>IFERROR(INDEX(Üldreiting!$M:$M,MATCH(AQ325,Üldreiting!$H:$H,0)),"")</f>
        <v/>
      </c>
      <c r="AS325" s="262"/>
      <c r="AT325" s="262"/>
    </row>
    <row r="326" spans="3:46" hidden="1" x14ac:dyDescent="0.2">
      <c r="C326" s="69">
        <v>10</v>
      </c>
      <c r="M326" s="69"/>
      <c r="S326" s="675" t="str">
        <f>IFERROR(INDEX([1]Üldreiting!$K:$K,MATCH(#REF!,[1]Üldreiting!$L:$L,0)),"")</f>
        <v/>
      </c>
      <c r="T326" s="676" t="str">
        <f>IFERROR(MID($B333,FIND(", ",$B333,FIND(", ",$B333,FIND(", ",$B333))+1)+2,30000),"")</f>
        <v/>
      </c>
      <c r="U326" s="675" t="str">
        <f>IFERROR(INDEX([1]Üldreiting!$K:$K,MATCH(T326,[1]Üldreiting!$L:$L,0)),"")</f>
        <v/>
      </c>
      <c r="AH326" s="672">
        <f t="shared" si="11"/>
        <v>0</v>
      </c>
      <c r="AI326" s="676" t="str">
        <f t="shared" si="12"/>
        <v/>
      </c>
      <c r="AJ326" s="675" t="str">
        <f>IFERROR(INDEX(Üldreiting!$M:$M,MATCH(AI326,Üldreiting!$H:$H,0)),"")</f>
        <v/>
      </c>
      <c r="AK326" s="676" t="str">
        <f t="shared" si="13"/>
        <v/>
      </c>
      <c r="AL326" s="675" t="str">
        <f>IFERROR(INDEX(Üldreiting!$M:$M,MATCH(AK326,Üldreiting!$H:$H,0)),"")</f>
        <v/>
      </c>
      <c r="AM326" s="676" t="str">
        <f t="shared" si="14"/>
        <v/>
      </c>
      <c r="AN326" s="675" t="str">
        <f>IFERROR(INDEX(Üldreiting!$M:$M,MATCH(AM326,Üldreiting!$H:$H,0)),"")</f>
        <v/>
      </c>
      <c r="AO326" s="674" t="str">
        <f t="shared" si="15"/>
        <v/>
      </c>
      <c r="AP326" s="675" t="str">
        <f>IFERROR(INDEX(Üldreiting!$M:$M,MATCH(AO326,Üldreiting!$H:$H,0)),"")</f>
        <v/>
      </c>
      <c r="AQ326" s="676" t="str">
        <f t="shared" si="16"/>
        <v/>
      </c>
      <c r="AR326" s="675" t="str">
        <f>IFERROR(INDEX(Üldreiting!$M:$M,MATCH(AQ326,Üldreiting!$H:$H,0)),"")</f>
        <v/>
      </c>
      <c r="AS326" s="262"/>
      <c r="AT326" s="262"/>
    </row>
    <row r="327" spans="3:46" hidden="1" x14ac:dyDescent="0.2">
      <c r="C327" s="69">
        <v>8</v>
      </c>
      <c r="M327" s="238"/>
      <c r="N327" s="238"/>
      <c r="O327" s="238"/>
      <c r="P327" s="238"/>
      <c r="Q327" s="238"/>
      <c r="R327" s="238"/>
      <c r="S327" s="238"/>
      <c r="T327" s="238"/>
      <c r="U327" s="238"/>
      <c r="AH327" s="672">
        <f t="shared" si="11"/>
        <v>0</v>
      </c>
      <c r="AI327" s="676" t="str">
        <f t="shared" si="12"/>
        <v/>
      </c>
      <c r="AJ327" s="675" t="str">
        <f>IFERROR(INDEX(Üldreiting!$M:$M,MATCH(AI327,Üldreiting!$H:$H,0)),"")</f>
        <v/>
      </c>
      <c r="AK327" s="676" t="str">
        <f t="shared" si="13"/>
        <v/>
      </c>
      <c r="AL327" s="675" t="str">
        <f>IFERROR(INDEX(Üldreiting!$M:$M,MATCH(AK327,Üldreiting!$H:$H,0)),"")</f>
        <v/>
      </c>
      <c r="AM327" s="676" t="str">
        <f t="shared" si="14"/>
        <v/>
      </c>
      <c r="AN327" s="675" t="str">
        <f>IFERROR(INDEX(Üldreiting!$M:$M,MATCH(AM327,Üldreiting!$H:$H,0)),"")</f>
        <v/>
      </c>
      <c r="AO327" s="674" t="str">
        <f t="shared" si="15"/>
        <v/>
      </c>
      <c r="AP327" s="675" t="str">
        <f>IFERROR(INDEX(Üldreiting!$M:$M,MATCH(AO327,Üldreiting!$H:$H,0)),"")</f>
        <v/>
      </c>
      <c r="AQ327" s="676" t="str">
        <f t="shared" si="16"/>
        <v/>
      </c>
      <c r="AR327" s="675" t="str">
        <f>IFERROR(INDEX(Üldreiting!$M:$M,MATCH(AQ327,Üldreiting!$H:$H,0)),"")</f>
        <v/>
      </c>
      <c r="AS327" s="262"/>
      <c r="AT327" s="262"/>
    </row>
    <row r="328" spans="3:46" hidden="1" x14ac:dyDescent="0.2">
      <c r="C328" s="69">
        <v>6</v>
      </c>
      <c r="AH328" s="672">
        <f t="shared" si="11"/>
        <v>0</v>
      </c>
      <c r="AI328" s="676" t="str">
        <f t="shared" si="12"/>
        <v/>
      </c>
      <c r="AJ328" s="675" t="str">
        <f>IFERROR(INDEX(Üldreiting!$M:$M,MATCH(AI328,Üldreiting!$H:$H,0)),"")</f>
        <v/>
      </c>
      <c r="AK328" s="676" t="str">
        <f t="shared" si="13"/>
        <v/>
      </c>
      <c r="AL328" s="675" t="str">
        <f>IFERROR(INDEX(Üldreiting!$M:$M,MATCH(AK328,Üldreiting!$H:$H,0)),"")</f>
        <v/>
      </c>
      <c r="AM328" s="676" t="str">
        <f t="shared" si="14"/>
        <v/>
      </c>
      <c r="AN328" s="675" t="str">
        <f>IFERROR(INDEX(Üldreiting!$M:$M,MATCH(AM328,Üldreiting!$H:$H,0)),"")</f>
        <v/>
      </c>
      <c r="AO328" s="674" t="str">
        <f t="shared" si="15"/>
        <v/>
      </c>
      <c r="AP328" s="675" t="str">
        <f>IFERROR(INDEX(Üldreiting!$M:$M,MATCH(AO328,Üldreiting!$H:$H,0)),"")</f>
        <v/>
      </c>
      <c r="AQ328" s="676" t="str">
        <f t="shared" si="16"/>
        <v/>
      </c>
      <c r="AR328" s="675" t="str">
        <f>IFERROR(INDEX(Üldreiting!$M:$M,MATCH(AQ328,Üldreiting!$H:$H,0)),"")</f>
        <v/>
      </c>
      <c r="AT328" s="262"/>
    </row>
    <row r="329" spans="3:46" hidden="1" x14ac:dyDescent="0.2">
      <c r="C329" s="69">
        <v>5</v>
      </c>
      <c r="AH329" s="672">
        <f t="shared" si="11"/>
        <v>0</v>
      </c>
      <c r="AI329" s="676" t="str">
        <f t="shared" si="12"/>
        <v/>
      </c>
      <c r="AJ329" s="675" t="str">
        <f>IFERROR(INDEX(Üldreiting!$M:$M,MATCH(AI329,Üldreiting!$H:$H,0)),"")</f>
        <v/>
      </c>
      <c r="AK329" s="676" t="str">
        <f t="shared" si="13"/>
        <v/>
      </c>
      <c r="AL329" s="675" t="str">
        <f>IFERROR(INDEX(Üldreiting!$M:$M,MATCH(AK329,Üldreiting!$H:$H,0)),"")</f>
        <v/>
      </c>
      <c r="AM329" s="676" t="str">
        <f t="shared" si="14"/>
        <v/>
      </c>
      <c r="AN329" s="675" t="str">
        <f>IFERROR(INDEX(Üldreiting!$M:$M,MATCH(AM329,Üldreiting!$H:$H,0)),"")</f>
        <v/>
      </c>
      <c r="AO329" s="674" t="str">
        <f t="shared" si="15"/>
        <v/>
      </c>
      <c r="AP329" s="675" t="str">
        <f>IFERROR(INDEX(Üldreiting!$M:$M,MATCH(AO329,Üldreiting!$H:$H,0)),"")</f>
        <v/>
      </c>
      <c r="AQ329" s="676" t="str">
        <f t="shared" si="16"/>
        <v/>
      </c>
      <c r="AR329" s="675" t="str">
        <f>IFERROR(INDEX(Üldreiting!$M:$M,MATCH(AQ329,Üldreiting!$H:$H,0)),"")</f>
        <v/>
      </c>
    </row>
    <row r="330" spans="3:46" hidden="1" x14ac:dyDescent="0.2">
      <c r="C330" s="69">
        <v>4</v>
      </c>
      <c r="AH330" s="672">
        <f t="shared" si="11"/>
        <v>0</v>
      </c>
      <c r="AI330" s="676" t="str">
        <f t="shared" si="12"/>
        <v/>
      </c>
      <c r="AJ330" s="675" t="str">
        <f>IFERROR(INDEX(Üldreiting!$M:$M,MATCH(AI330,Üldreiting!$H:$H,0)),"")</f>
        <v/>
      </c>
      <c r="AK330" s="676" t="str">
        <f t="shared" si="13"/>
        <v/>
      </c>
      <c r="AL330" s="675" t="str">
        <f>IFERROR(INDEX(Üldreiting!$M:$M,MATCH(AK330,Üldreiting!$H:$H,0)),"")</f>
        <v/>
      </c>
      <c r="AM330" s="676" t="str">
        <f t="shared" si="14"/>
        <v/>
      </c>
      <c r="AN330" s="675" t="str">
        <f>IFERROR(INDEX(Üldreiting!$M:$M,MATCH(AM330,Üldreiting!$H:$H,0)),"")</f>
        <v/>
      </c>
      <c r="AO330" s="674" t="str">
        <f t="shared" si="15"/>
        <v/>
      </c>
      <c r="AP330" s="675" t="str">
        <f>IFERROR(INDEX(Üldreiting!$M:$M,MATCH(AO330,Üldreiting!$H:$H,0)),"")</f>
        <v/>
      </c>
      <c r="AQ330" s="676" t="str">
        <f t="shared" si="16"/>
        <v/>
      </c>
      <c r="AR330" s="675" t="str">
        <f>IFERROR(INDEX(Üldreiting!$M:$M,MATCH(AQ330,Üldreiting!$H:$H,0)),"")</f>
        <v/>
      </c>
    </row>
    <row r="331" spans="3:46" hidden="1" x14ac:dyDescent="0.2">
      <c r="C331" s="69">
        <v>3</v>
      </c>
      <c r="AH331" s="672">
        <f t="shared" si="11"/>
        <v>0</v>
      </c>
      <c r="AI331" s="676" t="str">
        <f t="shared" si="12"/>
        <v/>
      </c>
      <c r="AJ331" s="675" t="str">
        <f>IFERROR(INDEX(Üldreiting!$M:$M,MATCH(AI331,Üldreiting!$H:$H,0)),"")</f>
        <v/>
      </c>
      <c r="AK331" s="676" t="str">
        <f t="shared" si="13"/>
        <v/>
      </c>
      <c r="AL331" s="675" t="str">
        <f>IFERROR(INDEX(Üldreiting!$M:$M,MATCH(AK331,Üldreiting!$H:$H,0)),"")</f>
        <v/>
      </c>
      <c r="AM331" s="676" t="str">
        <f t="shared" si="14"/>
        <v/>
      </c>
      <c r="AN331" s="675" t="str">
        <f>IFERROR(INDEX(Üldreiting!$M:$M,MATCH(AM331,Üldreiting!$H:$H,0)),"")</f>
        <v/>
      </c>
      <c r="AO331" s="674" t="str">
        <f t="shared" si="15"/>
        <v/>
      </c>
      <c r="AP331" s="675" t="str">
        <f>IFERROR(INDEX(Üldreiting!$M:$M,MATCH(AO331,Üldreiting!$H:$H,0)),"")</f>
        <v/>
      </c>
      <c r="AQ331" s="676" t="str">
        <f t="shared" si="16"/>
        <v/>
      </c>
      <c r="AR331" s="675" t="str">
        <f>IFERROR(INDEX(Üldreiting!$M:$M,MATCH(AQ331,Üldreiting!$H:$H,0)),"")</f>
        <v/>
      </c>
    </row>
    <row r="332" spans="3:46" hidden="1" x14ac:dyDescent="0.2">
      <c r="C332" s="69">
        <v>1</v>
      </c>
      <c r="AH332" s="672">
        <f t="shared" si="11"/>
        <v>0</v>
      </c>
      <c r="AI332" s="676" t="str">
        <f t="shared" si="12"/>
        <v/>
      </c>
      <c r="AJ332" s="675" t="str">
        <f>IFERROR(INDEX(Üldreiting!$M:$M,MATCH(AI332,Üldreiting!$H:$H,0)),"")</f>
        <v/>
      </c>
      <c r="AK332" s="676" t="str">
        <f t="shared" si="13"/>
        <v/>
      </c>
      <c r="AL332" s="675" t="str">
        <f>IFERROR(INDEX(Üldreiting!$M:$M,MATCH(AK332,Üldreiting!$H:$H,0)),"")</f>
        <v/>
      </c>
      <c r="AM332" s="676" t="str">
        <f t="shared" si="14"/>
        <v/>
      </c>
      <c r="AN332" s="675" t="str">
        <f>IFERROR(INDEX(Üldreiting!$M:$M,MATCH(AM332,Üldreiting!$H:$H,0)),"")</f>
        <v/>
      </c>
      <c r="AO332" s="674" t="str">
        <f t="shared" si="15"/>
        <v/>
      </c>
      <c r="AP332" s="675" t="str">
        <f>IFERROR(INDEX(Üldreiting!$M:$M,MATCH(AO332,Üldreiting!$H:$H,0)),"")</f>
        <v/>
      </c>
      <c r="AQ332" s="676" t="str">
        <f t="shared" si="16"/>
        <v/>
      </c>
      <c r="AR332" s="675" t="str">
        <f>IFERROR(INDEX(Üldreiting!$M:$M,MATCH(AQ332,Üldreiting!$H:$H,0)),"")</f>
        <v/>
      </c>
    </row>
    <row r="333" spans="3:46" hidden="1" x14ac:dyDescent="0.2">
      <c r="C333" s="69">
        <v>0</v>
      </c>
      <c r="AH333" s="672">
        <f t="shared" si="11"/>
        <v>0</v>
      </c>
      <c r="AI333" s="676" t="str">
        <f t="shared" si="12"/>
        <v/>
      </c>
      <c r="AJ333" s="675" t="str">
        <f>IFERROR(INDEX(Üldreiting!$M:$M,MATCH(AI333,Üldreiting!$H:$H,0)),"")</f>
        <v/>
      </c>
      <c r="AK333" s="676" t="str">
        <f t="shared" si="13"/>
        <v/>
      </c>
      <c r="AL333" s="675" t="str">
        <f>IFERROR(INDEX(Üldreiting!$M:$M,MATCH(AK333,Üldreiting!$H:$H,0)),"")</f>
        <v/>
      </c>
      <c r="AM333" s="676" t="str">
        <f t="shared" si="14"/>
        <v/>
      </c>
      <c r="AN333" s="675" t="str">
        <f>IFERROR(INDEX(Üldreiting!$M:$M,MATCH(AM333,Üldreiting!$H:$H,0)),"")</f>
        <v/>
      </c>
      <c r="AO333" s="674" t="str">
        <f t="shared" si="15"/>
        <v/>
      </c>
      <c r="AP333" s="675" t="str">
        <f>IFERROR(INDEX(Üldreiting!$M:$M,MATCH(AO333,Üldreiting!$H:$H,0)),"")</f>
        <v/>
      </c>
      <c r="AQ333" s="676" t="str">
        <f t="shared" si="16"/>
        <v/>
      </c>
      <c r="AR333" s="675" t="str">
        <f>IFERROR(INDEX(Üldreiting!$M:$M,MATCH(AQ333,Üldreiting!$H:$H,0)),"")</f>
        <v/>
      </c>
    </row>
    <row r="334" spans="3:46" hidden="1" x14ac:dyDescent="0.2"/>
    <row r="335" spans="3:46" hidden="1" x14ac:dyDescent="0.2"/>
  </sheetData>
  <conditionalFormatting sqref="A300:A311">
    <cfRule type="duplicateValues" dxfId="1755" priority="89"/>
  </conditionalFormatting>
  <conditionalFormatting sqref="B300:B311">
    <cfRule type="duplicateValues" dxfId="1754" priority="66"/>
  </conditionalFormatting>
  <conditionalFormatting sqref="C7:F18">
    <cfRule type="expression" dxfId="1753" priority="87">
      <formula>IF($C7&gt;$E7,TRUE)</formula>
    </cfRule>
    <cfRule type="expression" dxfId="1752" priority="88">
      <formula>IF($C7&lt;$E7,TRUE)</formula>
    </cfRule>
  </conditionalFormatting>
  <conditionalFormatting sqref="C7:C18">
    <cfRule type="expression" dxfId="1751" priority="86">
      <formula>IF($C7&gt;$E7,TRUE)</formula>
    </cfRule>
  </conditionalFormatting>
  <conditionalFormatting sqref="E7:E18">
    <cfRule type="expression" dxfId="1750" priority="85">
      <formula>IF($C7&lt;$E7,TRUE)</formula>
    </cfRule>
  </conditionalFormatting>
  <conditionalFormatting sqref="G7:J18">
    <cfRule type="expression" dxfId="1749" priority="83">
      <formula>IF($G7&gt;$I7,TRUE)</formula>
    </cfRule>
    <cfRule type="expression" dxfId="1748" priority="84">
      <formula>IF($G7&lt;$I7,TRUE)</formula>
    </cfRule>
  </conditionalFormatting>
  <conditionalFormatting sqref="G7:G18">
    <cfRule type="expression" dxfId="1747" priority="82">
      <formula>IF($G7&gt;$I7,TRUE)</formula>
    </cfRule>
  </conditionalFormatting>
  <conditionalFormatting sqref="I7:I18">
    <cfRule type="expression" dxfId="1746" priority="81">
      <formula>IF($G7&lt;$I7,TRUE)</formula>
    </cfRule>
  </conditionalFormatting>
  <conditionalFormatting sqref="K7:N18">
    <cfRule type="expression" dxfId="1745" priority="79">
      <formula>IF($K7&gt;$M7,TRUE)</formula>
    </cfRule>
    <cfRule type="expression" dxfId="1744" priority="80">
      <formula>IF($K7&lt;$M7,TRUE)</formula>
    </cfRule>
  </conditionalFormatting>
  <conditionalFormatting sqref="K7:K18">
    <cfRule type="expression" dxfId="1743" priority="78">
      <formula>IF($K7&gt;$M7,TRUE)</formula>
    </cfRule>
  </conditionalFormatting>
  <conditionalFormatting sqref="M7:M18">
    <cfRule type="expression" dxfId="1742" priority="77">
      <formula>IF($K7&lt;$M7,TRUE)</formula>
    </cfRule>
  </conditionalFormatting>
  <conditionalFormatting sqref="O7:R18">
    <cfRule type="expression" dxfId="1741" priority="75">
      <formula>IF($O7&gt;$Q7,TRUE)</formula>
    </cfRule>
    <cfRule type="expression" dxfId="1740" priority="76">
      <formula>IF($O7&lt;$Q7,TRUE)</formula>
    </cfRule>
  </conditionalFormatting>
  <conditionalFormatting sqref="O7:O18">
    <cfRule type="expression" dxfId="1739" priority="74">
      <formula>IF($O7&gt;$Q7,TRUE)</formula>
    </cfRule>
  </conditionalFormatting>
  <conditionalFormatting sqref="Q7:Q18">
    <cfRule type="expression" dxfId="1738" priority="73">
      <formula>IF($O7&lt;$Q7,TRUE)</formula>
    </cfRule>
  </conditionalFormatting>
  <conditionalFormatting sqref="S7:Z18">
    <cfRule type="expression" dxfId="1737" priority="71">
      <formula>IF($S7&gt;$U7,TRUE)</formula>
    </cfRule>
    <cfRule type="expression" dxfId="1736" priority="72">
      <formula>IF($S7&lt;$U7,TRUE)</formula>
    </cfRule>
  </conditionalFormatting>
  <conditionalFormatting sqref="S7:S18 W7:W18">
    <cfRule type="expression" dxfId="1735" priority="70">
      <formula>IF($S7&gt;$U7,TRUE)</formula>
    </cfRule>
  </conditionalFormatting>
  <conditionalFormatting sqref="U7:U18 Y7:Y18">
    <cfRule type="expression" dxfId="1734" priority="69">
      <formula>IF($S7&lt;$U7,TRUE)</formula>
    </cfRule>
  </conditionalFormatting>
  <conditionalFormatting sqref="A102:A116">
    <cfRule type="cellIs" dxfId="1733" priority="67" operator="equal">
      <formula>"-"</formula>
    </cfRule>
    <cfRule type="duplicateValues" dxfId="1732" priority="68"/>
  </conditionalFormatting>
  <conditionalFormatting sqref="K131 K133">
    <cfRule type="containsBlanks" dxfId="1731" priority="64">
      <formula>LEN(TRIM(K131))=0</formula>
    </cfRule>
    <cfRule type="aboveAverage" dxfId="1730" priority="65"/>
  </conditionalFormatting>
  <conditionalFormatting sqref="G123 G125">
    <cfRule type="containsBlanks" dxfId="1729" priority="62">
      <formula>LEN(TRIM(G123))=0</formula>
    </cfRule>
    <cfRule type="aboveAverage" dxfId="1728" priority="63"/>
  </conditionalFormatting>
  <conditionalFormatting sqref="K117 K119">
    <cfRule type="aboveAverage" dxfId="1727" priority="61"/>
  </conditionalFormatting>
  <conditionalFormatting sqref="K117 K119">
    <cfRule type="containsBlanks" dxfId="1726" priority="60">
      <formula>LEN(TRIM(K117))=0</formula>
    </cfRule>
  </conditionalFormatting>
  <conditionalFormatting sqref="G103 G107">
    <cfRule type="containsBlanks" dxfId="1725" priority="58">
      <formula>LEN(TRIM(G103))=0</formula>
    </cfRule>
    <cfRule type="aboveAverage" dxfId="1724" priority="59"/>
  </conditionalFormatting>
  <conditionalFormatting sqref="G111 G115">
    <cfRule type="containsBlanks" dxfId="1723" priority="56">
      <formula>LEN(TRIM(G111))=0</formula>
    </cfRule>
    <cfRule type="aboveAverage" dxfId="1722" priority="57"/>
  </conditionalFormatting>
  <conditionalFormatting sqref="K105 K113">
    <cfRule type="containsBlanks" dxfId="1721" priority="52">
      <formula>LEN(TRIM(K105))=0</formula>
    </cfRule>
    <cfRule type="aboveAverage" dxfId="1720" priority="55"/>
  </conditionalFormatting>
  <conditionalFormatting sqref="G127 G129">
    <cfRule type="containsBlanks" dxfId="1719" priority="50">
      <formula>LEN(TRIM(G127))=0</formula>
    </cfRule>
    <cfRule type="aboveAverage" dxfId="1718" priority="51"/>
  </conditionalFormatting>
  <conditionalFormatting sqref="C114 C116">
    <cfRule type="containsBlanks" dxfId="1717" priority="40">
      <formula>LEN(TRIM(C114))=0</formula>
    </cfRule>
    <cfRule type="aboveAverage" dxfId="1716" priority="41"/>
  </conditionalFormatting>
  <conditionalFormatting sqref="C110 C112">
    <cfRule type="containsBlanks" dxfId="1715" priority="42">
      <formula>LEN(TRIM(C110))=0</formula>
    </cfRule>
    <cfRule type="aboveAverage" dxfId="1714" priority="43"/>
  </conditionalFormatting>
  <conditionalFormatting sqref="C106 C108">
    <cfRule type="containsBlanks" dxfId="1713" priority="44">
      <formula>LEN(TRIM(C106))=0</formula>
    </cfRule>
    <cfRule type="aboveAverage" dxfId="1712" priority="45"/>
  </conditionalFormatting>
  <conditionalFormatting sqref="C102 C104">
    <cfRule type="containsBlanks" dxfId="1711" priority="46">
      <formula>LEN(TRIM(C102))=0</formula>
    </cfRule>
    <cfRule type="aboveAverage" dxfId="1710" priority="47"/>
  </conditionalFormatting>
  <conditionalFormatting sqref="K124 K128">
    <cfRule type="containsBlanks" dxfId="1709" priority="48">
      <formula>LEN(TRIM(K124))=0</formula>
    </cfRule>
    <cfRule type="aboveAverage" dxfId="1708" priority="49"/>
  </conditionalFormatting>
  <conditionalFormatting sqref="K148 K150">
    <cfRule type="containsBlanks" dxfId="1707" priority="38">
      <formula>LEN(TRIM(K148))=0</formula>
    </cfRule>
    <cfRule type="aboveAverage" dxfId="1706" priority="39"/>
  </conditionalFormatting>
  <conditionalFormatting sqref="G140 G142">
    <cfRule type="containsBlanks" dxfId="1705" priority="36">
      <formula>LEN(TRIM(G140))=0</formula>
    </cfRule>
    <cfRule type="aboveAverage" dxfId="1704" priority="37"/>
  </conditionalFormatting>
  <conditionalFormatting sqref="G144 G146">
    <cfRule type="containsBlanks" dxfId="1703" priority="26">
      <formula>LEN(TRIM(G144))=0</formula>
    </cfRule>
    <cfRule type="aboveAverage" dxfId="1702" priority="27"/>
  </conditionalFormatting>
  <conditionalFormatting sqref="K141 K145">
    <cfRule type="containsBlanks" dxfId="1701" priority="24">
      <formula>LEN(TRIM(K141))=0</formula>
    </cfRule>
    <cfRule type="aboveAverage" dxfId="1700" priority="25"/>
  </conditionalFormatting>
  <conditionalFormatting sqref="B300">
    <cfRule type="expression" dxfId="1699" priority="13">
      <formula>$A$300=1</formula>
    </cfRule>
  </conditionalFormatting>
  <conditionalFormatting sqref="B301">
    <cfRule type="expression" dxfId="1698" priority="12">
      <formula>$A$301=2</formula>
    </cfRule>
  </conditionalFormatting>
  <conditionalFormatting sqref="B302">
    <cfRule type="expression" dxfId="1697" priority="11">
      <formula>$A$302=3</formula>
    </cfRule>
  </conditionalFormatting>
  <conditionalFormatting sqref="T323 T326 AO312:AO333 AO7:AO18 AQ312:AQ333 AQ7:AQ18 AK312:AK333 AK7:AK18 AI312:AI333 AI7:AI18">
    <cfRule type="expression" dxfId="1696" priority="10">
      <formula>AND(U7="",COUNTIF(T7,"*,*")=0)</formula>
    </cfRule>
  </conditionalFormatting>
  <conditionalFormatting sqref="AM312:AM333 AM7:AM18">
    <cfRule type="expression" dxfId="1695" priority="2">
      <formula>AND(AN7="",FIND(",",AM7))</formula>
    </cfRule>
    <cfRule type="expression" dxfId="1694" priority="7">
      <formula>AND(AN7="",COUNTIF(AM7,"*,*")=0)</formula>
    </cfRule>
  </conditionalFormatting>
  <conditionalFormatting sqref="C7:Z18">
    <cfRule type="containsText" dxfId="1693" priority="1" operator="containsText" text="vaba voor">
      <formula>NOT(ISERROR(SEARCH("vaba voor",C7)))</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1" manualBreakCount="1">
    <brk id="1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B139"/>
  <sheetViews>
    <sheetView showGridLines="0" zoomScaleNormal="100" workbookViewId="0">
      <pane ySplit="7" topLeftCell="A8" activePane="bottomLeft" state="frozen"/>
      <selection activeCell="C43" sqref="C43"/>
      <selection pane="bottomLeft" activeCell="C43" sqref="C43"/>
    </sheetView>
  </sheetViews>
  <sheetFormatPr defaultRowHeight="12.75" x14ac:dyDescent="0.2"/>
  <cols>
    <col min="1" max="1" width="3" style="78" customWidth="1"/>
    <col min="2" max="2" width="18.85546875" style="78" customWidth="1"/>
    <col min="3" max="22" width="2.7109375" style="78" customWidth="1"/>
    <col min="23" max="23" width="3" style="78" bestFit="1" customWidth="1"/>
    <col min="24" max="24" width="11.5703125" style="78" bestFit="1" customWidth="1"/>
    <col min="25" max="25" width="3" style="78" customWidth="1"/>
    <col min="26" max="27" width="4" style="78" hidden="1" customWidth="1"/>
    <col min="28" max="28" width="4.5703125" style="78" hidden="1" customWidth="1"/>
    <col min="29" max="217" width="9.140625" style="78"/>
    <col min="218" max="218" width="3" style="78" customWidth="1"/>
    <col min="219" max="219" width="18.7109375" style="78" customWidth="1"/>
    <col min="220" max="239" width="2.85546875" style="78" customWidth="1"/>
    <col min="240" max="240" width="3" style="78" bestFit="1" customWidth="1"/>
    <col min="241" max="241" width="10.5703125" style="78" customWidth="1"/>
    <col min="242" max="244" width="0" style="78" hidden="1" customWidth="1"/>
    <col min="245" max="473" width="9.140625" style="78"/>
    <col min="474" max="474" width="3" style="78" customWidth="1"/>
    <col min="475" max="475" width="18.7109375" style="78" customWidth="1"/>
    <col min="476" max="495" width="2.85546875" style="78" customWidth="1"/>
    <col min="496" max="496" width="3" style="78" bestFit="1" customWidth="1"/>
    <col min="497" max="497" width="10.5703125" style="78" customWidth="1"/>
    <col min="498" max="500" width="0" style="78" hidden="1" customWidth="1"/>
    <col min="501" max="729" width="9.140625" style="78"/>
    <col min="730" max="730" width="3" style="78" customWidth="1"/>
    <col min="731" max="731" width="18.7109375" style="78" customWidth="1"/>
    <col min="732" max="751" width="2.85546875" style="78" customWidth="1"/>
    <col min="752" max="752" width="3" style="78" bestFit="1" customWidth="1"/>
    <col min="753" max="753" width="10.5703125" style="78" customWidth="1"/>
    <col min="754" max="756" width="0" style="78" hidden="1" customWidth="1"/>
    <col min="757" max="985" width="9.140625" style="78"/>
    <col min="986" max="986" width="3" style="78" customWidth="1"/>
    <col min="987" max="987" width="18.7109375" style="78" customWidth="1"/>
    <col min="988" max="1007" width="2.85546875" style="78" customWidth="1"/>
    <col min="1008" max="1008" width="3" style="78" bestFit="1" customWidth="1"/>
    <col min="1009" max="1009" width="10.5703125" style="78" customWidth="1"/>
    <col min="1010" max="1012" width="0" style="78" hidden="1" customWidth="1"/>
    <col min="1013" max="1241" width="9.140625" style="78"/>
    <col min="1242" max="1242" width="3" style="78" customWidth="1"/>
    <col min="1243" max="1243" width="18.7109375" style="78" customWidth="1"/>
    <col min="1244" max="1263" width="2.85546875" style="78" customWidth="1"/>
    <col min="1264" max="1264" width="3" style="78" bestFit="1" customWidth="1"/>
    <col min="1265" max="1265" width="10.5703125" style="78" customWidth="1"/>
    <col min="1266" max="1268" width="0" style="78" hidden="1" customWidth="1"/>
    <col min="1269" max="1497" width="9.140625" style="78"/>
    <col min="1498" max="1498" width="3" style="78" customWidth="1"/>
    <col min="1499" max="1499" width="18.7109375" style="78" customWidth="1"/>
    <col min="1500" max="1519" width="2.85546875" style="78" customWidth="1"/>
    <col min="1520" max="1520" width="3" style="78" bestFit="1" customWidth="1"/>
    <col min="1521" max="1521" width="10.5703125" style="78" customWidth="1"/>
    <col min="1522" max="1524" width="0" style="78" hidden="1" customWidth="1"/>
    <col min="1525" max="1753" width="9.140625" style="78"/>
    <col min="1754" max="1754" width="3" style="78" customWidth="1"/>
    <col min="1755" max="1755" width="18.7109375" style="78" customWidth="1"/>
    <col min="1756" max="1775" width="2.85546875" style="78" customWidth="1"/>
    <col min="1776" max="1776" width="3" style="78" bestFit="1" customWidth="1"/>
    <col min="1777" max="1777" width="10.5703125" style="78" customWidth="1"/>
    <col min="1778" max="1780" width="0" style="78" hidden="1" customWidth="1"/>
    <col min="1781" max="2009" width="9.140625" style="78"/>
    <col min="2010" max="2010" width="3" style="78" customWidth="1"/>
    <col min="2011" max="2011" width="18.7109375" style="78" customWidth="1"/>
    <col min="2012" max="2031" width="2.85546875" style="78" customWidth="1"/>
    <col min="2032" max="2032" width="3" style="78" bestFit="1" customWidth="1"/>
    <col min="2033" max="2033" width="10.5703125" style="78" customWidth="1"/>
    <col min="2034" max="2036" width="0" style="78" hidden="1" customWidth="1"/>
    <col min="2037" max="2265" width="9.140625" style="78"/>
    <col min="2266" max="2266" width="3" style="78" customWidth="1"/>
    <col min="2267" max="2267" width="18.7109375" style="78" customWidth="1"/>
    <col min="2268" max="2287" width="2.85546875" style="78" customWidth="1"/>
    <col min="2288" max="2288" width="3" style="78" bestFit="1" customWidth="1"/>
    <col min="2289" max="2289" width="10.5703125" style="78" customWidth="1"/>
    <col min="2290" max="2292" width="0" style="78" hidden="1" customWidth="1"/>
    <col min="2293" max="2521" width="9.140625" style="78"/>
    <col min="2522" max="2522" width="3" style="78" customWidth="1"/>
    <col min="2523" max="2523" width="18.7109375" style="78" customWidth="1"/>
    <col min="2524" max="2543" width="2.85546875" style="78" customWidth="1"/>
    <col min="2544" max="2544" width="3" style="78" bestFit="1" customWidth="1"/>
    <col min="2545" max="2545" width="10.5703125" style="78" customWidth="1"/>
    <col min="2546" max="2548" width="0" style="78" hidden="1" customWidth="1"/>
    <col min="2549" max="2777" width="9.140625" style="78"/>
    <col min="2778" max="2778" width="3" style="78" customWidth="1"/>
    <col min="2779" max="2779" width="18.7109375" style="78" customWidth="1"/>
    <col min="2780" max="2799" width="2.85546875" style="78" customWidth="1"/>
    <col min="2800" max="2800" width="3" style="78" bestFit="1" customWidth="1"/>
    <col min="2801" max="2801" width="10.5703125" style="78" customWidth="1"/>
    <col min="2802" max="2804" width="0" style="78" hidden="1" customWidth="1"/>
    <col min="2805" max="3033" width="9.140625" style="78"/>
    <col min="3034" max="3034" width="3" style="78" customWidth="1"/>
    <col min="3035" max="3035" width="18.7109375" style="78" customWidth="1"/>
    <col min="3036" max="3055" width="2.85546875" style="78" customWidth="1"/>
    <col min="3056" max="3056" width="3" style="78" bestFit="1" customWidth="1"/>
    <col min="3057" max="3057" width="10.5703125" style="78" customWidth="1"/>
    <col min="3058" max="3060" width="0" style="78" hidden="1" customWidth="1"/>
    <col min="3061" max="3289" width="9.140625" style="78"/>
    <col min="3290" max="3290" width="3" style="78" customWidth="1"/>
    <col min="3291" max="3291" width="18.7109375" style="78" customWidth="1"/>
    <col min="3292" max="3311" width="2.85546875" style="78" customWidth="1"/>
    <col min="3312" max="3312" width="3" style="78" bestFit="1" customWidth="1"/>
    <col min="3313" max="3313" width="10.5703125" style="78" customWidth="1"/>
    <col min="3314" max="3316" width="0" style="78" hidden="1" customWidth="1"/>
    <col min="3317" max="3545" width="9.140625" style="78"/>
    <col min="3546" max="3546" width="3" style="78" customWidth="1"/>
    <col min="3547" max="3547" width="18.7109375" style="78" customWidth="1"/>
    <col min="3548" max="3567" width="2.85546875" style="78" customWidth="1"/>
    <col min="3568" max="3568" width="3" style="78" bestFit="1" customWidth="1"/>
    <col min="3569" max="3569" width="10.5703125" style="78" customWidth="1"/>
    <col min="3570" max="3572" width="0" style="78" hidden="1" customWidth="1"/>
    <col min="3573" max="3801" width="9.140625" style="78"/>
    <col min="3802" max="3802" width="3" style="78" customWidth="1"/>
    <col min="3803" max="3803" width="18.7109375" style="78" customWidth="1"/>
    <col min="3804" max="3823" width="2.85546875" style="78" customWidth="1"/>
    <col min="3824" max="3824" width="3" style="78" bestFit="1" customWidth="1"/>
    <col min="3825" max="3825" width="10.5703125" style="78" customWidth="1"/>
    <col min="3826" max="3828" width="0" style="78" hidden="1" customWidth="1"/>
    <col min="3829" max="4057" width="9.140625" style="78"/>
    <col min="4058" max="4058" width="3" style="78" customWidth="1"/>
    <col min="4059" max="4059" width="18.7109375" style="78" customWidth="1"/>
    <col min="4060" max="4079" width="2.85546875" style="78" customWidth="1"/>
    <col min="4080" max="4080" width="3" style="78" bestFit="1" customWidth="1"/>
    <col min="4081" max="4081" width="10.5703125" style="78" customWidth="1"/>
    <col min="4082" max="4084" width="0" style="78" hidden="1" customWidth="1"/>
    <col min="4085" max="4313" width="9.140625" style="78"/>
    <col min="4314" max="4314" width="3" style="78" customWidth="1"/>
    <col min="4315" max="4315" width="18.7109375" style="78" customWidth="1"/>
    <col min="4316" max="4335" width="2.85546875" style="78" customWidth="1"/>
    <col min="4336" max="4336" width="3" style="78" bestFit="1" customWidth="1"/>
    <col min="4337" max="4337" width="10.5703125" style="78" customWidth="1"/>
    <col min="4338" max="4340" width="0" style="78" hidden="1" customWidth="1"/>
    <col min="4341" max="4569" width="9.140625" style="78"/>
    <col min="4570" max="4570" width="3" style="78" customWidth="1"/>
    <col min="4571" max="4571" width="18.7109375" style="78" customWidth="1"/>
    <col min="4572" max="4591" width="2.85546875" style="78" customWidth="1"/>
    <col min="4592" max="4592" width="3" style="78" bestFit="1" customWidth="1"/>
    <col min="4593" max="4593" width="10.5703125" style="78" customWidth="1"/>
    <col min="4594" max="4596" width="0" style="78" hidden="1" customWidth="1"/>
    <col min="4597" max="4825" width="9.140625" style="78"/>
    <col min="4826" max="4826" width="3" style="78" customWidth="1"/>
    <col min="4827" max="4827" width="18.7109375" style="78" customWidth="1"/>
    <col min="4828" max="4847" width="2.85546875" style="78" customWidth="1"/>
    <col min="4848" max="4848" width="3" style="78" bestFit="1" customWidth="1"/>
    <col min="4849" max="4849" width="10.5703125" style="78" customWidth="1"/>
    <col min="4850" max="4852" width="0" style="78" hidden="1" customWidth="1"/>
    <col min="4853" max="5081" width="9.140625" style="78"/>
    <col min="5082" max="5082" width="3" style="78" customWidth="1"/>
    <col min="5083" max="5083" width="18.7109375" style="78" customWidth="1"/>
    <col min="5084" max="5103" width="2.85546875" style="78" customWidth="1"/>
    <col min="5104" max="5104" width="3" style="78" bestFit="1" customWidth="1"/>
    <col min="5105" max="5105" width="10.5703125" style="78" customWidth="1"/>
    <col min="5106" max="5108" width="0" style="78" hidden="1" customWidth="1"/>
    <col min="5109" max="5337" width="9.140625" style="78"/>
    <col min="5338" max="5338" width="3" style="78" customWidth="1"/>
    <col min="5339" max="5339" width="18.7109375" style="78" customWidth="1"/>
    <col min="5340" max="5359" width="2.85546875" style="78" customWidth="1"/>
    <col min="5360" max="5360" width="3" style="78" bestFit="1" customWidth="1"/>
    <col min="5361" max="5361" width="10.5703125" style="78" customWidth="1"/>
    <col min="5362" max="5364" width="0" style="78" hidden="1" customWidth="1"/>
    <col min="5365" max="5593" width="9.140625" style="78"/>
    <col min="5594" max="5594" width="3" style="78" customWidth="1"/>
    <col min="5595" max="5595" width="18.7109375" style="78" customWidth="1"/>
    <col min="5596" max="5615" width="2.85546875" style="78" customWidth="1"/>
    <col min="5616" max="5616" width="3" style="78" bestFit="1" customWidth="1"/>
    <col min="5617" max="5617" width="10.5703125" style="78" customWidth="1"/>
    <col min="5618" max="5620" width="0" style="78" hidden="1" customWidth="1"/>
    <col min="5621" max="5849" width="9.140625" style="78"/>
    <col min="5850" max="5850" width="3" style="78" customWidth="1"/>
    <col min="5851" max="5851" width="18.7109375" style="78" customWidth="1"/>
    <col min="5852" max="5871" width="2.85546875" style="78" customWidth="1"/>
    <col min="5872" max="5872" width="3" style="78" bestFit="1" customWidth="1"/>
    <col min="5873" max="5873" width="10.5703125" style="78" customWidth="1"/>
    <col min="5874" max="5876" width="0" style="78" hidden="1" customWidth="1"/>
    <col min="5877" max="6105" width="9.140625" style="78"/>
    <col min="6106" max="6106" width="3" style="78" customWidth="1"/>
    <col min="6107" max="6107" width="18.7109375" style="78" customWidth="1"/>
    <col min="6108" max="6127" width="2.85546875" style="78" customWidth="1"/>
    <col min="6128" max="6128" width="3" style="78" bestFit="1" customWidth="1"/>
    <col min="6129" max="6129" width="10.5703125" style="78" customWidth="1"/>
    <col min="6130" max="6132" width="0" style="78" hidden="1" customWidth="1"/>
    <col min="6133" max="6361" width="9.140625" style="78"/>
    <col min="6362" max="6362" width="3" style="78" customWidth="1"/>
    <col min="6363" max="6363" width="18.7109375" style="78" customWidth="1"/>
    <col min="6364" max="6383" width="2.85546875" style="78" customWidth="1"/>
    <col min="6384" max="6384" width="3" style="78" bestFit="1" customWidth="1"/>
    <col min="6385" max="6385" width="10.5703125" style="78" customWidth="1"/>
    <col min="6386" max="6388" width="0" style="78" hidden="1" customWidth="1"/>
    <col min="6389" max="6617" width="9.140625" style="78"/>
    <col min="6618" max="6618" width="3" style="78" customWidth="1"/>
    <col min="6619" max="6619" width="18.7109375" style="78" customWidth="1"/>
    <col min="6620" max="6639" width="2.85546875" style="78" customWidth="1"/>
    <col min="6640" max="6640" width="3" style="78" bestFit="1" customWidth="1"/>
    <col min="6641" max="6641" width="10.5703125" style="78" customWidth="1"/>
    <col min="6642" max="6644" width="0" style="78" hidden="1" customWidth="1"/>
    <col min="6645" max="6873" width="9.140625" style="78"/>
    <col min="6874" max="6874" width="3" style="78" customWidth="1"/>
    <col min="6875" max="6875" width="18.7109375" style="78" customWidth="1"/>
    <col min="6876" max="6895" width="2.85546875" style="78" customWidth="1"/>
    <col min="6896" max="6896" width="3" style="78" bestFit="1" customWidth="1"/>
    <col min="6897" max="6897" width="10.5703125" style="78" customWidth="1"/>
    <col min="6898" max="6900" width="0" style="78" hidden="1" customWidth="1"/>
    <col min="6901" max="7129" width="9.140625" style="78"/>
    <col min="7130" max="7130" width="3" style="78" customWidth="1"/>
    <col min="7131" max="7131" width="18.7109375" style="78" customWidth="1"/>
    <col min="7132" max="7151" width="2.85546875" style="78" customWidth="1"/>
    <col min="7152" max="7152" width="3" style="78" bestFit="1" customWidth="1"/>
    <col min="7153" max="7153" width="10.5703125" style="78" customWidth="1"/>
    <col min="7154" max="7156" width="0" style="78" hidden="1" customWidth="1"/>
    <col min="7157" max="7385" width="9.140625" style="78"/>
    <col min="7386" max="7386" width="3" style="78" customWidth="1"/>
    <col min="7387" max="7387" width="18.7109375" style="78" customWidth="1"/>
    <col min="7388" max="7407" width="2.85546875" style="78" customWidth="1"/>
    <col min="7408" max="7408" width="3" style="78" bestFit="1" customWidth="1"/>
    <col min="7409" max="7409" width="10.5703125" style="78" customWidth="1"/>
    <col min="7410" max="7412" width="0" style="78" hidden="1" customWidth="1"/>
    <col min="7413" max="7641" width="9.140625" style="78"/>
    <col min="7642" max="7642" width="3" style="78" customWidth="1"/>
    <col min="7643" max="7643" width="18.7109375" style="78" customWidth="1"/>
    <col min="7644" max="7663" width="2.85546875" style="78" customWidth="1"/>
    <col min="7664" max="7664" width="3" style="78" bestFit="1" customWidth="1"/>
    <col min="7665" max="7665" width="10.5703125" style="78" customWidth="1"/>
    <col min="7666" max="7668" width="0" style="78" hidden="1" customWidth="1"/>
    <col min="7669" max="7897" width="9.140625" style="78"/>
    <col min="7898" max="7898" width="3" style="78" customWidth="1"/>
    <col min="7899" max="7899" width="18.7109375" style="78" customWidth="1"/>
    <col min="7900" max="7919" width="2.85546875" style="78" customWidth="1"/>
    <col min="7920" max="7920" width="3" style="78" bestFit="1" customWidth="1"/>
    <col min="7921" max="7921" width="10.5703125" style="78" customWidth="1"/>
    <col min="7922" max="7924" width="0" style="78" hidden="1" customWidth="1"/>
    <col min="7925" max="8153" width="9.140625" style="78"/>
    <col min="8154" max="8154" width="3" style="78" customWidth="1"/>
    <col min="8155" max="8155" width="18.7109375" style="78" customWidth="1"/>
    <col min="8156" max="8175" width="2.85546875" style="78" customWidth="1"/>
    <col min="8176" max="8176" width="3" style="78" bestFit="1" customWidth="1"/>
    <col min="8177" max="8177" width="10.5703125" style="78" customWidth="1"/>
    <col min="8178" max="8180" width="0" style="78" hidden="1" customWidth="1"/>
    <col min="8181" max="8409" width="9.140625" style="78"/>
    <col min="8410" max="8410" width="3" style="78" customWidth="1"/>
    <col min="8411" max="8411" width="18.7109375" style="78" customWidth="1"/>
    <col min="8412" max="8431" width="2.85546875" style="78" customWidth="1"/>
    <col min="8432" max="8432" width="3" style="78" bestFit="1" customWidth="1"/>
    <col min="8433" max="8433" width="10.5703125" style="78" customWidth="1"/>
    <col min="8434" max="8436" width="0" style="78" hidden="1" customWidth="1"/>
    <col min="8437" max="8665" width="9.140625" style="78"/>
    <col min="8666" max="8666" width="3" style="78" customWidth="1"/>
    <col min="8667" max="8667" width="18.7109375" style="78" customWidth="1"/>
    <col min="8668" max="8687" width="2.85546875" style="78" customWidth="1"/>
    <col min="8688" max="8688" width="3" style="78" bestFit="1" customWidth="1"/>
    <col min="8689" max="8689" width="10.5703125" style="78" customWidth="1"/>
    <col min="8690" max="8692" width="0" style="78" hidden="1" customWidth="1"/>
    <col min="8693" max="8921" width="9.140625" style="78"/>
    <col min="8922" max="8922" width="3" style="78" customWidth="1"/>
    <col min="8923" max="8923" width="18.7109375" style="78" customWidth="1"/>
    <col min="8924" max="8943" width="2.85546875" style="78" customWidth="1"/>
    <col min="8944" max="8944" width="3" style="78" bestFit="1" customWidth="1"/>
    <col min="8945" max="8945" width="10.5703125" style="78" customWidth="1"/>
    <col min="8946" max="8948" width="0" style="78" hidden="1" customWidth="1"/>
    <col min="8949" max="9177" width="9.140625" style="78"/>
    <col min="9178" max="9178" width="3" style="78" customWidth="1"/>
    <col min="9179" max="9179" width="18.7109375" style="78" customWidth="1"/>
    <col min="9180" max="9199" width="2.85546875" style="78" customWidth="1"/>
    <col min="9200" max="9200" width="3" style="78" bestFit="1" customWidth="1"/>
    <col min="9201" max="9201" width="10.5703125" style="78" customWidth="1"/>
    <col min="9202" max="9204" width="0" style="78" hidden="1" customWidth="1"/>
    <col min="9205" max="9433" width="9.140625" style="78"/>
    <col min="9434" max="9434" width="3" style="78" customWidth="1"/>
    <col min="9435" max="9435" width="18.7109375" style="78" customWidth="1"/>
    <col min="9436" max="9455" width="2.85546875" style="78" customWidth="1"/>
    <col min="9456" max="9456" width="3" style="78" bestFit="1" customWidth="1"/>
    <col min="9457" max="9457" width="10.5703125" style="78" customWidth="1"/>
    <col min="9458" max="9460" width="0" style="78" hidden="1" customWidth="1"/>
    <col min="9461" max="9689" width="9.140625" style="78"/>
    <col min="9690" max="9690" width="3" style="78" customWidth="1"/>
    <col min="9691" max="9691" width="18.7109375" style="78" customWidth="1"/>
    <col min="9692" max="9711" width="2.85546875" style="78" customWidth="1"/>
    <col min="9712" max="9712" width="3" style="78" bestFit="1" customWidth="1"/>
    <col min="9713" max="9713" width="10.5703125" style="78" customWidth="1"/>
    <col min="9714" max="9716" width="0" style="78" hidden="1" customWidth="1"/>
    <col min="9717" max="9945" width="9.140625" style="78"/>
    <col min="9946" max="9946" width="3" style="78" customWidth="1"/>
    <col min="9947" max="9947" width="18.7109375" style="78" customWidth="1"/>
    <col min="9948" max="9967" width="2.85546875" style="78" customWidth="1"/>
    <col min="9968" max="9968" width="3" style="78" bestFit="1" customWidth="1"/>
    <col min="9969" max="9969" width="10.5703125" style="78" customWidth="1"/>
    <col min="9970" max="9972" width="0" style="78" hidden="1" customWidth="1"/>
    <col min="9973" max="10201" width="9.140625" style="78"/>
    <col min="10202" max="10202" width="3" style="78" customWidth="1"/>
    <col min="10203" max="10203" width="18.7109375" style="78" customWidth="1"/>
    <col min="10204" max="10223" width="2.85546875" style="78" customWidth="1"/>
    <col min="10224" max="10224" width="3" style="78" bestFit="1" customWidth="1"/>
    <col min="10225" max="10225" width="10.5703125" style="78" customWidth="1"/>
    <col min="10226" max="10228" width="0" style="78" hidden="1" customWidth="1"/>
    <col min="10229" max="10457" width="9.140625" style="78"/>
    <col min="10458" max="10458" width="3" style="78" customWidth="1"/>
    <col min="10459" max="10459" width="18.7109375" style="78" customWidth="1"/>
    <col min="10460" max="10479" width="2.85546875" style="78" customWidth="1"/>
    <col min="10480" max="10480" width="3" style="78" bestFit="1" customWidth="1"/>
    <col min="10481" max="10481" width="10.5703125" style="78" customWidth="1"/>
    <col min="10482" max="10484" width="0" style="78" hidden="1" customWidth="1"/>
    <col min="10485" max="10713" width="9.140625" style="78"/>
    <col min="10714" max="10714" width="3" style="78" customWidth="1"/>
    <col min="10715" max="10715" width="18.7109375" style="78" customWidth="1"/>
    <col min="10716" max="10735" width="2.85546875" style="78" customWidth="1"/>
    <col min="10736" max="10736" width="3" style="78" bestFit="1" customWidth="1"/>
    <col min="10737" max="10737" width="10.5703125" style="78" customWidth="1"/>
    <col min="10738" max="10740" width="0" style="78" hidden="1" customWidth="1"/>
    <col min="10741" max="10969" width="9.140625" style="78"/>
    <col min="10970" max="10970" width="3" style="78" customWidth="1"/>
    <col min="10971" max="10971" width="18.7109375" style="78" customWidth="1"/>
    <col min="10972" max="10991" width="2.85546875" style="78" customWidth="1"/>
    <col min="10992" max="10992" width="3" style="78" bestFit="1" customWidth="1"/>
    <col min="10993" max="10993" width="10.5703125" style="78" customWidth="1"/>
    <col min="10994" max="10996" width="0" style="78" hidden="1" customWidth="1"/>
    <col min="10997" max="11225" width="9.140625" style="78"/>
    <col min="11226" max="11226" width="3" style="78" customWidth="1"/>
    <col min="11227" max="11227" width="18.7109375" style="78" customWidth="1"/>
    <col min="11228" max="11247" width="2.85546875" style="78" customWidth="1"/>
    <col min="11248" max="11248" width="3" style="78" bestFit="1" customWidth="1"/>
    <col min="11249" max="11249" width="10.5703125" style="78" customWidth="1"/>
    <col min="11250" max="11252" width="0" style="78" hidden="1" customWidth="1"/>
    <col min="11253" max="11481" width="9.140625" style="78"/>
    <col min="11482" max="11482" width="3" style="78" customWidth="1"/>
    <col min="11483" max="11483" width="18.7109375" style="78" customWidth="1"/>
    <col min="11484" max="11503" width="2.85546875" style="78" customWidth="1"/>
    <col min="11504" max="11504" width="3" style="78" bestFit="1" customWidth="1"/>
    <col min="11505" max="11505" width="10.5703125" style="78" customWidth="1"/>
    <col min="11506" max="11508" width="0" style="78" hidden="1" customWidth="1"/>
    <col min="11509" max="11737" width="9.140625" style="78"/>
    <col min="11738" max="11738" width="3" style="78" customWidth="1"/>
    <col min="11739" max="11739" width="18.7109375" style="78" customWidth="1"/>
    <col min="11740" max="11759" width="2.85546875" style="78" customWidth="1"/>
    <col min="11760" max="11760" width="3" style="78" bestFit="1" customWidth="1"/>
    <col min="11761" max="11761" width="10.5703125" style="78" customWidth="1"/>
    <col min="11762" max="11764" width="0" style="78" hidden="1" customWidth="1"/>
    <col min="11765" max="11993" width="9.140625" style="78"/>
    <col min="11994" max="11994" width="3" style="78" customWidth="1"/>
    <col min="11995" max="11995" width="18.7109375" style="78" customWidth="1"/>
    <col min="11996" max="12015" width="2.85546875" style="78" customWidth="1"/>
    <col min="12016" max="12016" width="3" style="78" bestFit="1" customWidth="1"/>
    <col min="12017" max="12017" width="10.5703125" style="78" customWidth="1"/>
    <col min="12018" max="12020" width="0" style="78" hidden="1" customWidth="1"/>
    <col min="12021" max="12249" width="9.140625" style="78"/>
    <col min="12250" max="12250" width="3" style="78" customWidth="1"/>
    <col min="12251" max="12251" width="18.7109375" style="78" customWidth="1"/>
    <col min="12252" max="12271" width="2.85546875" style="78" customWidth="1"/>
    <col min="12272" max="12272" width="3" style="78" bestFit="1" customWidth="1"/>
    <col min="12273" max="12273" width="10.5703125" style="78" customWidth="1"/>
    <col min="12274" max="12276" width="0" style="78" hidden="1" customWidth="1"/>
    <col min="12277" max="12505" width="9.140625" style="78"/>
    <col min="12506" max="12506" width="3" style="78" customWidth="1"/>
    <col min="12507" max="12507" width="18.7109375" style="78" customWidth="1"/>
    <col min="12508" max="12527" width="2.85546875" style="78" customWidth="1"/>
    <col min="12528" max="12528" width="3" style="78" bestFit="1" customWidth="1"/>
    <col min="12529" max="12529" width="10.5703125" style="78" customWidth="1"/>
    <col min="12530" max="12532" width="0" style="78" hidden="1" customWidth="1"/>
    <col min="12533" max="12761" width="9.140625" style="78"/>
    <col min="12762" max="12762" width="3" style="78" customWidth="1"/>
    <col min="12763" max="12763" width="18.7109375" style="78" customWidth="1"/>
    <col min="12764" max="12783" width="2.85546875" style="78" customWidth="1"/>
    <col min="12784" max="12784" width="3" style="78" bestFit="1" customWidth="1"/>
    <col min="12785" max="12785" width="10.5703125" style="78" customWidth="1"/>
    <col min="12786" max="12788" width="0" style="78" hidden="1" customWidth="1"/>
    <col min="12789" max="13017" width="9.140625" style="78"/>
    <col min="13018" max="13018" width="3" style="78" customWidth="1"/>
    <col min="13019" max="13019" width="18.7109375" style="78" customWidth="1"/>
    <col min="13020" max="13039" width="2.85546875" style="78" customWidth="1"/>
    <col min="13040" max="13040" width="3" style="78" bestFit="1" customWidth="1"/>
    <col min="13041" max="13041" width="10.5703125" style="78" customWidth="1"/>
    <col min="13042" max="13044" width="0" style="78" hidden="1" customWidth="1"/>
    <col min="13045" max="13273" width="9.140625" style="78"/>
    <col min="13274" max="13274" width="3" style="78" customWidth="1"/>
    <col min="13275" max="13275" width="18.7109375" style="78" customWidth="1"/>
    <col min="13276" max="13295" width="2.85546875" style="78" customWidth="1"/>
    <col min="13296" max="13296" width="3" style="78" bestFit="1" customWidth="1"/>
    <col min="13297" max="13297" width="10.5703125" style="78" customWidth="1"/>
    <col min="13298" max="13300" width="0" style="78" hidden="1" customWidth="1"/>
    <col min="13301" max="13529" width="9.140625" style="78"/>
    <col min="13530" max="13530" width="3" style="78" customWidth="1"/>
    <col min="13531" max="13531" width="18.7109375" style="78" customWidth="1"/>
    <col min="13532" max="13551" width="2.85546875" style="78" customWidth="1"/>
    <col min="13552" max="13552" width="3" style="78" bestFit="1" customWidth="1"/>
    <col min="13553" max="13553" width="10.5703125" style="78" customWidth="1"/>
    <col min="13554" max="13556" width="0" style="78" hidden="1" customWidth="1"/>
    <col min="13557" max="13785" width="9.140625" style="78"/>
    <col min="13786" max="13786" width="3" style="78" customWidth="1"/>
    <col min="13787" max="13787" width="18.7109375" style="78" customWidth="1"/>
    <col min="13788" max="13807" width="2.85546875" style="78" customWidth="1"/>
    <col min="13808" max="13808" width="3" style="78" bestFit="1" customWidth="1"/>
    <col min="13809" max="13809" width="10.5703125" style="78" customWidth="1"/>
    <col min="13810" max="13812" width="0" style="78" hidden="1" customWidth="1"/>
    <col min="13813" max="14041" width="9.140625" style="78"/>
    <col min="14042" max="14042" width="3" style="78" customWidth="1"/>
    <col min="14043" max="14043" width="18.7109375" style="78" customWidth="1"/>
    <col min="14044" max="14063" width="2.85546875" style="78" customWidth="1"/>
    <col min="14064" max="14064" width="3" style="78" bestFit="1" customWidth="1"/>
    <col min="14065" max="14065" width="10.5703125" style="78" customWidth="1"/>
    <col min="14066" max="14068" width="0" style="78" hidden="1" customWidth="1"/>
    <col min="14069" max="14297" width="9.140625" style="78"/>
    <col min="14298" max="14298" width="3" style="78" customWidth="1"/>
    <col min="14299" max="14299" width="18.7109375" style="78" customWidth="1"/>
    <col min="14300" max="14319" width="2.85546875" style="78" customWidth="1"/>
    <col min="14320" max="14320" width="3" style="78" bestFit="1" customWidth="1"/>
    <col min="14321" max="14321" width="10.5703125" style="78" customWidth="1"/>
    <col min="14322" max="14324" width="0" style="78" hidden="1" customWidth="1"/>
    <col min="14325" max="14553" width="9.140625" style="78"/>
    <col min="14554" max="14554" width="3" style="78" customWidth="1"/>
    <col min="14555" max="14555" width="18.7109375" style="78" customWidth="1"/>
    <col min="14556" max="14575" width="2.85546875" style="78" customWidth="1"/>
    <col min="14576" max="14576" width="3" style="78" bestFit="1" customWidth="1"/>
    <col min="14577" max="14577" width="10.5703125" style="78" customWidth="1"/>
    <col min="14578" max="14580" width="0" style="78" hidden="1" customWidth="1"/>
    <col min="14581" max="14809" width="9.140625" style="78"/>
    <col min="14810" max="14810" width="3" style="78" customWidth="1"/>
    <col min="14811" max="14811" width="18.7109375" style="78" customWidth="1"/>
    <col min="14812" max="14831" width="2.85546875" style="78" customWidth="1"/>
    <col min="14832" max="14832" width="3" style="78" bestFit="1" customWidth="1"/>
    <col min="14833" max="14833" width="10.5703125" style="78" customWidth="1"/>
    <col min="14834" max="14836" width="0" style="78" hidden="1" customWidth="1"/>
    <col min="14837" max="15065" width="9.140625" style="78"/>
    <col min="15066" max="15066" width="3" style="78" customWidth="1"/>
    <col min="15067" max="15067" width="18.7109375" style="78" customWidth="1"/>
    <col min="15068" max="15087" width="2.85546875" style="78" customWidth="1"/>
    <col min="15088" max="15088" width="3" style="78" bestFit="1" customWidth="1"/>
    <col min="15089" max="15089" width="10.5703125" style="78" customWidth="1"/>
    <col min="15090" max="15092" width="0" style="78" hidden="1" customWidth="1"/>
    <col min="15093" max="15321" width="9.140625" style="78"/>
    <col min="15322" max="15322" width="3" style="78" customWidth="1"/>
    <col min="15323" max="15323" width="18.7109375" style="78" customWidth="1"/>
    <col min="15324" max="15343" width="2.85546875" style="78" customWidth="1"/>
    <col min="15344" max="15344" width="3" style="78" bestFit="1" customWidth="1"/>
    <col min="15345" max="15345" width="10.5703125" style="78" customWidth="1"/>
    <col min="15346" max="15348" width="0" style="78" hidden="1" customWidth="1"/>
    <col min="15349" max="15577" width="9.140625" style="78"/>
    <col min="15578" max="15578" width="3" style="78" customWidth="1"/>
    <col min="15579" max="15579" width="18.7109375" style="78" customWidth="1"/>
    <col min="15580" max="15599" width="2.85546875" style="78" customWidth="1"/>
    <col min="15600" max="15600" width="3" style="78" bestFit="1" customWidth="1"/>
    <col min="15601" max="15601" width="10.5703125" style="78" customWidth="1"/>
    <col min="15602" max="15604" width="0" style="78" hidden="1" customWidth="1"/>
    <col min="15605" max="15833" width="9.140625" style="78"/>
    <col min="15834" max="15834" width="3" style="78" customWidth="1"/>
    <col min="15835" max="15835" width="18.7109375" style="78" customWidth="1"/>
    <col min="15836" max="15855" width="2.85546875" style="78" customWidth="1"/>
    <col min="15856" max="15856" width="3" style="78" bestFit="1" customWidth="1"/>
    <col min="15857" max="15857" width="10.5703125" style="78" customWidth="1"/>
    <col min="15858" max="15860" width="0" style="78" hidden="1" customWidth="1"/>
    <col min="15861" max="16089" width="9.140625" style="78"/>
    <col min="16090" max="16090" width="3" style="78" customWidth="1"/>
    <col min="16091" max="16091" width="18.7109375" style="78" customWidth="1"/>
    <col min="16092" max="16111" width="2.85546875" style="78" customWidth="1"/>
    <col min="16112" max="16112" width="3" style="78" bestFit="1" customWidth="1"/>
    <col min="16113" max="16113" width="10.5703125" style="78" customWidth="1"/>
    <col min="16114" max="16116" width="0" style="78" hidden="1" customWidth="1"/>
    <col min="16117" max="16384" width="9.140625" style="78"/>
  </cols>
  <sheetData>
    <row r="1" spans="1:25" s="74" customFormat="1" x14ac:dyDescent="0.2">
      <c r="A1" s="605" t="str">
        <f>UPPER((Kalend!E14)&amp;" - "&amp;(Kalend!C14)&amp;" - "&amp;(Kalend!D14))</f>
        <v>3M - 18. EESTI MV - TULISTAMINE</v>
      </c>
      <c r="B1" s="130"/>
      <c r="C1" s="130"/>
      <c r="D1" s="130"/>
      <c r="E1" s="130"/>
      <c r="I1" s="267" t="s">
        <v>165</v>
      </c>
      <c r="Q1" s="46" t="str">
        <f>HYPERLINK("#Üldreiting!I1","Reiting")</f>
        <v>Reiting</v>
      </c>
      <c r="R1" s="130"/>
      <c r="S1" s="130"/>
      <c r="T1" s="130"/>
      <c r="U1" s="130"/>
    </row>
    <row r="2" spans="1:25" s="74" customFormat="1" x14ac:dyDescent="0.2">
      <c r="A2" s="67" t="str">
        <f>"Toimumisaeg: "&amp;(Kalend!A14)&amp;" kell "&amp;(Kalend!B14)</f>
        <v>Toimumisaeg: L, 30.06.2018 kell 10:00</v>
      </c>
      <c r="B2" s="130"/>
      <c r="C2" s="130"/>
      <c r="D2" s="130"/>
      <c r="E2" s="130"/>
      <c r="O2" s="130"/>
      <c r="P2" s="130"/>
      <c r="Q2" s="130"/>
      <c r="R2" s="130"/>
      <c r="S2" s="130"/>
      <c r="T2" s="130"/>
    </row>
    <row r="3" spans="1:25" s="74" customFormat="1" x14ac:dyDescent="0.2">
      <c r="A3" s="67" t="str">
        <f>"Toimumiskoht: "&amp;(Kalend!H14)</f>
        <v>Toimumiskoht: Tartu</v>
      </c>
      <c r="B3" s="130"/>
      <c r="C3" s="130"/>
      <c r="D3" s="130"/>
      <c r="E3" s="130"/>
      <c r="O3" s="130"/>
      <c r="P3" s="130"/>
      <c r="Q3" s="130"/>
      <c r="R3" s="130"/>
      <c r="S3" s="130"/>
      <c r="T3" s="130"/>
    </row>
    <row r="4" spans="1:25" s="74" customFormat="1" x14ac:dyDescent="0.2">
      <c r="A4" s="67" t="str">
        <f>"Korraldaja: "&amp;(Kalend!I14)</f>
        <v xml:space="preserve">Korraldaja: </v>
      </c>
      <c r="B4" s="130"/>
      <c r="C4" s="130"/>
      <c r="D4" s="130"/>
      <c r="E4" s="130"/>
      <c r="O4" s="130"/>
      <c r="P4" s="130"/>
      <c r="Q4" s="130"/>
      <c r="R4" s="130"/>
      <c r="S4" s="130"/>
      <c r="T4" s="130"/>
    </row>
    <row r="5" spans="1:25" s="74" customFormat="1" ht="13.5" thickBot="1" x14ac:dyDescent="0.25">
      <c r="A5" s="130"/>
      <c r="B5" s="130"/>
      <c r="C5" s="130"/>
      <c r="D5" s="130"/>
      <c r="E5" s="130"/>
      <c r="F5" s="130"/>
      <c r="G5" s="130"/>
      <c r="H5" s="130"/>
      <c r="I5" s="130"/>
      <c r="J5" s="130"/>
      <c r="K5" s="130"/>
    </row>
    <row r="6" spans="1:25" ht="58.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row>
    <row r="7" spans="1:25" s="79" customFormat="1" ht="13.5" thickBot="1" x14ac:dyDescent="0.25">
      <c r="A7" s="269"/>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373" t="s">
        <v>153</v>
      </c>
      <c r="X7" s="161" t="s">
        <v>219</v>
      </c>
      <c r="Y7" s="161" t="s">
        <v>564</v>
      </c>
    </row>
    <row r="8" spans="1:25" x14ac:dyDescent="0.2">
      <c r="A8" s="270" t="s">
        <v>567</v>
      </c>
      <c r="B8" s="163" t="s">
        <v>218</v>
      </c>
      <c r="C8" s="164"/>
      <c r="D8" s="165"/>
      <c r="E8" s="165"/>
      <c r="F8" s="166"/>
      <c r="G8" s="164"/>
      <c r="H8" s="165"/>
      <c r="I8" s="165"/>
      <c r="J8" s="166"/>
      <c r="K8" s="164"/>
      <c r="L8" s="165"/>
      <c r="M8" s="165"/>
      <c r="N8" s="166"/>
      <c r="O8" s="164"/>
      <c r="P8" s="165"/>
      <c r="Q8" s="165"/>
      <c r="R8" s="166"/>
      <c r="S8" s="164"/>
      <c r="T8" s="165"/>
      <c r="U8" s="165"/>
      <c r="V8" s="166"/>
      <c r="W8" s="374"/>
      <c r="X8" s="167"/>
      <c r="Y8" s="271"/>
    </row>
    <row r="9" spans="1:25" x14ac:dyDescent="0.2">
      <c r="A9" s="296">
        <v>1</v>
      </c>
      <c r="B9" s="375" t="s">
        <v>789</v>
      </c>
      <c r="C9" s="298">
        <v>3</v>
      </c>
      <c r="D9" s="300">
        <v>5</v>
      </c>
      <c r="E9" s="300">
        <v>1</v>
      </c>
      <c r="F9" s="301">
        <v>0</v>
      </c>
      <c r="G9" s="298">
        <v>0</v>
      </c>
      <c r="H9" s="300">
        <v>0</v>
      </c>
      <c r="I9" s="300">
        <v>0</v>
      </c>
      <c r="J9" s="301">
        <v>3</v>
      </c>
      <c r="K9" s="298">
        <v>0</v>
      </c>
      <c r="L9" s="300">
        <v>0</v>
      </c>
      <c r="M9" s="300">
        <v>3</v>
      </c>
      <c r="N9" s="301">
        <v>0</v>
      </c>
      <c r="O9" s="298">
        <v>0</v>
      </c>
      <c r="P9" s="300">
        <v>0</v>
      </c>
      <c r="Q9" s="300">
        <v>0</v>
      </c>
      <c r="R9" s="301">
        <v>0</v>
      </c>
      <c r="S9" s="298">
        <v>0</v>
      </c>
      <c r="T9" s="300">
        <v>0</v>
      </c>
      <c r="U9" s="300">
        <v>0</v>
      </c>
      <c r="V9" s="301">
        <v>5</v>
      </c>
      <c r="W9" s="376">
        <f>SUM(C9:V9)+COUNTIF(C9:V9,5)/100+COUNTIF(C9:V9,3)/10000</f>
        <v>20.020299999999999</v>
      </c>
      <c r="X9" s="302" t="str">
        <f t="shared" ref="X9:X20" si="0">IF(COUNTA(C9:V9)=0,"",IF(RANK(W9,W$9:W$34)&lt;5,"edasi "&amp;RANK(W9,W$9:W$34),IF(RANK(W9,W$9:W$34)&lt;17,"vahevooru "&amp;RANK(W9,W$9:W$34)-4,RANK(W9,W$9:W$34))))</f>
        <v>vahevooru 1</v>
      </c>
    </row>
    <row r="10" spans="1:25" x14ac:dyDescent="0.2">
      <c r="A10" s="296">
        <v>2</v>
      </c>
      <c r="B10" s="377" t="s">
        <v>173</v>
      </c>
      <c r="C10" s="298">
        <v>0</v>
      </c>
      <c r="D10" s="300">
        <v>0</v>
      </c>
      <c r="E10" s="300">
        <v>0</v>
      </c>
      <c r="F10" s="301">
        <v>0</v>
      </c>
      <c r="G10" s="298">
        <v>0</v>
      </c>
      <c r="H10" s="300">
        <v>3</v>
      </c>
      <c r="I10" s="300">
        <v>3</v>
      </c>
      <c r="J10" s="301">
        <v>0</v>
      </c>
      <c r="K10" s="298">
        <v>0</v>
      </c>
      <c r="L10" s="300">
        <v>0</v>
      </c>
      <c r="M10" s="300">
        <v>3</v>
      </c>
      <c r="N10" s="301">
        <v>0</v>
      </c>
      <c r="O10" s="298">
        <v>0</v>
      </c>
      <c r="P10" s="300">
        <v>0</v>
      </c>
      <c r="Q10" s="300">
        <v>0</v>
      </c>
      <c r="R10" s="301">
        <v>0</v>
      </c>
      <c r="S10" s="298">
        <v>5</v>
      </c>
      <c r="T10" s="300">
        <v>0</v>
      </c>
      <c r="U10" s="300">
        <v>0</v>
      </c>
      <c r="V10" s="301">
        <v>0</v>
      </c>
      <c r="W10" s="376">
        <f t="shared" ref="W10:W34" si="1">SUM(C10:V10)+COUNTIF(C10:V10,5)/100+COUNTIF(C10:V10,3)/10000</f>
        <v>14.010299999999999</v>
      </c>
      <c r="X10" s="302" t="str">
        <f t="shared" si="0"/>
        <v>vahevooru 12</v>
      </c>
    </row>
    <row r="11" spans="1:25" x14ac:dyDescent="0.2">
      <c r="A11" s="105">
        <v>3</v>
      </c>
      <c r="B11" s="378" t="s">
        <v>727</v>
      </c>
      <c r="C11" s="102"/>
      <c r="D11" s="103"/>
      <c r="E11" s="103"/>
      <c r="F11" s="104"/>
      <c r="G11" s="102"/>
      <c r="H11" s="103"/>
      <c r="I11" s="103"/>
      <c r="J11" s="104"/>
      <c r="K11" s="102"/>
      <c r="L11" s="103"/>
      <c r="M11" s="103"/>
      <c r="N11" s="104"/>
      <c r="O11" s="102"/>
      <c r="P11" s="103"/>
      <c r="Q11" s="103"/>
      <c r="R11" s="104"/>
      <c r="S11" s="102"/>
      <c r="T11" s="103"/>
      <c r="U11" s="103"/>
      <c r="V11" s="104"/>
      <c r="W11" s="376">
        <f t="shared" si="1"/>
        <v>0</v>
      </c>
      <c r="X11" s="86" t="str">
        <f t="shared" si="0"/>
        <v/>
      </c>
    </row>
    <row r="12" spans="1:25" x14ac:dyDescent="0.2">
      <c r="A12" s="105">
        <v>4</v>
      </c>
      <c r="B12" s="121" t="s">
        <v>296</v>
      </c>
      <c r="C12" s="102">
        <v>0</v>
      </c>
      <c r="D12" s="103">
        <v>0</v>
      </c>
      <c r="E12" s="103">
        <v>0</v>
      </c>
      <c r="F12" s="104">
        <v>0</v>
      </c>
      <c r="G12" s="102">
        <v>0</v>
      </c>
      <c r="H12" s="103">
        <v>0</v>
      </c>
      <c r="I12" s="103">
        <v>0</v>
      </c>
      <c r="J12" s="104">
        <v>0</v>
      </c>
      <c r="K12" s="102">
        <v>0</v>
      </c>
      <c r="L12" s="103">
        <v>0</v>
      </c>
      <c r="M12" s="103">
        <v>0</v>
      </c>
      <c r="N12" s="104">
        <v>0</v>
      </c>
      <c r="O12" s="102">
        <v>0</v>
      </c>
      <c r="P12" s="103">
        <v>0</v>
      </c>
      <c r="Q12" s="103">
        <v>0</v>
      </c>
      <c r="R12" s="104">
        <v>3</v>
      </c>
      <c r="S12" s="102">
        <v>5</v>
      </c>
      <c r="T12" s="103">
        <v>5</v>
      </c>
      <c r="U12" s="103">
        <v>3</v>
      </c>
      <c r="V12" s="104">
        <v>0</v>
      </c>
      <c r="W12" s="334">
        <f t="shared" si="1"/>
        <v>16.020199999999999</v>
      </c>
      <c r="X12" s="86" t="str">
        <f t="shared" si="0"/>
        <v>vahevooru 8</v>
      </c>
    </row>
    <row r="13" spans="1:25" x14ac:dyDescent="0.2">
      <c r="A13" s="296">
        <v>5</v>
      </c>
      <c r="B13" s="375" t="s">
        <v>79</v>
      </c>
      <c r="C13" s="298">
        <v>5</v>
      </c>
      <c r="D13" s="300">
        <v>0</v>
      </c>
      <c r="E13" s="300">
        <v>0</v>
      </c>
      <c r="F13" s="301">
        <v>3</v>
      </c>
      <c r="G13" s="298">
        <v>0</v>
      </c>
      <c r="H13" s="300">
        <v>0</v>
      </c>
      <c r="I13" s="300">
        <v>0</v>
      </c>
      <c r="J13" s="301">
        <v>3</v>
      </c>
      <c r="K13" s="298">
        <v>1</v>
      </c>
      <c r="L13" s="300">
        <v>0</v>
      </c>
      <c r="M13" s="300">
        <v>3</v>
      </c>
      <c r="N13" s="301">
        <v>0</v>
      </c>
      <c r="O13" s="298">
        <v>0</v>
      </c>
      <c r="P13" s="300">
        <v>0</v>
      </c>
      <c r="Q13" s="300">
        <v>3</v>
      </c>
      <c r="R13" s="301">
        <v>0</v>
      </c>
      <c r="S13" s="298">
        <v>0</v>
      </c>
      <c r="T13" s="300">
        <v>0</v>
      </c>
      <c r="U13" s="300">
        <v>3</v>
      </c>
      <c r="V13" s="301">
        <v>0</v>
      </c>
      <c r="W13" s="376">
        <f t="shared" si="1"/>
        <v>21.0105</v>
      </c>
      <c r="X13" s="302" t="str">
        <f t="shared" si="0"/>
        <v>edasi 4</v>
      </c>
    </row>
    <row r="14" spans="1:25" x14ac:dyDescent="0.2">
      <c r="A14" s="296">
        <v>6</v>
      </c>
      <c r="B14" s="430" t="s">
        <v>40</v>
      </c>
      <c r="C14" s="298">
        <v>3</v>
      </c>
      <c r="D14" s="300">
        <v>0</v>
      </c>
      <c r="E14" s="300">
        <v>0</v>
      </c>
      <c r="F14" s="301">
        <v>0</v>
      </c>
      <c r="G14" s="298">
        <v>0</v>
      </c>
      <c r="H14" s="300">
        <v>3</v>
      </c>
      <c r="I14" s="300">
        <v>0</v>
      </c>
      <c r="J14" s="301">
        <v>0</v>
      </c>
      <c r="K14" s="298">
        <v>0</v>
      </c>
      <c r="L14" s="300">
        <v>0</v>
      </c>
      <c r="M14" s="300">
        <v>3</v>
      </c>
      <c r="N14" s="301">
        <v>0</v>
      </c>
      <c r="O14" s="298">
        <v>0</v>
      </c>
      <c r="P14" s="300">
        <v>0</v>
      </c>
      <c r="Q14" s="300">
        <v>0</v>
      </c>
      <c r="R14" s="301">
        <v>3</v>
      </c>
      <c r="S14" s="298">
        <v>0</v>
      </c>
      <c r="T14" s="300">
        <v>0</v>
      </c>
      <c r="U14" s="300">
        <v>5</v>
      </c>
      <c r="V14" s="301">
        <v>0</v>
      </c>
      <c r="W14" s="334">
        <f t="shared" si="1"/>
        <v>17.010400000000001</v>
      </c>
      <c r="X14" s="302" t="str">
        <f t="shared" si="0"/>
        <v>vahevooru 6</v>
      </c>
    </row>
    <row r="15" spans="1:25" x14ac:dyDescent="0.2">
      <c r="A15" s="105">
        <v>7</v>
      </c>
      <c r="B15" s="383" t="s">
        <v>46</v>
      </c>
      <c r="C15" s="102"/>
      <c r="D15" s="103"/>
      <c r="E15" s="103"/>
      <c r="F15" s="104"/>
      <c r="G15" s="102"/>
      <c r="H15" s="103"/>
      <c r="I15" s="103"/>
      <c r="J15" s="104"/>
      <c r="K15" s="102"/>
      <c r="L15" s="103"/>
      <c r="M15" s="103"/>
      <c r="N15" s="104"/>
      <c r="O15" s="102"/>
      <c r="P15" s="103"/>
      <c r="Q15" s="103"/>
      <c r="R15" s="104"/>
      <c r="S15" s="102"/>
      <c r="T15" s="103"/>
      <c r="U15" s="103"/>
      <c r="V15" s="104"/>
      <c r="W15" s="376">
        <f t="shared" si="1"/>
        <v>0</v>
      </c>
      <c r="X15" s="86" t="str">
        <f t="shared" si="0"/>
        <v/>
      </c>
    </row>
    <row r="16" spans="1:25" x14ac:dyDescent="0.2">
      <c r="A16" s="105">
        <v>8</v>
      </c>
      <c r="B16" s="429" t="s">
        <v>534</v>
      </c>
      <c r="C16" s="102">
        <v>0</v>
      </c>
      <c r="D16" s="103">
        <v>3</v>
      </c>
      <c r="E16" s="103">
        <v>0</v>
      </c>
      <c r="F16" s="104">
        <v>0</v>
      </c>
      <c r="G16" s="102">
        <v>0</v>
      </c>
      <c r="H16" s="103">
        <v>0</v>
      </c>
      <c r="I16" s="103">
        <v>0</v>
      </c>
      <c r="J16" s="104">
        <v>0</v>
      </c>
      <c r="K16" s="102">
        <v>1</v>
      </c>
      <c r="L16" s="103">
        <v>1</v>
      </c>
      <c r="M16" s="103">
        <v>0</v>
      </c>
      <c r="N16" s="104">
        <v>0</v>
      </c>
      <c r="O16" s="102">
        <v>3</v>
      </c>
      <c r="P16" s="103">
        <v>0</v>
      </c>
      <c r="Q16" s="103">
        <v>0</v>
      </c>
      <c r="R16" s="104">
        <v>0</v>
      </c>
      <c r="S16" s="102">
        <v>5</v>
      </c>
      <c r="T16" s="103">
        <v>0</v>
      </c>
      <c r="U16" s="103">
        <v>0</v>
      </c>
      <c r="V16" s="104">
        <v>3</v>
      </c>
      <c r="W16" s="376">
        <f t="shared" si="1"/>
        <v>16.010300000000001</v>
      </c>
      <c r="X16" s="86" t="str">
        <f t="shared" si="0"/>
        <v>vahevooru 9</v>
      </c>
    </row>
    <row r="17" spans="1:28" x14ac:dyDescent="0.2">
      <c r="A17" s="296">
        <v>9</v>
      </c>
      <c r="B17" s="389" t="s">
        <v>44</v>
      </c>
      <c r="C17" s="385"/>
      <c r="D17" s="386"/>
      <c r="E17" s="386"/>
      <c r="F17" s="387"/>
      <c r="G17" s="385"/>
      <c r="H17" s="386"/>
      <c r="I17" s="386"/>
      <c r="J17" s="387"/>
      <c r="K17" s="385"/>
      <c r="L17" s="386"/>
      <c r="M17" s="386"/>
      <c r="N17" s="387"/>
      <c r="O17" s="385"/>
      <c r="P17" s="386"/>
      <c r="Q17" s="386"/>
      <c r="R17" s="387"/>
      <c r="S17" s="385"/>
      <c r="T17" s="386"/>
      <c r="U17" s="386"/>
      <c r="V17" s="387"/>
      <c r="W17" s="376">
        <f t="shared" si="1"/>
        <v>0</v>
      </c>
      <c r="X17" s="302" t="str">
        <f t="shared" si="0"/>
        <v/>
      </c>
    </row>
    <row r="18" spans="1:28" x14ac:dyDescent="0.2">
      <c r="A18" s="296">
        <v>10</v>
      </c>
      <c r="B18" s="338" t="s">
        <v>63</v>
      </c>
      <c r="C18" s="298">
        <v>1</v>
      </c>
      <c r="D18" s="300">
        <v>0</v>
      </c>
      <c r="E18" s="300">
        <v>0</v>
      </c>
      <c r="F18" s="301">
        <v>0</v>
      </c>
      <c r="G18" s="298">
        <v>5</v>
      </c>
      <c r="H18" s="300">
        <v>0</v>
      </c>
      <c r="I18" s="300">
        <v>0</v>
      </c>
      <c r="J18" s="301">
        <v>0</v>
      </c>
      <c r="K18" s="298">
        <v>0</v>
      </c>
      <c r="L18" s="300">
        <v>5</v>
      </c>
      <c r="M18" s="300">
        <v>0</v>
      </c>
      <c r="N18" s="301">
        <v>0</v>
      </c>
      <c r="O18" s="298">
        <v>3</v>
      </c>
      <c r="P18" s="300">
        <v>0</v>
      </c>
      <c r="Q18" s="300">
        <v>0</v>
      </c>
      <c r="R18" s="301">
        <v>0</v>
      </c>
      <c r="S18" s="298">
        <v>5</v>
      </c>
      <c r="T18" s="300">
        <v>0</v>
      </c>
      <c r="U18" s="300">
        <v>0</v>
      </c>
      <c r="V18" s="301">
        <v>0</v>
      </c>
      <c r="W18" s="334">
        <f t="shared" si="1"/>
        <v>19.030100000000001</v>
      </c>
      <c r="X18" s="302" t="str">
        <f t="shared" si="0"/>
        <v>vahevooru 2</v>
      </c>
    </row>
    <row r="19" spans="1:28" x14ac:dyDescent="0.2">
      <c r="A19" s="105">
        <v>11</v>
      </c>
      <c r="B19" s="122" t="s">
        <v>57</v>
      </c>
      <c r="C19" s="102">
        <v>3</v>
      </c>
      <c r="D19" s="103">
        <v>3</v>
      </c>
      <c r="E19" s="103">
        <v>0</v>
      </c>
      <c r="F19" s="104">
        <v>0</v>
      </c>
      <c r="G19" s="102">
        <v>3</v>
      </c>
      <c r="H19" s="103">
        <v>0</v>
      </c>
      <c r="I19" s="103">
        <v>0</v>
      </c>
      <c r="J19" s="104">
        <v>0</v>
      </c>
      <c r="K19" s="102">
        <v>3</v>
      </c>
      <c r="L19" s="103">
        <v>0</v>
      </c>
      <c r="M19" s="103">
        <v>0</v>
      </c>
      <c r="N19" s="104">
        <v>0</v>
      </c>
      <c r="O19" s="102">
        <v>0</v>
      </c>
      <c r="P19" s="103">
        <v>0</v>
      </c>
      <c r="Q19" s="103">
        <v>0</v>
      </c>
      <c r="R19" s="104">
        <v>0</v>
      </c>
      <c r="S19" s="102">
        <v>0</v>
      </c>
      <c r="T19" s="103">
        <v>0</v>
      </c>
      <c r="U19" s="103">
        <v>0</v>
      </c>
      <c r="V19" s="104">
        <v>0</v>
      </c>
      <c r="W19" s="334">
        <f t="shared" si="1"/>
        <v>12.000400000000001</v>
      </c>
      <c r="X19" s="86">
        <f t="shared" si="0"/>
        <v>19</v>
      </c>
    </row>
    <row r="20" spans="1:28" x14ac:dyDescent="0.2">
      <c r="A20" s="105">
        <v>12</v>
      </c>
      <c r="B20" s="122" t="s">
        <v>37</v>
      </c>
      <c r="C20" s="102">
        <v>5</v>
      </c>
      <c r="D20" s="103">
        <v>3</v>
      </c>
      <c r="E20" s="103">
        <v>0</v>
      </c>
      <c r="F20" s="104">
        <v>5</v>
      </c>
      <c r="G20" s="102">
        <v>0</v>
      </c>
      <c r="H20" s="103">
        <v>5</v>
      </c>
      <c r="I20" s="103">
        <v>0</v>
      </c>
      <c r="J20" s="104">
        <v>0</v>
      </c>
      <c r="K20" s="102">
        <v>3</v>
      </c>
      <c r="L20" s="103">
        <v>1</v>
      </c>
      <c r="M20" s="103">
        <v>1</v>
      </c>
      <c r="N20" s="104">
        <v>0</v>
      </c>
      <c r="O20" s="102">
        <v>5</v>
      </c>
      <c r="P20" s="103">
        <v>0</v>
      </c>
      <c r="Q20" s="103">
        <v>3</v>
      </c>
      <c r="R20" s="104">
        <v>0</v>
      </c>
      <c r="S20" s="102">
        <v>0</v>
      </c>
      <c r="T20" s="103">
        <v>0</v>
      </c>
      <c r="U20" s="103">
        <v>0</v>
      </c>
      <c r="V20" s="104">
        <v>0</v>
      </c>
      <c r="W20" s="376">
        <f t="shared" si="1"/>
        <v>31.040299999999998</v>
      </c>
      <c r="X20" s="86" t="str">
        <f t="shared" si="0"/>
        <v>edasi 1</v>
      </c>
      <c r="Z20" s="89"/>
      <c r="AA20" s="90"/>
      <c r="AB20" s="90"/>
    </row>
    <row r="21" spans="1:28" x14ac:dyDescent="0.2">
      <c r="A21" s="296">
        <v>13</v>
      </c>
      <c r="B21" s="389" t="s">
        <v>73</v>
      </c>
      <c r="C21" s="298">
        <v>3</v>
      </c>
      <c r="D21" s="300">
        <v>3</v>
      </c>
      <c r="E21" s="300">
        <v>0</v>
      </c>
      <c r="F21" s="301">
        <v>0</v>
      </c>
      <c r="G21" s="298">
        <v>0</v>
      </c>
      <c r="H21" s="300">
        <v>0</v>
      </c>
      <c r="I21" s="300">
        <v>0</v>
      </c>
      <c r="J21" s="301">
        <v>0</v>
      </c>
      <c r="K21" s="298">
        <v>0</v>
      </c>
      <c r="L21" s="300">
        <v>3</v>
      </c>
      <c r="M21" s="300">
        <v>1</v>
      </c>
      <c r="N21" s="301">
        <v>0</v>
      </c>
      <c r="O21" s="298">
        <v>0</v>
      </c>
      <c r="P21" s="300">
        <v>0</v>
      </c>
      <c r="Q21" s="300">
        <v>3</v>
      </c>
      <c r="R21" s="301">
        <v>0</v>
      </c>
      <c r="S21" s="298">
        <v>0</v>
      </c>
      <c r="T21" s="300">
        <v>0</v>
      </c>
      <c r="U21" s="300">
        <v>0</v>
      </c>
      <c r="V21" s="301">
        <v>0</v>
      </c>
      <c r="W21" s="376">
        <f t="shared" si="1"/>
        <v>13.000400000000001</v>
      </c>
      <c r="X21" s="302">
        <f t="shared" ref="X21:X32" si="2">IF(COUNTA(C21:V21)=0,"",IF(RANK(W21,W$9:W$34)&lt;5,"edasi "&amp;RANK(W21,W$9:W$34),IF(RANK(W21,W$9:W$34)&lt;17,"vahevooru "&amp;RANK(W21,W$9:W$34)-4,RANK(W21,W$9:W$34))))</f>
        <v>17</v>
      </c>
    </row>
    <row r="22" spans="1:28" x14ac:dyDescent="0.2">
      <c r="A22" s="296">
        <v>14</v>
      </c>
      <c r="B22" s="303" t="s">
        <v>206</v>
      </c>
      <c r="C22" s="298">
        <v>0</v>
      </c>
      <c r="D22" s="300">
        <v>0</v>
      </c>
      <c r="E22" s="300">
        <v>0</v>
      </c>
      <c r="F22" s="301">
        <v>0</v>
      </c>
      <c r="G22" s="298">
        <v>0</v>
      </c>
      <c r="H22" s="300">
        <v>0</v>
      </c>
      <c r="I22" s="300">
        <v>3</v>
      </c>
      <c r="J22" s="301">
        <v>0</v>
      </c>
      <c r="K22" s="298">
        <v>0</v>
      </c>
      <c r="L22" s="300">
        <v>0</v>
      </c>
      <c r="M22" s="300">
        <v>0</v>
      </c>
      <c r="N22" s="301">
        <v>1</v>
      </c>
      <c r="O22" s="298">
        <v>3</v>
      </c>
      <c r="P22" s="300">
        <v>0</v>
      </c>
      <c r="Q22" s="300">
        <v>3</v>
      </c>
      <c r="R22" s="301">
        <v>0</v>
      </c>
      <c r="S22" s="298">
        <v>0</v>
      </c>
      <c r="T22" s="300">
        <v>5</v>
      </c>
      <c r="U22" s="300">
        <v>0</v>
      </c>
      <c r="V22" s="301">
        <v>0</v>
      </c>
      <c r="W22" s="334">
        <f t="shared" si="1"/>
        <v>15.010299999999999</v>
      </c>
      <c r="X22" s="302" t="str">
        <f t="shared" si="2"/>
        <v>vahevooru 10</v>
      </c>
    </row>
    <row r="23" spans="1:28" x14ac:dyDescent="0.2">
      <c r="A23" s="105">
        <v>15</v>
      </c>
      <c r="B23" s="390" t="s">
        <v>30</v>
      </c>
      <c r="C23" s="102">
        <v>3</v>
      </c>
      <c r="D23" s="103">
        <v>0</v>
      </c>
      <c r="E23" s="103">
        <v>0</v>
      </c>
      <c r="F23" s="104">
        <v>0</v>
      </c>
      <c r="G23" s="102">
        <v>0</v>
      </c>
      <c r="H23" s="103">
        <v>0</v>
      </c>
      <c r="I23" s="103">
        <v>0</v>
      </c>
      <c r="J23" s="104">
        <v>0</v>
      </c>
      <c r="K23" s="102">
        <v>3</v>
      </c>
      <c r="L23" s="103">
        <v>0</v>
      </c>
      <c r="M23" s="103">
        <v>0</v>
      </c>
      <c r="N23" s="104">
        <v>0</v>
      </c>
      <c r="O23" s="102">
        <v>0</v>
      </c>
      <c r="P23" s="103">
        <v>0</v>
      </c>
      <c r="Q23" s="103">
        <v>3</v>
      </c>
      <c r="R23" s="104">
        <v>0</v>
      </c>
      <c r="S23" s="102">
        <v>0</v>
      </c>
      <c r="T23" s="103">
        <v>5</v>
      </c>
      <c r="U23" s="103">
        <v>5</v>
      </c>
      <c r="V23" s="104">
        <v>0</v>
      </c>
      <c r="W23" s="376">
        <f t="shared" si="1"/>
        <v>19.020299999999999</v>
      </c>
      <c r="X23" s="86" t="str">
        <f t="shared" si="2"/>
        <v>vahevooru 3</v>
      </c>
    </row>
    <row r="24" spans="1:28" x14ac:dyDescent="0.2">
      <c r="A24" s="105">
        <v>16</v>
      </c>
      <c r="B24" s="304" t="s">
        <v>43</v>
      </c>
      <c r="C24" s="102">
        <v>0</v>
      </c>
      <c r="D24" s="103">
        <v>1</v>
      </c>
      <c r="E24" s="103">
        <v>0</v>
      </c>
      <c r="F24" s="104">
        <v>0</v>
      </c>
      <c r="G24" s="102">
        <v>0</v>
      </c>
      <c r="H24" s="103">
        <v>0</v>
      </c>
      <c r="I24" s="103">
        <v>0</v>
      </c>
      <c r="J24" s="104">
        <v>0</v>
      </c>
      <c r="K24" s="102">
        <v>0</v>
      </c>
      <c r="L24" s="103">
        <v>0</v>
      </c>
      <c r="M24" s="103">
        <v>3</v>
      </c>
      <c r="N24" s="104">
        <v>0</v>
      </c>
      <c r="O24" s="102">
        <v>0</v>
      </c>
      <c r="P24" s="103">
        <v>0</v>
      </c>
      <c r="Q24" s="103">
        <v>1</v>
      </c>
      <c r="R24" s="104">
        <v>0</v>
      </c>
      <c r="S24" s="102">
        <v>5</v>
      </c>
      <c r="T24" s="103">
        <v>0</v>
      </c>
      <c r="U24" s="103">
        <v>0</v>
      </c>
      <c r="V24" s="104">
        <v>0</v>
      </c>
      <c r="W24" s="334">
        <f t="shared" si="1"/>
        <v>10.0101</v>
      </c>
      <c r="X24" s="86">
        <f t="shared" si="2"/>
        <v>20</v>
      </c>
    </row>
    <row r="25" spans="1:28" x14ac:dyDescent="0.2">
      <c r="A25" s="296">
        <v>17</v>
      </c>
      <c r="B25" s="303" t="s">
        <v>380</v>
      </c>
      <c r="C25" s="298">
        <v>0</v>
      </c>
      <c r="D25" s="300">
        <v>1</v>
      </c>
      <c r="E25" s="300">
        <v>0</v>
      </c>
      <c r="F25" s="301">
        <v>0</v>
      </c>
      <c r="G25" s="298">
        <v>3</v>
      </c>
      <c r="H25" s="300">
        <v>3</v>
      </c>
      <c r="I25" s="300">
        <v>3</v>
      </c>
      <c r="J25" s="301">
        <v>3</v>
      </c>
      <c r="K25" s="298">
        <v>0</v>
      </c>
      <c r="L25" s="300">
        <v>3</v>
      </c>
      <c r="M25" s="300">
        <v>0</v>
      </c>
      <c r="N25" s="301">
        <v>0</v>
      </c>
      <c r="O25" s="298">
        <v>3</v>
      </c>
      <c r="P25" s="300">
        <v>1</v>
      </c>
      <c r="Q25" s="300">
        <v>0</v>
      </c>
      <c r="R25" s="301">
        <v>0</v>
      </c>
      <c r="S25" s="298">
        <v>3</v>
      </c>
      <c r="T25" s="300">
        <v>0</v>
      </c>
      <c r="U25" s="300">
        <v>5</v>
      </c>
      <c r="V25" s="301">
        <v>3</v>
      </c>
      <c r="W25" s="376">
        <f t="shared" si="1"/>
        <v>31.010800000000003</v>
      </c>
      <c r="X25" s="302" t="str">
        <f t="shared" si="2"/>
        <v>edasi 2</v>
      </c>
    </row>
    <row r="26" spans="1:28" x14ac:dyDescent="0.2">
      <c r="A26" s="296">
        <v>18</v>
      </c>
      <c r="B26" s="297" t="s">
        <v>64</v>
      </c>
      <c r="C26" s="298">
        <v>0</v>
      </c>
      <c r="D26" s="300">
        <v>1</v>
      </c>
      <c r="E26" s="300">
        <v>3</v>
      </c>
      <c r="F26" s="301">
        <v>0</v>
      </c>
      <c r="G26" s="298">
        <v>0</v>
      </c>
      <c r="H26" s="300">
        <v>1</v>
      </c>
      <c r="I26" s="300">
        <v>3</v>
      </c>
      <c r="J26" s="301">
        <v>0</v>
      </c>
      <c r="K26" s="298">
        <v>0</v>
      </c>
      <c r="L26" s="300">
        <v>3</v>
      </c>
      <c r="M26" s="300">
        <v>1</v>
      </c>
      <c r="N26" s="301">
        <v>0</v>
      </c>
      <c r="O26" s="298">
        <v>0</v>
      </c>
      <c r="P26" s="300">
        <v>0</v>
      </c>
      <c r="Q26" s="300">
        <v>0</v>
      </c>
      <c r="R26" s="301">
        <v>5</v>
      </c>
      <c r="S26" s="298">
        <v>0</v>
      </c>
      <c r="T26" s="300">
        <v>0</v>
      </c>
      <c r="U26" s="300">
        <v>0</v>
      </c>
      <c r="V26" s="301">
        <v>0</v>
      </c>
      <c r="W26" s="334">
        <f t="shared" si="1"/>
        <v>17.010300000000001</v>
      </c>
      <c r="X26" s="302" t="str">
        <f t="shared" si="2"/>
        <v>vahevooru 7</v>
      </c>
    </row>
    <row r="27" spans="1:28" x14ac:dyDescent="0.2">
      <c r="A27" s="105">
        <v>19</v>
      </c>
      <c r="B27" s="121" t="s">
        <v>33</v>
      </c>
      <c r="C27" s="102">
        <v>1</v>
      </c>
      <c r="D27" s="103">
        <v>3</v>
      </c>
      <c r="E27" s="103">
        <v>0</v>
      </c>
      <c r="F27" s="104">
        <v>0</v>
      </c>
      <c r="G27" s="102">
        <v>0</v>
      </c>
      <c r="H27" s="103">
        <v>0</v>
      </c>
      <c r="I27" s="103">
        <v>0</v>
      </c>
      <c r="J27" s="104">
        <v>0</v>
      </c>
      <c r="K27" s="102">
        <v>1</v>
      </c>
      <c r="L27" s="103">
        <v>0</v>
      </c>
      <c r="M27" s="103">
        <v>0</v>
      </c>
      <c r="N27" s="104">
        <v>1</v>
      </c>
      <c r="O27" s="102">
        <v>0</v>
      </c>
      <c r="P27" s="103">
        <v>0</v>
      </c>
      <c r="Q27" s="103">
        <v>3</v>
      </c>
      <c r="R27" s="104">
        <v>1</v>
      </c>
      <c r="S27" s="102">
        <v>0</v>
      </c>
      <c r="T27" s="103">
        <v>5</v>
      </c>
      <c r="U27" s="103">
        <v>0</v>
      </c>
      <c r="V27" s="104">
        <v>0</v>
      </c>
      <c r="W27" s="334">
        <f t="shared" si="1"/>
        <v>15.010199999999999</v>
      </c>
      <c r="X27" s="86" t="str">
        <f t="shared" si="2"/>
        <v>vahevooru 11</v>
      </c>
    </row>
    <row r="28" spans="1:28" x14ac:dyDescent="0.2">
      <c r="A28" s="105">
        <v>20</v>
      </c>
      <c r="B28" s="391" t="s">
        <v>34</v>
      </c>
      <c r="C28" s="102">
        <v>0</v>
      </c>
      <c r="D28" s="103">
        <v>5</v>
      </c>
      <c r="E28" s="103">
        <v>1</v>
      </c>
      <c r="F28" s="104">
        <v>0</v>
      </c>
      <c r="G28" s="102">
        <v>1</v>
      </c>
      <c r="H28" s="103">
        <v>0</v>
      </c>
      <c r="I28" s="103">
        <v>0</v>
      </c>
      <c r="J28" s="104">
        <v>0</v>
      </c>
      <c r="K28" s="102">
        <v>1</v>
      </c>
      <c r="L28" s="103">
        <v>0</v>
      </c>
      <c r="M28" s="103">
        <v>1</v>
      </c>
      <c r="N28" s="104">
        <v>0</v>
      </c>
      <c r="O28" s="102">
        <v>0</v>
      </c>
      <c r="P28" s="103">
        <v>0</v>
      </c>
      <c r="Q28" s="103">
        <v>3</v>
      </c>
      <c r="R28" s="104">
        <v>0</v>
      </c>
      <c r="S28" s="102">
        <v>0</v>
      </c>
      <c r="T28" s="103">
        <v>0</v>
      </c>
      <c r="U28" s="103">
        <v>0</v>
      </c>
      <c r="V28" s="104">
        <v>0</v>
      </c>
      <c r="W28" s="334">
        <f t="shared" si="1"/>
        <v>12.0101</v>
      </c>
      <c r="X28" s="86">
        <f t="shared" si="2"/>
        <v>18</v>
      </c>
    </row>
    <row r="29" spans="1:28" x14ac:dyDescent="0.2">
      <c r="A29" s="296">
        <v>21</v>
      </c>
      <c r="B29" s="343" t="s">
        <v>66</v>
      </c>
      <c r="C29" s="298">
        <v>0</v>
      </c>
      <c r="D29" s="300">
        <v>3</v>
      </c>
      <c r="E29" s="300">
        <v>0</v>
      </c>
      <c r="F29" s="301">
        <v>0</v>
      </c>
      <c r="G29" s="298">
        <v>0</v>
      </c>
      <c r="H29" s="300">
        <v>0</v>
      </c>
      <c r="I29" s="300">
        <v>3</v>
      </c>
      <c r="J29" s="301">
        <v>0</v>
      </c>
      <c r="K29" s="298">
        <v>3</v>
      </c>
      <c r="L29" s="300">
        <v>1</v>
      </c>
      <c r="M29" s="300">
        <v>3</v>
      </c>
      <c r="N29" s="301">
        <v>0</v>
      </c>
      <c r="O29" s="298">
        <v>3</v>
      </c>
      <c r="P29" s="300">
        <v>1</v>
      </c>
      <c r="Q29" s="300">
        <v>0</v>
      </c>
      <c r="R29" s="301">
        <v>0</v>
      </c>
      <c r="S29" s="298">
        <v>5</v>
      </c>
      <c r="T29" s="300">
        <v>0</v>
      </c>
      <c r="U29" s="300">
        <v>0</v>
      </c>
      <c r="V29" s="301">
        <v>0</v>
      </c>
      <c r="W29" s="334">
        <f t="shared" si="1"/>
        <v>22.0105</v>
      </c>
      <c r="X29" s="302" t="str">
        <f t="shared" si="2"/>
        <v>edasi 3</v>
      </c>
    </row>
    <row r="30" spans="1:28" x14ac:dyDescent="0.2">
      <c r="A30" s="296">
        <v>22</v>
      </c>
      <c r="B30" s="336" t="s">
        <v>179</v>
      </c>
      <c r="C30" s="298">
        <v>3</v>
      </c>
      <c r="D30" s="300">
        <v>0</v>
      </c>
      <c r="E30" s="300">
        <v>3</v>
      </c>
      <c r="F30" s="301">
        <v>0</v>
      </c>
      <c r="G30" s="298">
        <v>3</v>
      </c>
      <c r="H30" s="300">
        <v>3</v>
      </c>
      <c r="I30" s="300">
        <v>3</v>
      </c>
      <c r="J30" s="301">
        <v>0</v>
      </c>
      <c r="K30" s="298">
        <v>0</v>
      </c>
      <c r="L30" s="300">
        <v>1</v>
      </c>
      <c r="M30" s="300">
        <v>0</v>
      </c>
      <c r="N30" s="301">
        <v>0</v>
      </c>
      <c r="O30" s="298">
        <v>0</v>
      </c>
      <c r="P30" s="300">
        <v>3</v>
      </c>
      <c r="Q30" s="300">
        <v>0</v>
      </c>
      <c r="R30" s="301">
        <v>0</v>
      </c>
      <c r="S30" s="298">
        <v>0</v>
      </c>
      <c r="T30" s="300">
        <v>0</v>
      </c>
      <c r="U30" s="300">
        <v>0</v>
      </c>
      <c r="V30" s="301">
        <v>0</v>
      </c>
      <c r="W30" s="376">
        <f t="shared" si="1"/>
        <v>19.000599999999999</v>
      </c>
      <c r="X30" s="302" t="str">
        <f t="shared" si="2"/>
        <v>vahevooru 4</v>
      </c>
    </row>
    <row r="31" spans="1:28" x14ac:dyDescent="0.2">
      <c r="A31" s="105">
        <v>23</v>
      </c>
      <c r="B31" s="390" t="s">
        <v>633</v>
      </c>
      <c r="C31" s="102">
        <v>0</v>
      </c>
      <c r="D31" s="103">
        <v>0</v>
      </c>
      <c r="E31" s="103">
        <v>3</v>
      </c>
      <c r="F31" s="104">
        <v>3</v>
      </c>
      <c r="G31" s="102">
        <v>0</v>
      </c>
      <c r="H31" s="103">
        <v>0</v>
      </c>
      <c r="I31" s="103">
        <v>0</v>
      </c>
      <c r="J31" s="104">
        <v>0</v>
      </c>
      <c r="K31" s="102">
        <v>1</v>
      </c>
      <c r="L31" s="103">
        <v>0</v>
      </c>
      <c r="M31" s="103">
        <v>0</v>
      </c>
      <c r="N31" s="104">
        <v>0</v>
      </c>
      <c r="O31" s="102">
        <v>0</v>
      </c>
      <c r="P31" s="103">
        <v>0</v>
      </c>
      <c r="Q31" s="103">
        <v>0</v>
      </c>
      <c r="R31" s="104">
        <v>0</v>
      </c>
      <c r="S31" s="102">
        <v>0</v>
      </c>
      <c r="T31" s="103">
        <v>3</v>
      </c>
      <c r="U31" s="103">
        <v>5</v>
      </c>
      <c r="V31" s="104">
        <v>3</v>
      </c>
      <c r="W31" s="376">
        <f t="shared" si="1"/>
        <v>18.010400000000001</v>
      </c>
      <c r="X31" s="86" t="str">
        <f t="shared" si="2"/>
        <v>vahevooru 5</v>
      </c>
    </row>
    <row r="32" spans="1:28" x14ac:dyDescent="0.2">
      <c r="A32" s="105">
        <v>24</v>
      </c>
      <c r="B32" s="392"/>
      <c r="C32" s="102"/>
      <c r="D32" s="103"/>
      <c r="E32" s="103"/>
      <c r="F32" s="104"/>
      <c r="G32" s="102"/>
      <c r="H32" s="103"/>
      <c r="I32" s="103"/>
      <c r="J32" s="104"/>
      <c r="K32" s="102"/>
      <c r="L32" s="103"/>
      <c r="M32" s="103"/>
      <c r="N32" s="104"/>
      <c r="O32" s="102"/>
      <c r="P32" s="103"/>
      <c r="Q32" s="103"/>
      <c r="R32" s="104"/>
      <c r="S32" s="102"/>
      <c r="T32" s="103"/>
      <c r="U32" s="103"/>
      <c r="V32" s="104"/>
      <c r="W32" s="376">
        <f t="shared" si="1"/>
        <v>0</v>
      </c>
      <c r="X32" s="86" t="str">
        <f t="shared" si="2"/>
        <v/>
      </c>
    </row>
    <row r="33" spans="1:28" x14ac:dyDescent="0.2">
      <c r="A33" s="296">
        <v>25</v>
      </c>
      <c r="B33" s="343"/>
      <c r="C33" s="298"/>
      <c r="D33" s="300"/>
      <c r="E33" s="300"/>
      <c r="F33" s="301"/>
      <c r="G33" s="298"/>
      <c r="H33" s="300"/>
      <c r="I33" s="300"/>
      <c r="J33" s="301"/>
      <c r="K33" s="298"/>
      <c r="L33" s="300"/>
      <c r="M33" s="300"/>
      <c r="N33" s="301"/>
      <c r="O33" s="298"/>
      <c r="P33" s="300"/>
      <c r="Q33" s="300"/>
      <c r="R33" s="301"/>
      <c r="S33" s="298"/>
      <c r="T33" s="300"/>
      <c r="U33" s="300"/>
      <c r="V33" s="301"/>
      <c r="W33" s="376">
        <f t="shared" si="1"/>
        <v>0</v>
      </c>
      <c r="X33" s="302" t="str">
        <f>IF(COUNTA(C33:V33)=0,"",IF(RANK(W33,W$9:W$34)&lt;5,"edasi "&amp;RANK(W33,W$9:W$34),IF(RANK(W33,W$9:W$34)&lt;17,"vahevooru "&amp;RANK(W33,W$9:W$34)-4,RANK(W33,W$9:W$34))))</f>
        <v/>
      </c>
    </row>
    <row r="34" spans="1:28" ht="13.5" thickBot="1" x14ac:dyDescent="0.25">
      <c r="A34" s="296">
        <v>26</v>
      </c>
      <c r="B34" s="343"/>
      <c r="C34" s="298"/>
      <c r="D34" s="300"/>
      <c r="E34" s="300"/>
      <c r="F34" s="301"/>
      <c r="G34" s="298"/>
      <c r="H34" s="300"/>
      <c r="I34" s="300"/>
      <c r="J34" s="301"/>
      <c r="K34" s="298"/>
      <c r="L34" s="300"/>
      <c r="M34" s="300"/>
      <c r="N34" s="301"/>
      <c r="O34" s="298"/>
      <c r="P34" s="300"/>
      <c r="Q34" s="300"/>
      <c r="R34" s="301"/>
      <c r="S34" s="298"/>
      <c r="T34" s="300"/>
      <c r="U34" s="300"/>
      <c r="V34" s="301"/>
      <c r="W34" s="376">
        <f t="shared" si="1"/>
        <v>0</v>
      </c>
      <c r="X34" s="302" t="str">
        <f>IF(COUNTA(C34:V34)=0,"",IF(RANK(W34,W$9:W$34)&lt;5,"edasi "&amp;RANK(W34,W$9:W$34),IF(RANK(W34,W$9:W$34)&lt;17,"vahevooru "&amp;RANK(W34,W$9:W$34)-4,RANK(W34,W$9:W$34))))</f>
        <v/>
      </c>
    </row>
    <row r="35" spans="1:28" ht="13.5" hidden="1" thickBot="1" x14ac:dyDescent="0.25">
      <c r="A35" s="294"/>
      <c r="B35" s="295" t="s">
        <v>568</v>
      </c>
      <c r="C35" s="80"/>
      <c r="D35" s="81"/>
      <c r="E35" s="81"/>
      <c r="F35" s="82"/>
      <c r="G35" s="80"/>
      <c r="H35" s="81"/>
      <c r="I35" s="81"/>
      <c r="J35" s="82"/>
      <c r="K35" s="80"/>
      <c r="L35" s="81"/>
      <c r="M35" s="81"/>
      <c r="N35" s="82"/>
      <c r="O35" s="80"/>
      <c r="P35" s="81"/>
      <c r="Q35" s="81"/>
      <c r="R35" s="82"/>
      <c r="S35" s="80"/>
      <c r="T35" s="81"/>
      <c r="U35" s="81"/>
      <c r="V35" s="82"/>
      <c r="W35" s="400"/>
      <c r="X35" s="167"/>
      <c r="Z35" s="84"/>
      <c r="AA35" s="85" t="s">
        <v>212</v>
      </c>
      <c r="AB35" s="85" t="s">
        <v>213</v>
      </c>
    </row>
    <row r="36" spans="1:28" ht="13.5" hidden="1" thickBot="1" x14ac:dyDescent="0.25">
      <c r="A36" s="296"/>
      <c r="B36" s="297"/>
      <c r="C36" s="298"/>
      <c r="D36" s="299"/>
      <c r="E36" s="300"/>
      <c r="F36" s="301"/>
      <c r="G36" s="298"/>
      <c r="H36" s="299"/>
      <c r="I36" s="300"/>
      <c r="J36" s="301"/>
      <c r="K36" s="298"/>
      <c r="L36" s="299"/>
      <c r="M36" s="300"/>
      <c r="N36" s="301"/>
      <c r="O36" s="298"/>
      <c r="P36" s="299"/>
      <c r="Q36" s="300"/>
      <c r="R36" s="301"/>
      <c r="S36" s="298"/>
      <c r="T36" s="299"/>
      <c r="U36" s="300"/>
      <c r="V36" s="301"/>
      <c r="W36" s="334" t="str">
        <f t="shared" ref="W36:W121" si="3">IF(COUNTA(C36:V36)=0,"",SUM(C36:V36)+COUNTIF(C36:V36,5)/100+COUNTIF(C36:V36,3)/10000)</f>
        <v/>
      </c>
      <c r="X36" s="302"/>
    </row>
    <row r="37" spans="1:28" ht="13.5" hidden="1" thickBot="1" x14ac:dyDescent="0.25">
      <c r="A37" s="296"/>
      <c r="B37" s="297"/>
      <c r="C37" s="298"/>
      <c r="D37" s="299"/>
      <c r="E37" s="300"/>
      <c r="F37" s="301"/>
      <c r="G37" s="298"/>
      <c r="H37" s="299"/>
      <c r="I37" s="300"/>
      <c r="J37" s="301"/>
      <c r="K37" s="298"/>
      <c r="L37" s="299"/>
      <c r="M37" s="300"/>
      <c r="N37" s="301"/>
      <c r="O37" s="298"/>
      <c r="P37" s="299"/>
      <c r="Q37" s="300"/>
      <c r="R37" s="301"/>
      <c r="S37" s="298"/>
      <c r="T37" s="299"/>
      <c r="U37" s="300"/>
      <c r="V37" s="301"/>
      <c r="W37" s="334" t="str">
        <f t="shared" si="3"/>
        <v/>
      </c>
      <c r="X37" s="302"/>
    </row>
    <row r="38" spans="1:28" ht="13.5" hidden="1" thickBot="1" x14ac:dyDescent="0.25">
      <c r="A38" s="296"/>
      <c r="B38" s="303"/>
      <c r="C38" s="298"/>
      <c r="D38" s="299"/>
      <c r="E38" s="300"/>
      <c r="F38" s="301"/>
      <c r="G38" s="298"/>
      <c r="H38" s="299"/>
      <c r="I38" s="300"/>
      <c r="J38" s="301"/>
      <c r="K38" s="298"/>
      <c r="L38" s="299"/>
      <c r="M38" s="300"/>
      <c r="N38" s="301"/>
      <c r="O38" s="298"/>
      <c r="P38" s="299"/>
      <c r="Q38" s="300"/>
      <c r="R38" s="301"/>
      <c r="S38" s="298"/>
      <c r="T38" s="299"/>
      <c r="U38" s="300"/>
      <c r="V38" s="301"/>
      <c r="W38" s="334" t="str">
        <f t="shared" si="3"/>
        <v/>
      </c>
      <c r="X38" s="302"/>
    </row>
    <row r="39" spans="1:28" ht="13.5" hidden="1" thickBot="1" x14ac:dyDescent="0.25">
      <c r="A39" s="296"/>
      <c r="B39" s="297"/>
      <c r="C39" s="298"/>
      <c r="D39" s="299"/>
      <c r="E39" s="300"/>
      <c r="F39" s="301"/>
      <c r="G39" s="298"/>
      <c r="H39" s="299"/>
      <c r="I39" s="300"/>
      <c r="J39" s="301"/>
      <c r="K39" s="298"/>
      <c r="L39" s="299"/>
      <c r="M39" s="300"/>
      <c r="N39" s="301"/>
      <c r="O39" s="298"/>
      <c r="P39" s="299"/>
      <c r="Q39" s="300"/>
      <c r="R39" s="301"/>
      <c r="S39" s="298"/>
      <c r="T39" s="299"/>
      <c r="U39" s="300"/>
      <c r="V39" s="301"/>
      <c r="W39" s="334" t="str">
        <f t="shared" si="3"/>
        <v/>
      </c>
      <c r="X39" s="302"/>
    </row>
    <row r="40" spans="1:28" ht="13.5" hidden="1" thickBot="1" x14ac:dyDescent="0.25">
      <c r="A40" s="105"/>
      <c r="B40" s="304"/>
      <c r="C40" s="102"/>
      <c r="D40" s="99"/>
      <c r="E40" s="103"/>
      <c r="F40" s="104"/>
      <c r="G40" s="102"/>
      <c r="H40" s="99"/>
      <c r="I40" s="103"/>
      <c r="J40" s="104"/>
      <c r="K40" s="102"/>
      <c r="L40" s="99"/>
      <c r="M40" s="103"/>
      <c r="N40" s="104"/>
      <c r="O40" s="102"/>
      <c r="P40" s="99"/>
      <c r="Q40" s="103"/>
      <c r="R40" s="104"/>
      <c r="S40" s="102"/>
      <c r="T40" s="99"/>
      <c r="U40" s="103"/>
      <c r="V40" s="104"/>
      <c r="W40" s="334" t="str">
        <f t="shared" si="3"/>
        <v/>
      </c>
      <c r="X40" s="86"/>
    </row>
    <row r="41" spans="1:28" ht="13.5" hidden="1" thickBot="1" x14ac:dyDescent="0.25">
      <c r="A41" s="105"/>
      <c r="B41" s="175"/>
      <c r="C41" s="102"/>
      <c r="D41" s="99"/>
      <c r="E41" s="103"/>
      <c r="F41" s="104"/>
      <c r="G41" s="102"/>
      <c r="H41" s="99"/>
      <c r="I41" s="103"/>
      <c r="J41" s="104"/>
      <c r="K41" s="102"/>
      <c r="L41" s="99"/>
      <c r="M41" s="103"/>
      <c r="N41" s="104"/>
      <c r="O41" s="102"/>
      <c r="P41" s="99"/>
      <c r="Q41" s="103"/>
      <c r="R41" s="104"/>
      <c r="S41" s="102"/>
      <c r="T41" s="99"/>
      <c r="U41" s="103"/>
      <c r="V41" s="104"/>
      <c r="W41" s="334" t="str">
        <f t="shared" si="3"/>
        <v/>
      </c>
      <c r="X41" s="86"/>
    </row>
    <row r="42" spans="1:28" ht="13.5" hidden="1" thickBot="1" x14ac:dyDescent="0.25">
      <c r="A42" s="305"/>
      <c r="B42" s="124"/>
      <c r="C42" s="102"/>
      <c r="D42" s="99"/>
      <c r="E42" s="103"/>
      <c r="F42" s="104"/>
      <c r="G42" s="102"/>
      <c r="H42" s="99"/>
      <c r="I42" s="103"/>
      <c r="J42" s="104"/>
      <c r="K42" s="102"/>
      <c r="L42" s="99"/>
      <c r="M42" s="103"/>
      <c r="N42" s="104"/>
      <c r="O42" s="102"/>
      <c r="P42" s="99"/>
      <c r="Q42" s="103"/>
      <c r="R42" s="104"/>
      <c r="S42" s="102"/>
      <c r="T42" s="99"/>
      <c r="U42" s="103"/>
      <c r="V42" s="104"/>
      <c r="W42" s="334" t="str">
        <f t="shared" ref="W42:W67" si="4">IF(COUNTA(C42:V42)=0,"",SUM(C42:V42)+COUNTIF(C42:V42,5)/100+COUNTIF(C42:V42,3)/10000)</f>
        <v/>
      </c>
      <c r="X42" s="86"/>
    </row>
    <row r="43" spans="1:28" ht="13.5" hidden="1" thickBot="1" x14ac:dyDescent="0.25">
      <c r="A43" s="305"/>
      <c r="B43" s="124"/>
      <c r="C43" s="102"/>
      <c r="D43" s="99"/>
      <c r="E43" s="103"/>
      <c r="F43" s="104"/>
      <c r="G43" s="102"/>
      <c r="H43" s="99"/>
      <c r="I43" s="103"/>
      <c r="J43" s="104"/>
      <c r="K43" s="102"/>
      <c r="L43" s="99"/>
      <c r="M43" s="103"/>
      <c r="N43" s="104"/>
      <c r="O43" s="102"/>
      <c r="P43" s="99"/>
      <c r="Q43" s="103"/>
      <c r="R43" s="104"/>
      <c r="S43" s="102"/>
      <c r="T43" s="99"/>
      <c r="U43" s="103"/>
      <c r="V43" s="104"/>
      <c r="W43" s="334" t="str">
        <f t="shared" si="4"/>
        <v/>
      </c>
      <c r="X43" s="86"/>
    </row>
    <row r="44" spans="1:28" ht="13.5" hidden="1" thickBot="1" x14ac:dyDescent="0.25">
      <c r="A44" s="296"/>
      <c r="B44" s="297"/>
      <c r="C44" s="298"/>
      <c r="D44" s="299"/>
      <c r="E44" s="300"/>
      <c r="F44" s="301"/>
      <c r="G44" s="298"/>
      <c r="H44" s="299"/>
      <c r="I44" s="300"/>
      <c r="J44" s="301"/>
      <c r="K44" s="298"/>
      <c r="L44" s="299"/>
      <c r="M44" s="300"/>
      <c r="N44" s="301"/>
      <c r="O44" s="298"/>
      <c r="P44" s="299"/>
      <c r="Q44" s="300"/>
      <c r="R44" s="301"/>
      <c r="S44" s="298"/>
      <c r="T44" s="299"/>
      <c r="U44" s="300"/>
      <c r="V44" s="301"/>
      <c r="W44" s="334" t="str">
        <f t="shared" si="4"/>
        <v/>
      </c>
      <c r="X44" s="302"/>
    </row>
    <row r="45" spans="1:28" ht="13.5" hidden="1" thickBot="1" x14ac:dyDescent="0.25">
      <c r="A45" s="296"/>
      <c r="B45" s="297"/>
      <c r="C45" s="298"/>
      <c r="D45" s="299"/>
      <c r="E45" s="300"/>
      <c r="F45" s="301"/>
      <c r="G45" s="298"/>
      <c r="H45" s="299"/>
      <c r="I45" s="300"/>
      <c r="J45" s="301"/>
      <c r="K45" s="298"/>
      <c r="L45" s="299"/>
      <c r="M45" s="300"/>
      <c r="N45" s="301"/>
      <c r="O45" s="298"/>
      <c r="P45" s="299"/>
      <c r="Q45" s="300"/>
      <c r="R45" s="301"/>
      <c r="S45" s="298"/>
      <c r="T45" s="299"/>
      <c r="U45" s="300"/>
      <c r="V45" s="301"/>
      <c r="W45" s="334" t="str">
        <f t="shared" si="4"/>
        <v/>
      </c>
      <c r="X45" s="302"/>
    </row>
    <row r="46" spans="1:28" ht="13.5" hidden="1" thickBot="1" x14ac:dyDescent="0.25">
      <c r="A46" s="296"/>
      <c r="B46" s="303"/>
      <c r="C46" s="298"/>
      <c r="D46" s="299"/>
      <c r="E46" s="300"/>
      <c r="F46" s="301"/>
      <c r="G46" s="298"/>
      <c r="H46" s="299"/>
      <c r="I46" s="300"/>
      <c r="J46" s="301"/>
      <c r="K46" s="298"/>
      <c r="L46" s="299"/>
      <c r="M46" s="300"/>
      <c r="N46" s="301"/>
      <c r="O46" s="298"/>
      <c r="P46" s="299"/>
      <c r="Q46" s="300"/>
      <c r="R46" s="301"/>
      <c r="S46" s="298"/>
      <c r="T46" s="299"/>
      <c r="U46" s="300"/>
      <c r="V46" s="301"/>
      <c r="W46" s="334" t="str">
        <f t="shared" si="4"/>
        <v/>
      </c>
      <c r="X46" s="302"/>
    </row>
    <row r="47" spans="1:28" ht="13.5" hidden="1" thickBot="1" x14ac:dyDescent="0.25">
      <c r="A47" s="296"/>
      <c r="B47" s="297"/>
      <c r="C47" s="298"/>
      <c r="D47" s="299"/>
      <c r="E47" s="300"/>
      <c r="F47" s="301"/>
      <c r="G47" s="298"/>
      <c r="H47" s="299"/>
      <c r="I47" s="300"/>
      <c r="J47" s="301"/>
      <c r="K47" s="298"/>
      <c r="L47" s="299"/>
      <c r="M47" s="300"/>
      <c r="N47" s="301"/>
      <c r="O47" s="298"/>
      <c r="P47" s="299"/>
      <c r="Q47" s="300"/>
      <c r="R47" s="301"/>
      <c r="S47" s="298"/>
      <c r="T47" s="299"/>
      <c r="U47" s="300"/>
      <c r="V47" s="301"/>
      <c r="W47" s="334" t="str">
        <f t="shared" si="4"/>
        <v/>
      </c>
      <c r="X47" s="302"/>
    </row>
    <row r="48" spans="1:28" ht="13.5" hidden="1" thickBot="1" x14ac:dyDescent="0.25">
      <c r="A48" s="105"/>
      <c r="B48" s="304"/>
      <c r="C48" s="102"/>
      <c r="D48" s="99"/>
      <c r="E48" s="103"/>
      <c r="F48" s="104"/>
      <c r="G48" s="102"/>
      <c r="H48" s="99"/>
      <c r="I48" s="103"/>
      <c r="J48" s="104"/>
      <c r="K48" s="102"/>
      <c r="L48" s="99"/>
      <c r="M48" s="103"/>
      <c r="N48" s="104"/>
      <c r="O48" s="102"/>
      <c r="P48" s="99"/>
      <c r="Q48" s="103"/>
      <c r="R48" s="104"/>
      <c r="S48" s="102"/>
      <c r="T48" s="99"/>
      <c r="U48" s="103"/>
      <c r="V48" s="104"/>
      <c r="W48" s="334" t="str">
        <f t="shared" si="4"/>
        <v/>
      </c>
      <c r="X48" s="86"/>
    </row>
    <row r="49" spans="1:24" ht="13.5" hidden="1" thickBot="1" x14ac:dyDescent="0.25">
      <c r="A49" s="105"/>
      <c r="B49" s="175"/>
      <c r="C49" s="102"/>
      <c r="D49" s="99"/>
      <c r="E49" s="103"/>
      <c r="F49" s="104"/>
      <c r="G49" s="102"/>
      <c r="H49" s="99"/>
      <c r="I49" s="103"/>
      <c r="J49" s="104"/>
      <c r="K49" s="102"/>
      <c r="L49" s="99"/>
      <c r="M49" s="103"/>
      <c r="N49" s="104"/>
      <c r="O49" s="102"/>
      <c r="P49" s="99"/>
      <c r="Q49" s="103"/>
      <c r="R49" s="104"/>
      <c r="S49" s="102"/>
      <c r="T49" s="99"/>
      <c r="U49" s="103"/>
      <c r="V49" s="104"/>
      <c r="W49" s="334" t="str">
        <f t="shared" si="4"/>
        <v/>
      </c>
      <c r="X49" s="86"/>
    </row>
    <row r="50" spans="1:24" ht="13.5" hidden="1" thickBot="1" x14ac:dyDescent="0.25">
      <c r="A50" s="305"/>
      <c r="B50" s="124"/>
      <c r="C50" s="102"/>
      <c r="D50" s="99"/>
      <c r="E50" s="103"/>
      <c r="F50" s="104"/>
      <c r="G50" s="102"/>
      <c r="H50" s="99"/>
      <c r="I50" s="103"/>
      <c r="J50" s="104"/>
      <c r="K50" s="102"/>
      <c r="L50" s="99"/>
      <c r="M50" s="103"/>
      <c r="N50" s="104"/>
      <c r="O50" s="102"/>
      <c r="P50" s="99"/>
      <c r="Q50" s="103"/>
      <c r="R50" s="104"/>
      <c r="S50" s="102"/>
      <c r="T50" s="99"/>
      <c r="U50" s="103"/>
      <c r="V50" s="104"/>
      <c r="W50" s="334" t="str">
        <f t="shared" si="4"/>
        <v/>
      </c>
      <c r="X50" s="86"/>
    </row>
    <row r="51" spans="1:24" ht="13.5" hidden="1" thickBot="1" x14ac:dyDescent="0.25">
      <c r="A51" s="305"/>
      <c r="B51" s="124"/>
      <c r="C51" s="102"/>
      <c r="D51" s="99"/>
      <c r="E51" s="103"/>
      <c r="F51" s="104"/>
      <c r="G51" s="102"/>
      <c r="H51" s="99"/>
      <c r="I51" s="103"/>
      <c r="J51" s="104"/>
      <c r="K51" s="102"/>
      <c r="L51" s="99"/>
      <c r="M51" s="103"/>
      <c r="N51" s="104"/>
      <c r="O51" s="102"/>
      <c r="P51" s="99"/>
      <c r="Q51" s="103"/>
      <c r="R51" s="104"/>
      <c r="S51" s="102"/>
      <c r="T51" s="99"/>
      <c r="U51" s="103"/>
      <c r="V51" s="104"/>
      <c r="W51" s="334" t="str">
        <f t="shared" si="4"/>
        <v/>
      </c>
      <c r="X51" s="86"/>
    </row>
    <row r="52" spans="1:24" ht="13.5" hidden="1" thickBot="1" x14ac:dyDescent="0.25">
      <c r="A52" s="296"/>
      <c r="B52" s="297"/>
      <c r="C52" s="298"/>
      <c r="D52" s="299"/>
      <c r="E52" s="300"/>
      <c r="F52" s="301"/>
      <c r="G52" s="298"/>
      <c r="H52" s="299"/>
      <c r="I52" s="300"/>
      <c r="J52" s="301"/>
      <c r="K52" s="298"/>
      <c r="L52" s="299"/>
      <c r="M52" s="300"/>
      <c r="N52" s="301"/>
      <c r="O52" s="298"/>
      <c r="P52" s="299"/>
      <c r="Q52" s="300"/>
      <c r="R52" s="301"/>
      <c r="S52" s="298"/>
      <c r="T52" s="299"/>
      <c r="U52" s="300"/>
      <c r="V52" s="301"/>
      <c r="W52" s="334" t="str">
        <f t="shared" si="4"/>
        <v/>
      </c>
      <c r="X52" s="302"/>
    </row>
    <row r="53" spans="1:24" ht="13.5" hidden="1" thickBot="1" x14ac:dyDescent="0.25">
      <c r="A53" s="296"/>
      <c r="B53" s="297"/>
      <c r="C53" s="298"/>
      <c r="D53" s="299"/>
      <c r="E53" s="300"/>
      <c r="F53" s="301"/>
      <c r="G53" s="298"/>
      <c r="H53" s="299"/>
      <c r="I53" s="300"/>
      <c r="J53" s="301"/>
      <c r="K53" s="298"/>
      <c r="L53" s="299"/>
      <c r="M53" s="300"/>
      <c r="N53" s="301"/>
      <c r="O53" s="298"/>
      <c r="P53" s="299"/>
      <c r="Q53" s="300"/>
      <c r="R53" s="301"/>
      <c r="S53" s="298"/>
      <c r="T53" s="299"/>
      <c r="U53" s="300"/>
      <c r="V53" s="301"/>
      <c r="W53" s="334" t="str">
        <f t="shared" si="4"/>
        <v/>
      </c>
      <c r="X53" s="302"/>
    </row>
    <row r="54" spans="1:24" ht="13.5" hidden="1" thickBot="1" x14ac:dyDescent="0.25">
      <c r="A54" s="296"/>
      <c r="B54" s="303"/>
      <c r="C54" s="298"/>
      <c r="D54" s="299"/>
      <c r="E54" s="300"/>
      <c r="F54" s="301"/>
      <c r="G54" s="298"/>
      <c r="H54" s="299"/>
      <c r="I54" s="300"/>
      <c r="J54" s="301"/>
      <c r="K54" s="298"/>
      <c r="L54" s="299"/>
      <c r="M54" s="300"/>
      <c r="N54" s="301"/>
      <c r="O54" s="298"/>
      <c r="P54" s="299"/>
      <c r="Q54" s="300"/>
      <c r="R54" s="301"/>
      <c r="S54" s="298"/>
      <c r="T54" s="299"/>
      <c r="U54" s="300"/>
      <c r="V54" s="301"/>
      <c r="W54" s="334" t="str">
        <f t="shared" si="4"/>
        <v/>
      </c>
      <c r="X54" s="302"/>
    </row>
    <row r="55" spans="1:24" ht="13.5" hidden="1" thickBot="1" x14ac:dyDescent="0.25">
      <c r="A55" s="296"/>
      <c r="B55" s="297"/>
      <c r="C55" s="298"/>
      <c r="D55" s="299"/>
      <c r="E55" s="300"/>
      <c r="F55" s="301"/>
      <c r="G55" s="298"/>
      <c r="H55" s="299"/>
      <c r="I55" s="300"/>
      <c r="J55" s="301"/>
      <c r="K55" s="298"/>
      <c r="L55" s="299"/>
      <c r="M55" s="300"/>
      <c r="N55" s="301"/>
      <c r="O55" s="298"/>
      <c r="P55" s="299"/>
      <c r="Q55" s="300"/>
      <c r="R55" s="301"/>
      <c r="S55" s="298"/>
      <c r="T55" s="299"/>
      <c r="U55" s="300"/>
      <c r="V55" s="301"/>
      <c r="W55" s="334" t="str">
        <f t="shared" si="4"/>
        <v/>
      </c>
      <c r="X55" s="302"/>
    </row>
    <row r="56" spans="1:24" ht="13.5" hidden="1" thickBot="1" x14ac:dyDescent="0.25">
      <c r="A56" s="105"/>
      <c r="B56" s="304"/>
      <c r="C56" s="102"/>
      <c r="D56" s="99"/>
      <c r="E56" s="103"/>
      <c r="F56" s="104"/>
      <c r="G56" s="102"/>
      <c r="H56" s="99"/>
      <c r="I56" s="103"/>
      <c r="J56" s="104"/>
      <c r="K56" s="102"/>
      <c r="L56" s="99"/>
      <c r="M56" s="103"/>
      <c r="N56" s="104"/>
      <c r="O56" s="102"/>
      <c r="P56" s="99"/>
      <c r="Q56" s="103"/>
      <c r="R56" s="104"/>
      <c r="S56" s="102"/>
      <c r="T56" s="99"/>
      <c r="U56" s="103"/>
      <c r="V56" s="104"/>
      <c r="W56" s="334" t="str">
        <f t="shared" si="4"/>
        <v/>
      </c>
      <c r="X56" s="86"/>
    </row>
    <row r="57" spans="1:24" ht="13.5" hidden="1" thickBot="1" x14ac:dyDescent="0.25">
      <c r="A57" s="105"/>
      <c r="B57" s="175"/>
      <c r="C57" s="102"/>
      <c r="D57" s="99"/>
      <c r="E57" s="103"/>
      <c r="F57" s="104"/>
      <c r="G57" s="102"/>
      <c r="H57" s="99"/>
      <c r="I57" s="103"/>
      <c r="J57" s="104"/>
      <c r="K57" s="102"/>
      <c r="L57" s="99"/>
      <c r="M57" s="103"/>
      <c r="N57" s="104"/>
      <c r="O57" s="102"/>
      <c r="P57" s="99"/>
      <c r="Q57" s="103"/>
      <c r="R57" s="104"/>
      <c r="S57" s="102"/>
      <c r="T57" s="99"/>
      <c r="U57" s="103"/>
      <c r="V57" s="104"/>
      <c r="W57" s="334" t="str">
        <f t="shared" si="4"/>
        <v/>
      </c>
      <c r="X57" s="86"/>
    </row>
    <row r="58" spans="1:24" ht="13.5" hidden="1" thickBot="1" x14ac:dyDescent="0.25">
      <c r="A58" s="305"/>
      <c r="B58" s="124"/>
      <c r="C58" s="102"/>
      <c r="D58" s="99"/>
      <c r="E58" s="103"/>
      <c r="F58" s="104"/>
      <c r="G58" s="102"/>
      <c r="H58" s="99"/>
      <c r="I58" s="103"/>
      <c r="J58" s="104"/>
      <c r="K58" s="102"/>
      <c r="L58" s="99"/>
      <c r="M58" s="103"/>
      <c r="N58" s="104"/>
      <c r="O58" s="102"/>
      <c r="P58" s="99"/>
      <c r="Q58" s="103"/>
      <c r="R58" s="104"/>
      <c r="S58" s="102"/>
      <c r="T58" s="99"/>
      <c r="U58" s="103"/>
      <c r="V58" s="104"/>
      <c r="W58" s="334" t="str">
        <f t="shared" si="4"/>
        <v/>
      </c>
      <c r="X58" s="86"/>
    </row>
    <row r="59" spans="1:24" ht="13.5" hidden="1" thickBot="1" x14ac:dyDescent="0.25">
      <c r="A59" s="305"/>
      <c r="B59" s="124"/>
      <c r="C59" s="102"/>
      <c r="D59" s="99"/>
      <c r="E59" s="103"/>
      <c r="F59" s="104"/>
      <c r="G59" s="102"/>
      <c r="H59" s="99"/>
      <c r="I59" s="103"/>
      <c r="J59" s="104"/>
      <c r="K59" s="102"/>
      <c r="L59" s="99"/>
      <c r="M59" s="103"/>
      <c r="N59" s="104"/>
      <c r="O59" s="102"/>
      <c r="P59" s="99"/>
      <c r="Q59" s="103"/>
      <c r="R59" s="104"/>
      <c r="S59" s="102"/>
      <c r="T59" s="99"/>
      <c r="U59" s="103"/>
      <c r="V59" s="104"/>
      <c r="W59" s="334" t="str">
        <f t="shared" si="4"/>
        <v/>
      </c>
      <c r="X59" s="86"/>
    </row>
    <row r="60" spans="1:24" ht="13.5" hidden="1" thickBot="1" x14ac:dyDescent="0.25">
      <c r="A60" s="296"/>
      <c r="B60" s="303"/>
      <c r="C60" s="298"/>
      <c r="D60" s="299"/>
      <c r="E60" s="300"/>
      <c r="F60" s="301"/>
      <c r="G60" s="298"/>
      <c r="H60" s="299"/>
      <c r="I60" s="300"/>
      <c r="J60" s="301"/>
      <c r="K60" s="298"/>
      <c r="L60" s="299"/>
      <c r="M60" s="300"/>
      <c r="N60" s="301"/>
      <c r="O60" s="298"/>
      <c r="P60" s="299"/>
      <c r="Q60" s="300"/>
      <c r="R60" s="301"/>
      <c r="S60" s="298"/>
      <c r="T60" s="299"/>
      <c r="U60" s="300"/>
      <c r="V60" s="301"/>
      <c r="W60" s="334" t="str">
        <f t="shared" si="4"/>
        <v/>
      </c>
      <c r="X60" s="302"/>
    </row>
    <row r="61" spans="1:24" ht="13.5" hidden="1" thickBot="1" x14ac:dyDescent="0.25">
      <c r="A61" s="296"/>
      <c r="B61" s="303"/>
      <c r="C61" s="298"/>
      <c r="D61" s="299"/>
      <c r="E61" s="300"/>
      <c r="F61" s="301"/>
      <c r="G61" s="298"/>
      <c r="H61" s="299"/>
      <c r="I61" s="300"/>
      <c r="J61" s="301"/>
      <c r="K61" s="298"/>
      <c r="L61" s="299"/>
      <c r="M61" s="300"/>
      <c r="N61" s="301"/>
      <c r="O61" s="298"/>
      <c r="P61" s="299"/>
      <c r="Q61" s="300"/>
      <c r="R61" s="301"/>
      <c r="S61" s="298"/>
      <c r="T61" s="299"/>
      <c r="U61" s="300"/>
      <c r="V61" s="301"/>
      <c r="W61" s="334" t="str">
        <f t="shared" si="4"/>
        <v/>
      </c>
      <c r="X61" s="302"/>
    </row>
    <row r="62" spans="1:24" ht="13.5" hidden="1" thickBot="1" x14ac:dyDescent="0.25">
      <c r="A62" s="296"/>
      <c r="B62" s="297"/>
      <c r="C62" s="298"/>
      <c r="D62" s="299"/>
      <c r="E62" s="300"/>
      <c r="F62" s="301"/>
      <c r="G62" s="298"/>
      <c r="H62" s="299"/>
      <c r="I62" s="300"/>
      <c r="J62" s="301"/>
      <c r="K62" s="298"/>
      <c r="L62" s="299"/>
      <c r="M62" s="300"/>
      <c r="N62" s="301"/>
      <c r="O62" s="298"/>
      <c r="P62" s="299"/>
      <c r="Q62" s="300"/>
      <c r="R62" s="301"/>
      <c r="S62" s="298"/>
      <c r="T62" s="299"/>
      <c r="U62" s="300"/>
      <c r="V62" s="301"/>
      <c r="W62" s="334" t="str">
        <f t="shared" si="4"/>
        <v/>
      </c>
      <c r="X62" s="302"/>
    </row>
    <row r="63" spans="1:24" ht="13.5" hidden="1" thickBot="1" x14ac:dyDescent="0.25">
      <c r="A63" s="296"/>
      <c r="B63" s="306"/>
      <c r="C63" s="298"/>
      <c r="D63" s="299"/>
      <c r="E63" s="300"/>
      <c r="F63" s="301"/>
      <c r="G63" s="298"/>
      <c r="H63" s="299"/>
      <c r="I63" s="300"/>
      <c r="J63" s="301"/>
      <c r="K63" s="298"/>
      <c r="L63" s="299"/>
      <c r="M63" s="300"/>
      <c r="N63" s="301"/>
      <c r="O63" s="298"/>
      <c r="P63" s="299"/>
      <c r="Q63" s="300"/>
      <c r="R63" s="301"/>
      <c r="S63" s="298"/>
      <c r="T63" s="299"/>
      <c r="U63" s="300"/>
      <c r="V63" s="301"/>
      <c r="W63" s="334" t="str">
        <f t="shared" si="4"/>
        <v/>
      </c>
      <c r="X63" s="302"/>
    </row>
    <row r="64" spans="1:24" ht="13.5" hidden="1" thickBot="1" x14ac:dyDescent="0.25">
      <c r="A64" s="105"/>
      <c r="B64" s="304"/>
      <c r="C64" s="102"/>
      <c r="D64" s="99"/>
      <c r="E64" s="103"/>
      <c r="F64" s="104"/>
      <c r="G64" s="102"/>
      <c r="H64" s="99"/>
      <c r="I64" s="103"/>
      <c r="J64" s="104"/>
      <c r="K64" s="102"/>
      <c r="L64" s="99"/>
      <c r="M64" s="103"/>
      <c r="N64" s="104"/>
      <c r="O64" s="102"/>
      <c r="P64" s="99"/>
      <c r="Q64" s="103"/>
      <c r="R64" s="104"/>
      <c r="S64" s="102"/>
      <c r="T64" s="99"/>
      <c r="U64" s="103"/>
      <c r="V64" s="104"/>
      <c r="W64" s="334" t="str">
        <f t="shared" si="4"/>
        <v/>
      </c>
      <c r="X64" s="86"/>
    </row>
    <row r="65" spans="1:28" ht="13.5" hidden="1" thickBot="1" x14ac:dyDescent="0.25">
      <c r="A65" s="105"/>
      <c r="B65" s="175"/>
      <c r="C65" s="102"/>
      <c r="D65" s="99"/>
      <c r="E65" s="103"/>
      <c r="F65" s="104"/>
      <c r="G65" s="102"/>
      <c r="H65" s="99"/>
      <c r="I65" s="103"/>
      <c r="J65" s="104"/>
      <c r="K65" s="102"/>
      <c r="L65" s="99"/>
      <c r="M65" s="103"/>
      <c r="N65" s="104"/>
      <c r="O65" s="102"/>
      <c r="P65" s="99"/>
      <c r="Q65" s="103"/>
      <c r="R65" s="104"/>
      <c r="S65" s="102"/>
      <c r="T65" s="99"/>
      <c r="U65" s="103"/>
      <c r="V65" s="104"/>
      <c r="W65" s="334" t="str">
        <f t="shared" si="4"/>
        <v/>
      </c>
      <c r="X65" s="86"/>
    </row>
    <row r="66" spans="1:28" ht="13.5" hidden="1" thickBot="1" x14ac:dyDescent="0.25">
      <c r="A66" s="305"/>
      <c r="B66" s="124"/>
      <c r="C66" s="102"/>
      <c r="D66" s="99"/>
      <c r="E66" s="103"/>
      <c r="F66" s="104"/>
      <c r="G66" s="102"/>
      <c r="H66" s="99"/>
      <c r="I66" s="103"/>
      <c r="J66" s="104"/>
      <c r="K66" s="102"/>
      <c r="L66" s="99"/>
      <c r="M66" s="103"/>
      <c r="N66" s="104"/>
      <c r="O66" s="102"/>
      <c r="P66" s="99"/>
      <c r="Q66" s="103"/>
      <c r="R66" s="104"/>
      <c r="S66" s="102"/>
      <c r="T66" s="99"/>
      <c r="U66" s="103"/>
      <c r="V66" s="104"/>
      <c r="W66" s="334" t="str">
        <f t="shared" si="4"/>
        <v/>
      </c>
      <c r="X66" s="86"/>
    </row>
    <row r="67" spans="1:28" ht="13.5" hidden="1" thickBot="1" x14ac:dyDescent="0.25">
      <c r="A67" s="307"/>
      <c r="B67" s="308"/>
      <c r="C67" s="309"/>
      <c r="D67" s="118"/>
      <c r="E67" s="310"/>
      <c r="F67" s="311"/>
      <c r="G67" s="309"/>
      <c r="H67" s="118"/>
      <c r="I67" s="310"/>
      <c r="J67" s="311"/>
      <c r="K67" s="309"/>
      <c r="L67" s="118"/>
      <c r="M67" s="310"/>
      <c r="N67" s="311"/>
      <c r="O67" s="309"/>
      <c r="P67" s="118"/>
      <c r="Q67" s="310"/>
      <c r="R67" s="311"/>
      <c r="S67" s="309"/>
      <c r="T67" s="118"/>
      <c r="U67" s="310"/>
      <c r="V67" s="311"/>
      <c r="W67" s="341" t="str">
        <f t="shared" si="4"/>
        <v/>
      </c>
      <c r="X67" s="95"/>
      <c r="Y67" s="90"/>
    </row>
    <row r="68" spans="1:28" x14ac:dyDescent="0.2">
      <c r="A68" s="312" t="s">
        <v>567</v>
      </c>
      <c r="B68" s="295" t="s">
        <v>217</v>
      </c>
      <c r="C68" s="164"/>
      <c r="D68" s="165"/>
      <c r="E68" s="165"/>
      <c r="F68" s="166"/>
      <c r="G68" s="164"/>
      <c r="H68" s="165"/>
      <c r="I68" s="165"/>
      <c r="J68" s="166"/>
      <c r="K68" s="164"/>
      <c r="L68" s="165"/>
      <c r="M68" s="165"/>
      <c r="N68" s="166"/>
      <c r="O68" s="164"/>
      <c r="P68" s="165"/>
      <c r="Q68" s="165"/>
      <c r="R68" s="166"/>
      <c r="S68" s="164"/>
      <c r="T68" s="165"/>
      <c r="U68" s="165"/>
      <c r="V68" s="166"/>
      <c r="W68" s="400"/>
      <c r="X68" s="167"/>
      <c r="Y68" s="313" t="s">
        <v>564</v>
      </c>
      <c r="Z68" s="84"/>
      <c r="AA68" s="85" t="s">
        <v>212</v>
      </c>
      <c r="AB68" s="85" t="s">
        <v>213</v>
      </c>
    </row>
    <row r="69" spans="1:28" x14ac:dyDescent="0.2">
      <c r="A69" s="306">
        <v>1</v>
      </c>
      <c r="B69" s="330"/>
      <c r="C69" s="331"/>
      <c r="D69" s="332"/>
      <c r="E69" s="332"/>
      <c r="F69" s="333"/>
      <c r="G69" s="331"/>
      <c r="H69" s="332"/>
      <c r="I69" s="332"/>
      <c r="J69" s="333"/>
      <c r="K69" s="331"/>
      <c r="L69" s="332"/>
      <c r="M69" s="332"/>
      <c r="N69" s="333"/>
      <c r="O69" s="331"/>
      <c r="P69" s="332"/>
      <c r="Q69" s="332"/>
      <c r="R69" s="333"/>
      <c r="S69" s="331"/>
      <c r="T69" s="332"/>
      <c r="U69" s="332"/>
      <c r="V69" s="333"/>
      <c r="W69" s="334">
        <f>SUM(C69:V69)+COUNTIF(C69:V69,5)/100+COUNTIF(C69:V69,3)/10000</f>
        <v>0</v>
      </c>
      <c r="X69" s="302" t="str">
        <f t="shared" ref="X69:X76" si="5">IF(RANK(Y69,$Y$69:$Y$76)&lt;5,"edasi "&amp;RANK(Y69,$Y$69:$Y$76)+4,RANK(Y69,$Y$69:$Y$76)+4)</f>
        <v>edasi 5</v>
      </c>
      <c r="Y69" s="302">
        <f t="shared" ref="Y69:Y76" si="6">W69+IFERROR(INDEX(W$9:W$34,MATCH(B69,B$9:B$34,0)),0)</f>
        <v>0</v>
      </c>
      <c r="Z69" s="87">
        <f>IF(COUNTA(C69:V69)=0,100,W69+IF(RANK(W69,$W$103:$W$104)=1,100,0))</f>
        <v>100</v>
      </c>
      <c r="AA69" s="85">
        <f>MIN(W69:W70)</f>
        <v>0</v>
      </c>
      <c r="AB69" s="85">
        <f>MAX(W69:W70)</f>
        <v>0</v>
      </c>
    </row>
    <row r="70" spans="1:28" x14ac:dyDescent="0.2">
      <c r="A70" s="306">
        <v>2</v>
      </c>
      <c r="B70" s="401"/>
      <c r="C70" s="331"/>
      <c r="D70" s="332"/>
      <c r="E70" s="332"/>
      <c r="F70" s="333"/>
      <c r="G70" s="331"/>
      <c r="H70" s="332"/>
      <c r="I70" s="332"/>
      <c r="J70" s="333"/>
      <c r="K70" s="331"/>
      <c r="L70" s="332"/>
      <c r="M70" s="332"/>
      <c r="N70" s="333"/>
      <c r="O70" s="331"/>
      <c r="P70" s="332"/>
      <c r="Q70" s="332"/>
      <c r="R70" s="333"/>
      <c r="S70" s="331"/>
      <c r="T70" s="332"/>
      <c r="U70" s="332"/>
      <c r="V70" s="333"/>
      <c r="W70" s="334">
        <f t="shared" ref="W70:W76" si="7">SUM(C70:V70)+COUNTIF(C70:V70,5)/100+COUNTIF(C70:V70,3)/10000</f>
        <v>0</v>
      </c>
      <c r="X70" s="302" t="str">
        <f t="shared" si="5"/>
        <v>edasi 5</v>
      </c>
      <c r="Y70" s="381">
        <f t="shared" si="6"/>
        <v>0</v>
      </c>
      <c r="Z70" s="87"/>
      <c r="AA70" s="85"/>
      <c r="AB70" s="85"/>
    </row>
    <row r="71" spans="1:28" x14ac:dyDescent="0.2">
      <c r="A71" s="108">
        <v>3</v>
      </c>
      <c r="B71" s="339"/>
      <c r="C71" s="80"/>
      <c r="D71" s="81"/>
      <c r="E71" s="81"/>
      <c r="F71" s="82"/>
      <c r="G71" s="80"/>
      <c r="H71" s="81"/>
      <c r="I71" s="81"/>
      <c r="J71" s="82"/>
      <c r="K71" s="80"/>
      <c r="L71" s="81"/>
      <c r="M71" s="81"/>
      <c r="N71" s="82"/>
      <c r="O71" s="80"/>
      <c r="P71" s="81"/>
      <c r="Q71" s="81"/>
      <c r="R71" s="82"/>
      <c r="S71" s="80"/>
      <c r="T71" s="81"/>
      <c r="U71" s="81"/>
      <c r="V71" s="82"/>
      <c r="W71" s="334">
        <f t="shared" ref="W71:W74" si="8">SUM(C71:V71)+COUNTIF(C71:V71,5)/100+COUNTIF(C71:V71,3)/10000</f>
        <v>0</v>
      </c>
      <c r="X71" s="86" t="str">
        <f t="shared" si="5"/>
        <v>edasi 5</v>
      </c>
      <c r="Y71" s="381">
        <f t="shared" si="6"/>
        <v>0</v>
      </c>
      <c r="Z71" s="87">
        <f>IF(COUNTA(C71:V71)=0,100,W71+IF(RANK(W71,$W$105:$W$106)=1,100,0))</f>
        <v>100</v>
      </c>
      <c r="AA71" s="85">
        <f>MIN(W71:W72)</f>
        <v>0</v>
      </c>
      <c r="AB71" s="85">
        <f>MAX(W71:W72)</f>
        <v>0</v>
      </c>
    </row>
    <row r="72" spans="1:28" x14ac:dyDescent="0.2">
      <c r="A72" s="108">
        <v>4</v>
      </c>
      <c r="B72" s="122"/>
      <c r="C72" s="80"/>
      <c r="D72" s="81"/>
      <c r="E72" s="81"/>
      <c r="F72" s="82"/>
      <c r="G72" s="80"/>
      <c r="H72" s="81"/>
      <c r="I72" s="81"/>
      <c r="J72" s="82"/>
      <c r="K72" s="80"/>
      <c r="L72" s="81"/>
      <c r="M72" s="81"/>
      <c r="N72" s="82"/>
      <c r="O72" s="80"/>
      <c r="P72" s="81"/>
      <c r="Q72" s="81"/>
      <c r="R72" s="82"/>
      <c r="S72" s="80"/>
      <c r="T72" s="81"/>
      <c r="U72" s="81"/>
      <c r="V72" s="82"/>
      <c r="W72" s="334">
        <f t="shared" si="8"/>
        <v>0</v>
      </c>
      <c r="X72" s="86" t="str">
        <f t="shared" si="5"/>
        <v>edasi 5</v>
      </c>
      <c r="Y72" s="302">
        <f t="shared" si="6"/>
        <v>0</v>
      </c>
      <c r="Z72" s="88">
        <f>IF(COUNTA(C72:V72)=0,0,W72+IF(RANK(W72,$W$105:$W$106)=1,100,0))</f>
        <v>0</v>
      </c>
      <c r="AA72" s="85"/>
      <c r="AB72" s="85"/>
    </row>
    <row r="73" spans="1:28" x14ac:dyDescent="0.2">
      <c r="A73" s="306">
        <v>5</v>
      </c>
      <c r="B73" s="338"/>
      <c r="C73" s="331"/>
      <c r="D73" s="332"/>
      <c r="E73" s="332"/>
      <c r="F73" s="333"/>
      <c r="G73" s="331"/>
      <c r="H73" s="332"/>
      <c r="I73" s="332"/>
      <c r="J73" s="333"/>
      <c r="K73" s="331"/>
      <c r="L73" s="332"/>
      <c r="M73" s="332"/>
      <c r="N73" s="333"/>
      <c r="O73" s="331"/>
      <c r="P73" s="332"/>
      <c r="Q73" s="332"/>
      <c r="R73" s="333"/>
      <c r="S73" s="331"/>
      <c r="T73" s="332"/>
      <c r="U73" s="332"/>
      <c r="V73" s="333"/>
      <c r="W73" s="334">
        <f t="shared" si="8"/>
        <v>0</v>
      </c>
      <c r="X73" s="302" t="str">
        <f t="shared" si="5"/>
        <v>edasi 5</v>
      </c>
      <c r="Y73" s="302">
        <f t="shared" si="6"/>
        <v>0</v>
      </c>
      <c r="Z73" s="87">
        <f>IF(COUNTA(C73:V73)=0,100,W73+IF(RANK(W73,$W$107:$W$108)=1,100,0))</f>
        <v>100</v>
      </c>
      <c r="AA73" s="85">
        <f>MIN(W73:W74)</f>
        <v>0</v>
      </c>
      <c r="AB73" s="85">
        <f>MAX(W73:W74)</f>
        <v>0</v>
      </c>
    </row>
    <row r="74" spans="1:28" x14ac:dyDescent="0.2">
      <c r="A74" s="306">
        <v>6</v>
      </c>
      <c r="B74" s="413"/>
      <c r="C74" s="331"/>
      <c r="D74" s="332"/>
      <c r="E74" s="332"/>
      <c r="F74" s="333"/>
      <c r="G74" s="331"/>
      <c r="H74" s="332"/>
      <c r="I74" s="332"/>
      <c r="J74" s="333"/>
      <c r="K74" s="331"/>
      <c r="L74" s="332"/>
      <c r="M74" s="332"/>
      <c r="N74" s="333"/>
      <c r="O74" s="331"/>
      <c r="P74" s="332"/>
      <c r="Q74" s="332"/>
      <c r="R74" s="333"/>
      <c r="S74" s="331"/>
      <c r="T74" s="332"/>
      <c r="U74" s="332"/>
      <c r="V74" s="333"/>
      <c r="W74" s="334">
        <f t="shared" si="8"/>
        <v>0</v>
      </c>
      <c r="X74" s="302" t="str">
        <f t="shared" si="5"/>
        <v>edasi 5</v>
      </c>
      <c r="Y74" s="381">
        <f t="shared" si="6"/>
        <v>0</v>
      </c>
      <c r="Z74" s="88">
        <f>IF(COUNTA(C74:V74)=0,0,W74+IF(RANK(W74,$W$107:$W$108)=1,100,0))</f>
        <v>0</v>
      </c>
      <c r="AA74" s="85"/>
      <c r="AB74" s="85"/>
    </row>
    <row r="75" spans="1:28" x14ac:dyDescent="0.2">
      <c r="A75" s="108">
        <v>7</v>
      </c>
      <c r="B75" s="119"/>
      <c r="C75" s="80"/>
      <c r="D75" s="81"/>
      <c r="E75" s="81"/>
      <c r="F75" s="82"/>
      <c r="G75" s="80"/>
      <c r="H75" s="81"/>
      <c r="I75" s="81"/>
      <c r="J75" s="82"/>
      <c r="K75" s="80"/>
      <c r="L75" s="81"/>
      <c r="M75" s="81"/>
      <c r="N75" s="82"/>
      <c r="O75" s="80"/>
      <c r="P75" s="81"/>
      <c r="Q75" s="81"/>
      <c r="R75" s="82"/>
      <c r="S75" s="80"/>
      <c r="T75" s="81"/>
      <c r="U75" s="81"/>
      <c r="V75" s="82"/>
      <c r="W75" s="334">
        <f t="shared" si="7"/>
        <v>0</v>
      </c>
      <c r="X75" s="86" t="str">
        <f t="shared" si="5"/>
        <v>edasi 5</v>
      </c>
      <c r="Y75" s="302">
        <f t="shared" si="6"/>
        <v>0</v>
      </c>
      <c r="Z75" s="87">
        <f>IF(COUNTA(C75:V75)=0,100,W75+IF(RANK(W75,$W$105:$W$106)=1,100,0))</f>
        <v>100</v>
      </c>
      <c r="AA75" s="85">
        <f>MIN(W75:W76)</f>
        <v>0</v>
      </c>
      <c r="AB75" s="85">
        <f>MAX(W75:W76)</f>
        <v>0</v>
      </c>
    </row>
    <row r="76" spans="1:28" ht="13.5" thickBot="1" x14ac:dyDescent="0.25">
      <c r="A76" s="108">
        <v>8</v>
      </c>
      <c r="B76" s="388"/>
      <c r="C76" s="80"/>
      <c r="D76" s="81"/>
      <c r="E76" s="81"/>
      <c r="F76" s="82"/>
      <c r="G76" s="80"/>
      <c r="H76" s="81"/>
      <c r="I76" s="81"/>
      <c r="J76" s="82"/>
      <c r="K76" s="80"/>
      <c r="L76" s="81"/>
      <c r="M76" s="81"/>
      <c r="N76" s="82"/>
      <c r="O76" s="80"/>
      <c r="P76" s="81"/>
      <c r="Q76" s="81"/>
      <c r="R76" s="82"/>
      <c r="S76" s="80"/>
      <c r="T76" s="81"/>
      <c r="U76" s="81"/>
      <c r="V76" s="82"/>
      <c r="W76" s="334">
        <f t="shared" si="7"/>
        <v>0</v>
      </c>
      <c r="X76" s="86" t="str">
        <f t="shared" si="5"/>
        <v>edasi 5</v>
      </c>
      <c r="Y76" s="411">
        <f t="shared" si="6"/>
        <v>0</v>
      </c>
      <c r="Z76" s="88">
        <f>IF(COUNTA(C76:V76)=0,0,W76+IF(RANK(W76,$W$105:$W$106)=1,100,0))</f>
        <v>0</v>
      </c>
      <c r="AA76" s="85"/>
      <c r="AB76" s="85"/>
    </row>
    <row r="77" spans="1:28" ht="13.5" hidden="1" thickBot="1" x14ac:dyDescent="0.25">
      <c r="A77" s="294"/>
      <c r="B77" s="295" t="s">
        <v>568</v>
      </c>
      <c r="C77" s="80"/>
      <c r="D77" s="81"/>
      <c r="E77" s="81"/>
      <c r="F77" s="82"/>
      <c r="G77" s="80"/>
      <c r="H77" s="81"/>
      <c r="I77" s="81"/>
      <c r="J77" s="82"/>
      <c r="K77" s="80"/>
      <c r="L77" s="81"/>
      <c r="M77" s="81"/>
      <c r="N77" s="82"/>
      <c r="O77" s="80"/>
      <c r="P77" s="81"/>
      <c r="Q77" s="81"/>
      <c r="R77" s="82"/>
      <c r="S77" s="80"/>
      <c r="T77" s="81"/>
      <c r="U77" s="81"/>
      <c r="V77" s="82"/>
      <c r="W77" s="400"/>
      <c r="X77" s="167"/>
      <c r="Z77" s="84"/>
      <c r="AA77" s="85" t="s">
        <v>212</v>
      </c>
      <c r="AB77" s="85" t="s">
        <v>213</v>
      </c>
    </row>
    <row r="78" spans="1:28" ht="13.5" hidden="1" thickBot="1" x14ac:dyDescent="0.25">
      <c r="A78" s="296"/>
      <c r="B78" s="297"/>
      <c r="C78" s="298"/>
      <c r="D78" s="299"/>
      <c r="E78" s="300"/>
      <c r="F78" s="301"/>
      <c r="G78" s="298"/>
      <c r="H78" s="299"/>
      <c r="I78" s="300"/>
      <c r="J78" s="301"/>
      <c r="K78" s="298"/>
      <c r="L78" s="299"/>
      <c r="M78" s="300"/>
      <c r="N78" s="301"/>
      <c r="O78" s="298"/>
      <c r="P78" s="299"/>
      <c r="Q78" s="300"/>
      <c r="R78" s="301"/>
      <c r="S78" s="298"/>
      <c r="T78" s="299"/>
      <c r="U78" s="300"/>
      <c r="V78" s="301"/>
      <c r="W78" s="334" t="str">
        <f t="shared" ref="W78:W97" si="9">IF(COUNTA(C78:V78)=0,"",SUM(C78:V78)+COUNTIF(C78:V78,5)/100+COUNTIF(C78:V78,3)/10000)</f>
        <v/>
      </c>
      <c r="X78" s="302"/>
    </row>
    <row r="79" spans="1:28" ht="13.5" hidden="1" thickBot="1" x14ac:dyDescent="0.25">
      <c r="A79" s="296"/>
      <c r="B79" s="297"/>
      <c r="C79" s="298"/>
      <c r="D79" s="299"/>
      <c r="E79" s="300"/>
      <c r="F79" s="301"/>
      <c r="G79" s="298"/>
      <c r="H79" s="299"/>
      <c r="I79" s="300"/>
      <c r="J79" s="301"/>
      <c r="K79" s="298"/>
      <c r="L79" s="299"/>
      <c r="M79" s="300"/>
      <c r="N79" s="301"/>
      <c r="O79" s="298"/>
      <c r="P79" s="299"/>
      <c r="Q79" s="300"/>
      <c r="R79" s="301"/>
      <c r="S79" s="298"/>
      <c r="T79" s="299"/>
      <c r="U79" s="300"/>
      <c r="V79" s="301"/>
      <c r="W79" s="334" t="str">
        <f t="shared" si="9"/>
        <v/>
      </c>
      <c r="X79" s="302"/>
    </row>
    <row r="80" spans="1:28" ht="13.5" hidden="1" thickBot="1" x14ac:dyDescent="0.25">
      <c r="A80" s="296"/>
      <c r="B80" s="303"/>
      <c r="C80" s="298"/>
      <c r="D80" s="299"/>
      <c r="E80" s="300"/>
      <c r="F80" s="301"/>
      <c r="G80" s="298"/>
      <c r="H80" s="299"/>
      <c r="I80" s="300"/>
      <c r="J80" s="301"/>
      <c r="K80" s="298"/>
      <c r="L80" s="299"/>
      <c r="M80" s="300"/>
      <c r="N80" s="301"/>
      <c r="O80" s="298"/>
      <c r="P80" s="299"/>
      <c r="Q80" s="300"/>
      <c r="R80" s="301"/>
      <c r="S80" s="298"/>
      <c r="T80" s="299"/>
      <c r="U80" s="300"/>
      <c r="V80" s="301"/>
      <c r="W80" s="334" t="str">
        <f t="shared" si="9"/>
        <v/>
      </c>
      <c r="X80" s="302"/>
    </row>
    <row r="81" spans="1:24" ht="13.5" hidden="1" thickBot="1" x14ac:dyDescent="0.25">
      <c r="A81" s="296"/>
      <c r="B81" s="297"/>
      <c r="C81" s="298"/>
      <c r="D81" s="299"/>
      <c r="E81" s="300"/>
      <c r="F81" s="301"/>
      <c r="G81" s="298"/>
      <c r="H81" s="299"/>
      <c r="I81" s="300"/>
      <c r="J81" s="301"/>
      <c r="K81" s="298"/>
      <c r="L81" s="299"/>
      <c r="M81" s="300"/>
      <c r="N81" s="301"/>
      <c r="O81" s="298"/>
      <c r="P81" s="299"/>
      <c r="Q81" s="300"/>
      <c r="R81" s="301"/>
      <c r="S81" s="298"/>
      <c r="T81" s="299"/>
      <c r="U81" s="300"/>
      <c r="V81" s="301"/>
      <c r="W81" s="334" t="str">
        <f t="shared" si="9"/>
        <v/>
      </c>
      <c r="X81" s="302"/>
    </row>
    <row r="82" spans="1:24" ht="13.5" hidden="1" thickBot="1" x14ac:dyDescent="0.25">
      <c r="A82" s="105"/>
      <c r="B82" s="304"/>
      <c r="C82" s="102"/>
      <c r="D82" s="99"/>
      <c r="E82" s="103"/>
      <c r="F82" s="104"/>
      <c r="G82" s="102"/>
      <c r="H82" s="99"/>
      <c r="I82" s="103"/>
      <c r="J82" s="104"/>
      <c r="K82" s="102"/>
      <c r="L82" s="99"/>
      <c r="M82" s="103"/>
      <c r="N82" s="104"/>
      <c r="O82" s="102"/>
      <c r="P82" s="99"/>
      <c r="Q82" s="103"/>
      <c r="R82" s="104"/>
      <c r="S82" s="102"/>
      <c r="T82" s="99"/>
      <c r="U82" s="103"/>
      <c r="V82" s="104"/>
      <c r="W82" s="334" t="str">
        <f t="shared" si="9"/>
        <v/>
      </c>
      <c r="X82" s="86"/>
    </row>
    <row r="83" spans="1:24" ht="13.5" hidden="1" thickBot="1" x14ac:dyDescent="0.25">
      <c r="A83" s="105"/>
      <c r="B83" s="175"/>
      <c r="C83" s="102"/>
      <c r="D83" s="99"/>
      <c r="E83" s="103"/>
      <c r="F83" s="104"/>
      <c r="G83" s="102"/>
      <c r="H83" s="99"/>
      <c r="I83" s="103"/>
      <c r="J83" s="104"/>
      <c r="K83" s="102"/>
      <c r="L83" s="99"/>
      <c r="M83" s="103"/>
      <c r="N83" s="104"/>
      <c r="O83" s="102"/>
      <c r="P83" s="99"/>
      <c r="Q83" s="103"/>
      <c r="R83" s="104"/>
      <c r="S83" s="102"/>
      <c r="T83" s="99"/>
      <c r="U83" s="103"/>
      <c r="V83" s="104"/>
      <c r="W83" s="334" t="str">
        <f t="shared" si="9"/>
        <v/>
      </c>
      <c r="X83" s="86"/>
    </row>
    <row r="84" spans="1:24" ht="13.5" hidden="1" thickBot="1" x14ac:dyDescent="0.25">
      <c r="A84" s="305"/>
      <c r="B84" s="124"/>
      <c r="C84" s="102"/>
      <c r="D84" s="99"/>
      <c r="E84" s="103"/>
      <c r="F84" s="104"/>
      <c r="G84" s="102"/>
      <c r="H84" s="99"/>
      <c r="I84" s="103"/>
      <c r="J84" s="104"/>
      <c r="K84" s="102"/>
      <c r="L84" s="99"/>
      <c r="M84" s="103"/>
      <c r="N84" s="104"/>
      <c r="O84" s="102"/>
      <c r="P84" s="99"/>
      <c r="Q84" s="103"/>
      <c r="R84" s="104"/>
      <c r="S84" s="102"/>
      <c r="T84" s="99"/>
      <c r="U84" s="103"/>
      <c r="V84" s="104"/>
      <c r="W84" s="334" t="str">
        <f t="shared" si="9"/>
        <v/>
      </c>
      <c r="X84" s="86"/>
    </row>
    <row r="85" spans="1:24" ht="13.5" hidden="1" thickBot="1" x14ac:dyDescent="0.25">
      <c r="A85" s="305"/>
      <c r="B85" s="124"/>
      <c r="C85" s="102"/>
      <c r="D85" s="99"/>
      <c r="E85" s="103"/>
      <c r="F85" s="104"/>
      <c r="G85" s="102"/>
      <c r="H85" s="99"/>
      <c r="I85" s="103"/>
      <c r="J85" s="104"/>
      <c r="K85" s="102"/>
      <c r="L85" s="99"/>
      <c r="M85" s="103"/>
      <c r="N85" s="104"/>
      <c r="O85" s="102"/>
      <c r="P85" s="99"/>
      <c r="Q85" s="103"/>
      <c r="R85" s="104"/>
      <c r="S85" s="102"/>
      <c r="T85" s="99"/>
      <c r="U85" s="103"/>
      <c r="V85" s="104"/>
      <c r="W85" s="334" t="str">
        <f t="shared" si="9"/>
        <v/>
      </c>
      <c r="X85" s="86"/>
    </row>
    <row r="86" spans="1:24" ht="13.5" hidden="1" thickBot="1" x14ac:dyDescent="0.25">
      <c r="A86" s="296"/>
      <c r="B86" s="297"/>
      <c r="C86" s="298"/>
      <c r="D86" s="299"/>
      <c r="E86" s="300"/>
      <c r="F86" s="301"/>
      <c r="G86" s="298"/>
      <c r="H86" s="299"/>
      <c r="I86" s="300"/>
      <c r="J86" s="301"/>
      <c r="K86" s="298"/>
      <c r="L86" s="299"/>
      <c r="M86" s="300"/>
      <c r="N86" s="301"/>
      <c r="O86" s="298"/>
      <c r="P86" s="299"/>
      <c r="Q86" s="300"/>
      <c r="R86" s="301"/>
      <c r="S86" s="298"/>
      <c r="T86" s="299"/>
      <c r="U86" s="300"/>
      <c r="V86" s="301"/>
      <c r="W86" s="334" t="str">
        <f t="shared" si="9"/>
        <v/>
      </c>
      <c r="X86" s="302"/>
    </row>
    <row r="87" spans="1:24" ht="13.5" hidden="1" thickBot="1" x14ac:dyDescent="0.25">
      <c r="A87" s="296"/>
      <c r="B87" s="297"/>
      <c r="C87" s="298"/>
      <c r="D87" s="299"/>
      <c r="E87" s="300"/>
      <c r="F87" s="301"/>
      <c r="G87" s="298"/>
      <c r="H87" s="299"/>
      <c r="I87" s="300"/>
      <c r="J87" s="301"/>
      <c r="K87" s="298"/>
      <c r="L87" s="299"/>
      <c r="M87" s="300"/>
      <c r="N87" s="301"/>
      <c r="O87" s="298"/>
      <c r="P87" s="299"/>
      <c r="Q87" s="300"/>
      <c r="R87" s="301"/>
      <c r="S87" s="298"/>
      <c r="T87" s="299"/>
      <c r="U87" s="300"/>
      <c r="V87" s="301"/>
      <c r="W87" s="334" t="str">
        <f t="shared" si="9"/>
        <v/>
      </c>
      <c r="X87" s="302"/>
    </row>
    <row r="88" spans="1:24" ht="13.5" hidden="1" thickBot="1" x14ac:dyDescent="0.25">
      <c r="A88" s="296"/>
      <c r="B88" s="303"/>
      <c r="C88" s="298"/>
      <c r="D88" s="299"/>
      <c r="E88" s="300"/>
      <c r="F88" s="301"/>
      <c r="G88" s="298"/>
      <c r="H88" s="299"/>
      <c r="I88" s="300"/>
      <c r="J88" s="301"/>
      <c r="K88" s="298"/>
      <c r="L88" s="299"/>
      <c r="M88" s="300"/>
      <c r="N88" s="301"/>
      <c r="O88" s="298"/>
      <c r="P88" s="299"/>
      <c r="Q88" s="300"/>
      <c r="R88" s="301"/>
      <c r="S88" s="298"/>
      <c r="T88" s="299"/>
      <c r="U88" s="300"/>
      <c r="V88" s="301"/>
      <c r="W88" s="334" t="str">
        <f t="shared" si="9"/>
        <v/>
      </c>
      <c r="X88" s="302"/>
    </row>
    <row r="89" spans="1:24" ht="13.5" hidden="1" thickBot="1" x14ac:dyDescent="0.25">
      <c r="A89" s="296"/>
      <c r="B89" s="297"/>
      <c r="C89" s="298"/>
      <c r="D89" s="299"/>
      <c r="E89" s="300"/>
      <c r="F89" s="301"/>
      <c r="G89" s="298"/>
      <c r="H89" s="299"/>
      <c r="I89" s="300"/>
      <c r="J89" s="301"/>
      <c r="K89" s="298"/>
      <c r="L89" s="299"/>
      <c r="M89" s="300"/>
      <c r="N89" s="301"/>
      <c r="O89" s="298"/>
      <c r="P89" s="299"/>
      <c r="Q89" s="300"/>
      <c r="R89" s="301"/>
      <c r="S89" s="298"/>
      <c r="T89" s="299"/>
      <c r="U89" s="300"/>
      <c r="V89" s="301"/>
      <c r="W89" s="334" t="str">
        <f t="shared" si="9"/>
        <v/>
      </c>
      <c r="X89" s="302"/>
    </row>
    <row r="90" spans="1:24" ht="13.5" hidden="1" thickBot="1" x14ac:dyDescent="0.25">
      <c r="A90" s="105"/>
      <c r="B90" s="304"/>
      <c r="C90" s="102"/>
      <c r="D90" s="99"/>
      <c r="E90" s="103"/>
      <c r="F90" s="104"/>
      <c r="G90" s="102"/>
      <c r="H90" s="99"/>
      <c r="I90" s="103"/>
      <c r="J90" s="104"/>
      <c r="K90" s="102"/>
      <c r="L90" s="99"/>
      <c r="M90" s="103"/>
      <c r="N90" s="104"/>
      <c r="O90" s="102"/>
      <c r="P90" s="99"/>
      <c r="Q90" s="103"/>
      <c r="R90" s="104"/>
      <c r="S90" s="102"/>
      <c r="T90" s="99"/>
      <c r="U90" s="103"/>
      <c r="V90" s="104"/>
      <c r="W90" s="334" t="str">
        <f t="shared" si="9"/>
        <v/>
      </c>
      <c r="X90" s="86"/>
    </row>
    <row r="91" spans="1:24" ht="13.5" hidden="1" thickBot="1" x14ac:dyDescent="0.25">
      <c r="A91" s="105"/>
      <c r="B91" s="175"/>
      <c r="C91" s="102"/>
      <c r="D91" s="99"/>
      <c r="E91" s="103"/>
      <c r="F91" s="104"/>
      <c r="G91" s="102"/>
      <c r="H91" s="99"/>
      <c r="I91" s="103"/>
      <c r="J91" s="104"/>
      <c r="K91" s="102"/>
      <c r="L91" s="99"/>
      <c r="M91" s="103"/>
      <c r="N91" s="104"/>
      <c r="O91" s="102"/>
      <c r="P91" s="99"/>
      <c r="Q91" s="103"/>
      <c r="R91" s="104"/>
      <c r="S91" s="102"/>
      <c r="T91" s="99"/>
      <c r="U91" s="103"/>
      <c r="V91" s="104"/>
      <c r="W91" s="334" t="str">
        <f t="shared" si="9"/>
        <v/>
      </c>
      <c r="X91" s="86"/>
    </row>
    <row r="92" spans="1:24" ht="13.5" hidden="1" thickBot="1" x14ac:dyDescent="0.25">
      <c r="A92" s="305"/>
      <c r="B92" s="124"/>
      <c r="C92" s="102"/>
      <c r="D92" s="99"/>
      <c r="E92" s="103"/>
      <c r="F92" s="104"/>
      <c r="G92" s="102"/>
      <c r="H92" s="99"/>
      <c r="I92" s="103"/>
      <c r="J92" s="104"/>
      <c r="K92" s="102"/>
      <c r="L92" s="99"/>
      <c r="M92" s="103"/>
      <c r="N92" s="104"/>
      <c r="O92" s="102"/>
      <c r="P92" s="99"/>
      <c r="Q92" s="103"/>
      <c r="R92" s="104"/>
      <c r="S92" s="102"/>
      <c r="T92" s="99"/>
      <c r="U92" s="103"/>
      <c r="V92" s="104"/>
      <c r="W92" s="334" t="str">
        <f t="shared" si="9"/>
        <v/>
      </c>
      <c r="X92" s="86"/>
    </row>
    <row r="93" spans="1:24" ht="13.5" hidden="1" thickBot="1" x14ac:dyDescent="0.25">
      <c r="A93" s="305"/>
      <c r="B93" s="124"/>
      <c r="C93" s="102"/>
      <c r="D93" s="99"/>
      <c r="E93" s="103"/>
      <c r="F93" s="104"/>
      <c r="G93" s="102"/>
      <c r="H93" s="99"/>
      <c r="I93" s="103"/>
      <c r="J93" s="104"/>
      <c r="K93" s="102"/>
      <c r="L93" s="99"/>
      <c r="M93" s="103"/>
      <c r="N93" s="104"/>
      <c r="O93" s="102"/>
      <c r="P93" s="99"/>
      <c r="Q93" s="103"/>
      <c r="R93" s="104"/>
      <c r="S93" s="102"/>
      <c r="T93" s="99"/>
      <c r="U93" s="103"/>
      <c r="V93" s="104"/>
      <c r="W93" s="334" t="str">
        <f t="shared" si="9"/>
        <v/>
      </c>
      <c r="X93" s="86"/>
    </row>
    <row r="94" spans="1:24" ht="13.5" hidden="1" thickBot="1" x14ac:dyDescent="0.25">
      <c r="A94" s="296"/>
      <c r="B94" s="303"/>
      <c r="C94" s="298"/>
      <c r="D94" s="299"/>
      <c r="E94" s="300"/>
      <c r="F94" s="301"/>
      <c r="G94" s="298"/>
      <c r="H94" s="299"/>
      <c r="I94" s="300"/>
      <c r="J94" s="301"/>
      <c r="K94" s="298"/>
      <c r="L94" s="299"/>
      <c r="M94" s="300"/>
      <c r="N94" s="301"/>
      <c r="O94" s="298"/>
      <c r="P94" s="299"/>
      <c r="Q94" s="300"/>
      <c r="R94" s="301"/>
      <c r="S94" s="298"/>
      <c r="T94" s="299"/>
      <c r="U94" s="300"/>
      <c r="V94" s="301"/>
      <c r="W94" s="334" t="str">
        <f t="shared" si="9"/>
        <v/>
      </c>
      <c r="X94" s="302"/>
    </row>
    <row r="95" spans="1:24" ht="13.5" hidden="1" thickBot="1" x14ac:dyDescent="0.25">
      <c r="A95" s="296"/>
      <c r="B95" s="303"/>
      <c r="C95" s="298"/>
      <c r="D95" s="299"/>
      <c r="E95" s="300"/>
      <c r="F95" s="301"/>
      <c r="G95" s="298"/>
      <c r="H95" s="299"/>
      <c r="I95" s="300"/>
      <c r="J95" s="301"/>
      <c r="K95" s="298"/>
      <c r="L95" s="299"/>
      <c r="M95" s="300"/>
      <c r="N95" s="301"/>
      <c r="O95" s="298"/>
      <c r="P95" s="299"/>
      <c r="Q95" s="300"/>
      <c r="R95" s="301"/>
      <c r="S95" s="298"/>
      <c r="T95" s="299"/>
      <c r="U95" s="300"/>
      <c r="V95" s="301"/>
      <c r="W95" s="334" t="str">
        <f t="shared" si="9"/>
        <v/>
      </c>
      <c r="X95" s="302"/>
    </row>
    <row r="96" spans="1:24" ht="13.5" hidden="1" thickBot="1" x14ac:dyDescent="0.25">
      <c r="A96" s="296"/>
      <c r="B96" s="297"/>
      <c r="C96" s="298"/>
      <c r="D96" s="299"/>
      <c r="E96" s="300"/>
      <c r="F96" s="301"/>
      <c r="G96" s="298"/>
      <c r="H96" s="299"/>
      <c r="I96" s="300"/>
      <c r="J96" s="301"/>
      <c r="K96" s="298"/>
      <c r="L96" s="299"/>
      <c r="M96" s="300"/>
      <c r="N96" s="301"/>
      <c r="O96" s="298"/>
      <c r="P96" s="299"/>
      <c r="Q96" s="300"/>
      <c r="R96" s="301"/>
      <c r="S96" s="298"/>
      <c r="T96" s="299"/>
      <c r="U96" s="300"/>
      <c r="V96" s="301"/>
      <c r="W96" s="334" t="str">
        <f t="shared" si="9"/>
        <v/>
      </c>
      <c r="X96" s="302"/>
    </row>
    <row r="97" spans="1:28" ht="13.5" hidden="1" thickBot="1" x14ac:dyDescent="0.25">
      <c r="A97" s="296"/>
      <c r="B97" s="306"/>
      <c r="C97" s="298"/>
      <c r="D97" s="299"/>
      <c r="E97" s="300"/>
      <c r="F97" s="301"/>
      <c r="G97" s="298"/>
      <c r="H97" s="299"/>
      <c r="I97" s="300"/>
      <c r="J97" s="301"/>
      <c r="K97" s="298"/>
      <c r="L97" s="299"/>
      <c r="M97" s="300"/>
      <c r="N97" s="301"/>
      <c r="O97" s="298"/>
      <c r="P97" s="299"/>
      <c r="Q97" s="300"/>
      <c r="R97" s="301"/>
      <c r="S97" s="298"/>
      <c r="T97" s="299"/>
      <c r="U97" s="300"/>
      <c r="V97" s="301"/>
      <c r="W97" s="334" t="str">
        <f t="shared" si="9"/>
        <v/>
      </c>
      <c r="X97" s="302"/>
    </row>
    <row r="98" spans="1:28" ht="13.5" hidden="1" thickBot="1" x14ac:dyDescent="0.25">
      <c r="A98" s="105"/>
      <c r="B98" s="304"/>
      <c r="C98" s="102"/>
      <c r="D98" s="99"/>
      <c r="E98" s="103"/>
      <c r="F98" s="104"/>
      <c r="G98" s="102"/>
      <c r="H98" s="99"/>
      <c r="I98" s="103"/>
      <c r="J98" s="104"/>
      <c r="K98" s="102"/>
      <c r="L98" s="99"/>
      <c r="M98" s="103"/>
      <c r="N98" s="104"/>
      <c r="O98" s="102"/>
      <c r="P98" s="99"/>
      <c r="Q98" s="103"/>
      <c r="R98" s="104"/>
      <c r="S98" s="102"/>
      <c r="T98" s="99"/>
      <c r="U98" s="103"/>
      <c r="V98" s="104"/>
      <c r="W98" s="334" t="str">
        <f t="shared" ref="W98:W101" si="10">IF(COUNTA(C98:V98)=0,"",SUM(C98:V98)+COUNTIF(C98:V98,5)/100+COUNTIF(C98:V98,3)/10000)</f>
        <v/>
      </c>
      <c r="X98" s="86"/>
    </row>
    <row r="99" spans="1:28" ht="13.5" hidden="1" thickBot="1" x14ac:dyDescent="0.25">
      <c r="A99" s="105"/>
      <c r="B99" s="175"/>
      <c r="C99" s="102"/>
      <c r="D99" s="99"/>
      <c r="E99" s="103"/>
      <c r="F99" s="104"/>
      <c r="G99" s="102"/>
      <c r="H99" s="99"/>
      <c r="I99" s="103"/>
      <c r="J99" s="104"/>
      <c r="K99" s="102"/>
      <c r="L99" s="99"/>
      <c r="M99" s="103"/>
      <c r="N99" s="104"/>
      <c r="O99" s="102"/>
      <c r="P99" s="99"/>
      <c r="Q99" s="103"/>
      <c r="R99" s="104"/>
      <c r="S99" s="102"/>
      <c r="T99" s="99"/>
      <c r="U99" s="103"/>
      <c r="V99" s="104"/>
      <c r="W99" s="334" t="str">
        <f t="shared" si="10"/>
        <v/>
      </c>
      <c r="X99" s="86"/>
    </row>
    <row r="100" spans="1:28" ht="13.5" hidden="1" thickBot="1" x14ac:dyDescent="0.25">
      <c r="A100" s="305"/>
      <c r="B100" s="124"/>
      <c r="C100" s="102"/>
      <c r="D100" s="99"/>
      <c r="E100" s="103"/>
      <c r="F100" s="104"/>
      <c r="G100" s="102"/>
      <c r="H100" s="99"/>
      <c r="I100" s="103"/>
      <c r="J100" s="104"/>
      <c r="K100" s="102"/>
      <c r="L100" s="99"/>
      <c r="M100" s="103"/>
      <c r="N100" s="104"/>
      <c r="O100" s="102"/>
      <c r="P100" s="99"/>
      <c r="Q100" s="103"/>
      <c r="R100" s="104"/>
      <c r="S100" s="102"/>
      <c r="T100" s="99"/>
      <c r="U100" s="103"/>
      <c r="V100" s="104"/>
      <c r="W100" s="334" t="str">
        <f t="shared" si="10"/>
        <v/>
      </c>
      <c r="X100" s="86"/>
    </row>
    <row r="101" spans="1:28" ht="13.5" hidden="1" thickBot="1" x14ac:dyDescent="0.25">
      <c r="A101" s="307"/>
      <c r="B101" s="308"/>
      <c r="C101" s="309"/>
      <c r="D101" s="118"/>
      <c r="E101" s="310"/>
      <c r="F101" s="311"/>
      <c r="G101" s="309"/>
      <c r="H101" s="118"/>
      <c r="I101" s="310"/>
      <c r="J101" s="311"/>
      <c r="K101" s="309"/>
      <c r="L101" s="118"/>
      <c r="M101" s="310"/>
      <c r="N101" s="311"/>
      <c r="O101" s="309"/>
      <c r="P101" s="118"/>
      <c r="Q101" s="310"/>
      <c r="R101" s="311"/>
      <c r="S101" s="309"/>
      <c r="T101" s="118"/>
      <c r="U101" s="310"/>
      <c r="V101" s="311"/>
      <c r="W101" s="341" t="str">
        <f t="shared" si="10"/>
        <v/>
      </c>
      <c r="X101" s="95"/>
    </row>
    <row r="102" spans="1:28" x14ac:dyDescent="0.2">
      <c r="A102" s="294"/>
      <c r="B102" s="163" t="s">
        <v>211</v>
      </c>
      <c r="C102" s="164"/>
      <c r="D102" s="165"/>
      <c r="E102" s="165"/>
      <c r="F102" s="166"/>
      <c r="G102" s="164"/>
      <c r="H102" s="165"/>
      <c r="I102" s="165"/>
      <c r="J102" s="166"/>
      <c r="K102" s="164"/>
      <c r="L102" s="165"/>
      <c r="M102" s="165"/>
      <c r="N102" s="166"/>
      <c r="O102" s="164"/>
      <c r="P102" s="165"/>
      <c r="Q102" s="165"/>
      <c r="R102" s="166"/>
      <c r="S102" s="164"/>
      <c r="T102" s="165"/>
      <c r="U102" s="165"/>
      <c r="V102" s="166"/>
      <c r="W102" s="412" t="str">
        <f t="shared" si="3"/>
        <v/>
      </c>
      <c r="X102" s="167"/>
      <c r="Y102" s="271"/>
      <c r="Z102" s="84"/>
      <c r="AA102" s="85" t="s">
        <v>212</v>
      </c>
      <c r="AB102" s="85" t="s">
        <v>213</v>
      </c>
    </row>
    <row r="103" spans="1:28" x14ac:dyDescent="0.2">
      <c r="A103" s="306">
        <v>1</v>
      </c>
      <c r="B103" s="401"/>
      <c r="C103" s="331"/>
      <c r="D103" s="332"/>
      <c r="E103" s="332"/>
      <c r="F103" s="333"/>
      <c r="G103" s="331"/>
      <c r="H103" s="332"/>
      <c r="I103" s="332"/>
      <c r="J103" s="333"/>
      <c r="K103" s="331"/>
      <c r="L103" s="332"/>
      <c r="M103" s="332"/>
      <c r="N103" s="333"/>
      <c r="O103" s="331"/>
      <c r="P103" s="332"/>
      <c r="Q103" s="332"/>
      <c r="R103" s="333"/>
      <c r="S103" s="331"/>
      <c r="T103" s="332"/>
      <c r="U103" s="332"/>
      <c r="V103" s="333"/>
      <c r="W103" s="334" t="str">
        <f t="shared" si="3"/>
        <v/>
      </c>
      <c r="X103" s="335" t="str">
        <f>IF(ISBLANK(C103),"",IF(W103=W104,"edasi "&amp;RANK(W103,$AB$103:$AB$110),(IF(RANK(Z103,$Z$103:$Z$104)&lt;2,"edasi "&amp;RANK(W103,$AB$103:$AB$110),RANK(W103,$AA$103:$AA$110)+4))))</f>
        <v/>
      </c>
      <c r="Z103" s="87">
        <f>IF(COUNTA(C103:V103)=0,100,W103+IF(RANK(W103,$W$103:$W$104)=1,100,0))</f>
        <v>100</v>
      </c>
      <c r="AA103" s="85">
        <f>MIN(W103:W104)</f>
        <v>0</v>
      </c>
      <c r="AB103" s="85">
        <f>MAX(W103:W104)</f>
        <v>0</v>
      </c>
    </row>
    <row r="104" spans="1:28" x14ac:dyDescent="0.2">
      <c r="A104" s="306">
        <v>8</v>
      </c>
      <c r="B104" s="336"/>
      <c r="C104" s="331"/>
      <c r="D104" s="332"/>
      <c r="E104" s="332"/>
      <c r="F104" s="333"/>
      <c r="G104" s="331"/>
      <c r="H104" s="332"/>
      <c r="I104" s="332"/>
      <c r="J104" s="333"/>
      <c r="K104" s="331"/>
      <c r="L104" s="332"/>
      <c r="M104" s="332"/>
      <c r="N104" s="333"/>
      <c r="O104" s="331"/>
      <c r="P104" s="332"/>
      <c r="Q104" s="332"/>
      <c r="R104" s="333"/>
      <c r="S104" s="331"/>
      <c r="T104" s="332"/>
      <c r="U104" s="332"/>
      <c r="V104" s="333"/>
      <c r="W104" s="334" t="str">
        <f t="shared" si="3"/>
        <v/>
      </c>
      <c r="X104" s="335" t="str">
        <f>IF(ISBLANK(C104),"",IF(RANK(Z104,$Z$103:$Z$104)&lt;2,"edasi "&amp;RANK(W104,$AB$103:$AB$110),RANK(W104,$AA$103:$AA$110)+4))</f>
        <v/>
      </c>
      <c r="Z104" s="88">
        <f>IF(COUNTA(C104:V104)=0,0,W104+IF(RANK(W104,$W$103:$W$104)=1,100,0))</f>
        <v>0</v>
      </c>
      <c r="AA104" s="85"/>
      <c r="AB104" s="85"/>
    </row>
    <row r="105" spans="1:28" x14ac:dyDescent="0.2">
      <c r="A105" s="108">
        <v>4</v>
      </c>
      <c r="B105" s="119"/>
      <c r="C105" s="80"/>
      <c r="D105" s="81"/>
      <c r="E105" s="81"/>
      <c r="F105" s="82"/>
      <c r="G105" s="80"/>
      <c r="H105" s="81"/>
      <c r="I105" s="81"/>
      <c r="J105" s="82"/>
      <c r="K105" s="80"/>
      <c r="L105" s="81"/>
      <c r="M105" s="81"/>
      <c r="N105" s="82"/>
      <c r="O105" s="80"/>
      <c r="P105" s="81"/>
      <c r="Q105" s="81"/>
      <c r="R105" s="82"/>
      <c r="S105" s="80"/>
      <c r="T105" s="81"/>
      <c r="U105" s="81"/>
      <c r="V105" s="82"/>
      <c r="W105" s="334" t="str">
        <f t="shared" si="3"/>
        <v/>
      </c>
      <c r="X105" s="83" t="str">
        <f>IF(ISBLANK(C105),"",IF(RANK(Z105,$Z$105:$Z$106)&lt;2,"edasi "&amp;RANK(W105,$AB$103:$AB$110),RANK(W105,$AA$103:$AA$110)+4))</f>
        <v/>
      </c>
      <c r="Z105" s="87">
        <f>IF(COUNTA(C105:V105)=0,100,W105+IF(RANK(W105,$W$105:$W$106)=1,100,0))</f>
        <v>100</v>
      </c>
      <c r="AA105" s="85">
        <f>MIN(W105:W106)</f>
        <v>0</v>
      </c>
      <c r="AB105" s="85">
        <f>MAX(W105:W106)</f>
        <v>0</v>
      </c>
    </row>
    <row r="106" spans="1:28" x14ac:dyDescent="0.2">
      <c r="A106" s="108">
        <v>5</v>
      </c>
      <c r="B106" s="388"/>
      <c r="C106" s="80"/>
      <c r="D106" s="81"/>
      <c r="E106" s="81"/>
      <c r="F106" s="82"/>
      <c r="G106" s="80"/>
      <c r="H106" s="81"/>
      <c r="I106" s="81"/>
      <c r="J106" s="82"/>
      <c r="K106" s="80"/>
      <c r="L106" s="81"/>
      <c r="M106" s="81"/>
      <c r="N106" s="82"/>
      <c r="O106" s="80"/>
      <c r="P106" s="81"/>
      <c r="Q106" s="81"/>
      <c r="R106" s="82"/>
      <c r="S106" s="80"/>
      <c r="T106" s="81"/>
      <c r="U106" s="81"/>
      <c r="V106" s="82"/>
      <c r="W106" s="334" t="str">
        <f t="shared" si="3"/>
        <v/>
      </c>
      <c r="X106" s="83" t="str">
        <f>IF(ISBLANK(C106),"",IF(RANK(Z106,$Z$105:$Z$106)&lt;2,"edasi "&amp;RANK(W106,$AB$103:$AB$110),RANK(W106,$AA$103:$AA$110)+4))</f>
        <v/>
      </c>
      <c r="Z106" s="88">
        <f>IF(COUNTA(C106:V106)=0,0,W106+IF(RANK(W106,$W$105:$W$106)=1,100,0))</f>
        <v>0</v>
      </c>
      <c r="AA106" s="85"/>
      <c r="AB106" s="85"/>
    </row>
    <row r="107" spans="1:28" x14ac:dyDescent="0.2">
      <c r="A107" s="306">
        <v>3</v>
      </c>
      <c r="B107" s="413"/>
      <c r="C107" s="331"/>
      <c r="D107" s="332"/>
      <c r="E107" s="332"/>
      <c r="F107" s="333"/>
      <c r="G107" s="331"/>
      <c r="H107" s="332"/>
      <c r="I107" s="332"/>
      <c r="J107" s="333"/>
      <c r="K107" s="331"/>
      <c r="L107" s="332"/>
      <c r="M107" s="332"/>
      <c r="N107" s="333"/>
      <c r="O107" s="331"/>
      <c r="P107" s="332"/>
      <c r="Q107" s="332"/>
      <c r="R107" s="333"/>
      <c r="S107" s="331"/>
      <c r="T107" s="332"/>
      <c r="U107" s="332"/>
      <c r="V107" s="333"/>
      <c r="W107" s="334" t="str">
        <f t="shared" si="3"/>
        <v/>
      </c>
      <c r="X107" s="335" t="str">
        <f>IF(ISBLANK(C107),"",IF(RANK(Z107,$Z$107:$Z$108)&lt;2,"edasi "&amp;RANK(W107,$AB$103:$AB$110),RANK(W107,$AA$103:$AA$110)+4))</f>
        <v/>
      </c>
      <c r="Z107" s="87">
        <f>IF(COUNTA(C107:V107)=0,100,W107+IF(RANK(W107,$W$107:$W$108)=1,100,0))</f>
        <v>100</v>
      </c>
      <c r="AA107" s="85">
        <f>MIN(W107:W108)</f>
        <v>0</v>
      </c>
      <c r="AB107" s="85">
        <f>MAX(W107:W108)</f>
        <v>0</v>
      </c>
    </row>
    <row r="108" spans="1:28" x14ac:dyDescent="0.2">
      <c r="A108" s="306">
        <v>6</v>
      </c>
      <c r="B108" s="413"/>
      <c r="C108" s="331"/>
      <c r="D108" s="332"/>
      <c r="E108" s="332"/>
      <c r="F108" s="333"/>
      <c r="G108" s="331"/>
      <c r="H108" s="332"/>
      <c r="I108" s="332"/>
      <c r="J108" s="333"/>
      <c r="K108" s="331"/>
      <c r="L108" s="332"/>
      <c r="M108" s="332"/>
      <c r="N108" s="333"/>
      <c r="O108" s="331"/>
      <c r="P108" s="332"/>
      <c r="Q108" s="332"/>
      <c r="R108" s="333"/>
      <c r="S108" s="331"/>
      <c r="T108" s="332"/>
      <c r="U108" s="332"/>
      <c r="V108" s="333"/>
      <c r="W108" s="334" t="str">
        <f t="shared" si="3"/>
        <v/>
      </c>
      <c r="X108" s="335" t="str">
        <f>IF(ISBLANK(C108),"",IF(RANK(Z108,$Z$107:$Z$108)&lt;2,"edasi "&amp;RANK(W108,$AB$103:$AB$110),RANK(W108,$AA$103:$AA$110)+4))</f>
        <v/>
      </c>
      <c r="Z108" s="88">
        <f>IF(COUNTA(C108:V108)=0,0,W108+IF(RANK(W108,$W$107:$W$108)=1,100,0))</f>
        <v>0</v>
      </c>
      <c r="AA108" s="85"/>
      <c r="AB108" s="85"/>
    </row>
    <row r="109" spans="1:28" x14ac:dyDescent="0.2">
      <c r="A109" s="108">
        <v>2</v>
      </c>
      <c r="B109" s="339"/>
      <c r="C109" s="80"/>
      <c r="D109" s="81"/>
      <c r="E109" s="81"/>
      <c r="F109" s="82"/>
      <c r="G109" s="80"/>
      <c r="H109" s="81"/>
      <c r="I109" s="81"/>
      <c r="J109" s="82"/>
      <c r="K109" s="80"/>
      <c r="L109" s="81"/>
      <c r="M109" s="81"/>
      <c r="N109" s="82"/>
      <c r="O109" s="80"/>
      <c r="P109" s="81"/>
      <c r="Q109" s="81"/>
      <c r="R109" s="82"/>
      <c r="S109" s="80"/>
      <c r="T109" s="81"/>
      <c r="U109" s="81"/>
      <c r="V109" s="82"/>
      <c r="W109" s="334" t="str">
        <f t="shared" si="3"/>
        <v/>
      </c>
      <c r="X109" s="83" t="str">
        <f>IF(ISBLANK(C109),"",IF(RANK(Z109,$Z$109:$Z$110)&lt;2,"edasi "&amp;RANK(W109,$AB$103:$AB$110),RANK(W109,$AA$103:$AA$110)+4))</f>
        <v/>
      </c>
      <c r="Z109" s="87">
        <f>IF(COUNTA(C109:V109)=0,100,W109+IF(RANK(W109,$W$109:$W$110)=1,100,0))</f>
        <v>100</v>
      </c>
      <c r="AA109" s="85">
        <f>MIN(W109:W110)</f>
        <v>0</v>
      </c>
      <c r="AB109" s="85">
        <f>MAX(W109:W110)</f>
        <v>0</v>
      </c>
    </row>
    <row r="110" spans="1:28" ht="13.5" thickBot="1" x14ac:dyDescent="0.25">
      <c r="A110" s="112">
        <v>7</v>
      </c>
      <c r="B110" s="340"/>
      <c r="C110" s="92"/>
      <c r="D110" s="93"/>
      <c r="E110" s="93"/>
      <c r="F110" s="94"/>
      <c r="G110" s="92"/>
      <c r="H110" s="93"/>
      <c r="I110" s="93"/>
      <c r="J110" s="94"/>
      <c r="K110" s="92"/>
      <c r="L110" s="93"/>
      <c r="M110" s="93"/>
      <c r="N110" s="94"/>
      <c r="O110" s="92"/>
      <c r="P110" s="93"/>
      <c r="Q110" s="93"/>
      <c r="R110" s="94"/>
      <c r="S110" s="92"/>
      <c r="T110" s="93"/>
      <c r="U110" s="93"/>
      <c r="V110" s="94"/>
      <c r="W110" s="341" t="str">
        <f t="shared" si="3"/>
        <v/>
      </c>
      <c r="X110" s="342" t="str">
        <f>IF(ISBLANK(C110),"",IF(RANK(Z110,$Z$109:$Z$110)&lt;2,"edasi "&amp;RANK(W110,$AB$103:$AB$110),RANK(W110,$AA$103:$AA$110)+4))</f>
        <v/>
      </c>
      <c r="Z110" s="88">
        <f>IF(COUNTA(C110:V110)=0,0,W110+IF(RANK(W110,$W$109:$W$110)=1,100,0))</f>
        <v>0</v>
      </c>
      <c r="AA110" s="85"/>
      <c r="AB110" s="85"/>
    </row>
    <row r="111" spans="1:28" x14ac:dyDescent="0.2">
      <c r="A111" s="294"/>
      <c r="B111" s="163" t="s">
        <v>214</v>
      </c>
      <c r="C111" s="164"/>
      <c r="D111" s="165"/>
      <c r="E111" s="165"/>
      <c r="F111" s="166"/>
      <c r="G111" s="164"/>
      <c r="H111" s="165"/>
      <c r="I111" s="165"/>
      <c r="J111" s="166"/>
      <c r="K111" s="164"/>
      <c r="L111" s="165"/>
      <c r="M111" s="165"/>
      <c r="N111" s="166"/>
      <c r="O111" s="164"/>
      <c r="P111" s="165"/>
      <c r="Q111" s="165"/>
      <c r="R111" s="166"/>
      <c r="S111" s="164"/>
      <c r="T111" s="165"/>
      <c r="U111" s="165"/>
      <c r="V111" s="166"/>
      <c r="W111" s="412" t="str">
        <f t="shared" si="3"/>
        <v/>
      </c>
      <c r="X111" s="167"/>
    </row>
    <row r="112" spans="1:28" x14ac:dyDescent="0.2">
      <c r="A112" s="306">
        <v>1</v>
      </c>
      <c r="B112" s="413"/>
      <c r="C112" s="331"/>
      <c r="D112" s="332"/>
      <c r="E112" s="332"/>
      <c r="F112" s="333"/>
      <c r="G112" s="331"/>
      <c r="H112" s="332"/>
      <c r="I112" s="332"/>
      <c r="J112" s="333"/>
      <c r="K112" s="331"/>
      <c r="L112" s="332"/>
      <c r="M112" s="332"/>
      <c r="N112" s="333"/>
      <c r="O112" s="331"/>
      <c r="P112" s="332"/>
      <c r="Q112" s="332"/>
      <c r="R112" s="333"/>
      <c r="S112" s="331"/>
      <c r="T112" s="332"/>
      <c r="U112" s="332"/>
      <c r="V112" s="333"/>
      <c r="W112" s="334" t="str">
        <f t="shared" si="3"/>
        <v/>
      </c>
      <c r="X112" s="335" t="str">
        <f>IF(COUNTA(C112:V112)=0,"",IF(W112=W113,"ümbervisk",IF(W112&gt;W113,"finaali "&amp;(IF(W112&lt;MAX(W114:W115),2,IF(W112=MAX(W114:W115),"",1))),"pronksi "&amp;(IF(W112&lt;MIN(W114:W115),2,IF(W112=MIN(W114:W115),"",1))))))</f>
        <v/>
      </c>
    </row>
    <row r="113" spans="1:27" x14ac:dyDescent="0.2">
      <c r="A113" s="306">
        <v>4</v>
      </c>
      <c r="B113" s="336"/>
      <c r="C113" s="331"/>
      <c r="D113" s="332"/>
      <c r="E113" s="332"/>
      <c r="F113" s="333"/>
      <c r="G113" s="331"/>
      <c r="H113" s="332"/>
      <c r="I113" s="332"/>
      <c r="J113" s="333"/>
      <c r="K113" s="331"/>
      <c r="L113" s="332"/>
      <c r="M113" s="332"/>
      <c r="N113" s="333"/>
      <c r="O113" s="331"/>
      <c r="P113" s="332"/>
      <c r="Q113" s="332"/>
      <c r="R113" s="333"/>
      <c r="S113" s="331"/>
      <c r="T113" s="332"/>
      <c r="U113" s="332"/>
      <c r="V113" s="333"/>
      <c r="W113" s="334" t="str">
        <f t="shared" si="3"/>
        <v/>
      </c>
      <c r="X113" s="335" t="str">
        <f>IF(COUNTA(C113:V113)=0,"",IF(W112=W113,"ümbervisk",IF(W113&gt;W112,"finaali "&amp;(IF(W113&lt;MAX(W114:W115),2,IF(W113=MAX(W114:W115),"",1))),"pronksi "&amp;(IF(W113&lt;MIN(W114:W115),2,IF(W113=MIN(W114:W115),"",1))))))</f>
        <v/>
      </c>
    </row>
    <row r="114" spans="1:27" x14ac:dyDescent="0.2">
      <c r="A114" s="108">
        <v>2</v>
      </c>
      <c r="B114" s="339"/>
      <c r="C114" s="80"/>
      <c r="D114" s="81"/>
      <c r="E114" s="81"/>
      <c r="F114" s="82"/>
      <c r="G114" s="80"/>
      <c r="H114" s="81"/>
      <c r="I114" s="81"/>
      <c r="J114" s="82"/>
      <c r="K114" s="80"/>
      <c r="L114" s="81"/>
      <c r="M114" s="81"/>
      <c r="N114" s="82"/>
      <c r="O114" s="80"/>
      <c r="P114" s="81"/>
      <c r="Q114" s="81"/>
      <c r="R114" s="82"/>
      <c r="S114" s="80"/>
      <c r="T114" s="81"/>
      <c r="U114" s="81"/>
      <c r="V114" s="82"/>
      <c r="W114" s="334" t="str">
        <f t="shared" si="3"/>
        <v/>
      </c>
      <c r="X114" s="83" t="str">
        <f>IF(COUNTA(C114:V114)=0,"",IF(W114=W115,"ümbervisk",IF(W114&gt;W115,"finaali "&amp;(IF(W114&lt;MAX(W112:W113),2,IF(W114=MAX(W112:W113),"",1))),"pronksi "&amp;(IF(W114&lt;MIN(W112:W113),2,IF(W114=MIN(W112:W113),"",1))))))</f>
        <v/>
      </c>
    </row>
    <row r="115" spans="1:27" ht="13.5" thickBot="1" x14ac:dyDescent="0.25">
      <c r="A115" s="112">
        <v>3</v>
      </c>
      <c r="B115" s="340"/>
      <c r="C115" s="92"/>
      <c r="D115" s="93"/>
      <c r="E115" s="93"/>
      <c r="F115" s="94"/>
      <c r="G115" s="92"/>
      <c r="H115" s="93"/>
      <c r="I115" s="93"/>
      <c r="J115" s="94"/>
      <c r="K115" s="92"/>
      <c r="L115" s="93"/>
      <c r="M115" s="93"/>
      <c r="N115" s="94"/>
      <c r="O115" s="92"/>
      <c r="P115" s="93"/>
      <c r="Q115" s="93"/>
      <c r="R115" s="94"/>
      <c r="S115" s="92"/>
      <c r="T115" s="93"/>
      <c r="U115" s="93"/>
      <c r="V115" s="94"/>
      <c r="W115" s="341" t="str">
        <f t="shared" si="3"/>
        <v/>
      </c>
      <c r="X115" s="342" t="str">
        <f>IF(COUNTA(C115:V115)=0,"",IF(W114=W115,"ümbervisk",IF(W115&gt;W114,"finaali "&amp;(IF(W115&lt;MAX(W112:W113),2,IF(W115=MAX(W112:W113),"",1))),"pronksi "&amp;(IF(W115&lt;MIN(W112:W113),2,IF(W115=MIN(W112:W113),"",1))))))</f>
        <v/>
      </c>
    </row>
    <row r="116" spans="1:27" x14ac:dyDescent="0.2">
      <c r="A116" s="294"/>
      <c r="B116" s="347" t="s">
        <v>215</v>
      </c>
      <c r="C116" s="164"/>
      <c r="D116" s="165"/>
      <c r="E116" s="165"/>
      <c r="F116" s="166"/>
      <c r="G116" s="164"/>
      <c r="H116" s="165"/>
      <c r="I116" s="165"/>
      <c r="J116" s="166"/>
      <c r="K116" s="164"/>
      <c r="L116" s="165"/>
      <c r="M116" s="165"/>
      <c r="N116" s="166"/>
      <c r="O116" s="164"/>
      <c r="P116" s="165"/>
      <c r="Q116" s="165"/>
      <c r="R116" s="166"/>
      <c r="S116" s="164"/>
      <c r="T116" s="165"/>
      <c r="U116" s="165"/>
      <c r="V116" s="166"/>
      <c r="W116" s="412" t="str">
        <f t="shared" si="3"/>
        <v/>
      </c>
      <c r="X116" s="167"/>
    </row>
    <row r="117" spans="1:27" x14ac:dyDescent="0.2">
      <c r="A117" s="108"/>
      <c r="B117" s="121"/>
      <c r="C117" s="80"/>
      <c r="D117" s="81"/>
      <c r="E117" s="81"/>
      <c r="F117" s="82"/>
      <c r="G117" s="80"/>
      <c r="H117" s="81"/>
      <c r="I117" s="81"/>
      <c r="J117" s="82"/>
      <c r="K117" s="80"/>
      <c r="L117" s="81"/>
      <c r="M117" s="81"/>
      <c r="N117" s="82"/>
      <c r="O117" s="80"/>
      <c r="P117" s="81"/>
      <c r="Q117" s="81"/>
      <c r="R117" s="82"/>
      <c r="S117" s="80"/>
      <c r="T117" s="81"/>
      <c r="U117" s="81"/>
      <c r="V117" s="82"/>
      <c r="W117" s="334" t="str">
        <f t="shared" si="3"/>
        <v/>
      </c>
      <c r="X117" s="91">
        <f ca="1">IF( INDIRECT("RC[-1]",0)=MAX(( INDIRECT("R[-1]C[-1]",0)):( INDIRECT("R[1]C[-1]",0))),3,4)</f>
        <v>4</v>
      </c>
    </row>
    <row r="118" spans="1:27" ht="13.5" thickBot="1" x14ac:dyDescent="0.25">
      <c r="A118" s="112"/>
      <c r="B118" s="348"/>
      <c r="C118" s="92"/>
      <c r="D118" s="93"/>
      <c r="E118" s="93"/>
      <c r="F118" s="94"/>
      <c r="G118" s="92"/>
      <c r="H118" s="93"/>
      <c r="I118" s="93"/>
      <c r="J118" s="410"/>
      <c r="K118" s="92"/>
      <c r="L118" s="93"/>
      <c r="M118" s="93"/>
      <c r="N118" s="94"/>
      <c r="O118" s="92"/>
      <c r="P118" s="93"/>
      <c r="Q118" s="93"/>
      <c r="R118" s="94"/>
      <c r="S118" s="92"/>
      <c r="T118" s="93"/>
      <c r="U118" s="93"/>
      <c r="V118" s="94"/>
      <c r="W118" s="341" t="str">
        <f t="shared" si="3"/>
        <v/>
      </c>
      <c r="X118" s="96">
        <f ca="1">IF( INDIRECT("RC[-1]",0)=MAX(( INDIRECT("R[-1]C[-1]",0)):( INDIRECT("R[1]C[-1]",0))),3,4)</f>
        <v>4</v>
      </c>
    </row>
    <row r="119" spans="1:27" x14ac:dyDescent="0.2">
      <c r="A119" s="294"/>
      <c r="B119" s="347" t="s">
        <v>216</v>
      </c>
      <c r="C119" s="164"/>
      <c r="D119" s="165"/>
      <c r="E119" s="165"/>
      <c r="F119" s="166"/>
      <c r="G119" s="164"/>
      <c r="H119" s="165"/>
      <c r="I119" s="165"/>
      <c r="J119" s="166"/>
      <c r="K119" s="164"/>
      <c r="L119" s="165"/>
      <c r="M119" s="165"/>
      <c r="N119" s="166"/>
      <c r="O119" s="164"/>
      <c r="P119" s="165"/>
      <c r="Q119" s="165"/>
      <c r="R119" s="166"/>
      <c r="S119" s="164"/>
      <c r="T119" s="165"/>
      <c r="U119" s="165"/>
      <c r="V119" s="166"/>
      <c r="W119" s="412" t="str">
        <f t="shared" si="3"/>
        <v/>
      </c>
      <c r="X119" s="167"/>
    </row>
    <row r="120" spans="1:27" x14ac:dyDescent="0.2">
      <c r="A120" s="108"/>
      <c r="B120" s="119"/>
      <c r="C120" s="80"/>
      <c r="D120" s="81"/>
      <c r="E120" s="81"/>
      <c r="F120" s="82"/>
      <c r="G120" s="80"/>
      <c r="H120" s="81"/>
      <c r="I120" s="81"/>
      <c r="J120" s="82"/>
      <c r="K120" s="80"/>
      <c r="L120" s="81"/>
      <c r="M120" s="81"/>
      <c r="N120" s="82"/>
      <c r="O120" s="80"/>
      <c r="P120" s="81"/>
      <c r="Q120" s="81"/>
      <c r="R120" s="82"/>
      <c r="S120" s="80"/>
      <c r="T120" s="81"/>
      <c r="U120" s="81"/>
      <c r="V120" s="82"/>
      <c r="W120" s="334" t="str">
        <f t="shared" si="3"/>
        <v/>
      </c>
      <c r="X120" s="91">
        <f ca="1">IF( INDIRECT("RC[-1]",0)=MAX(( INDIRECT("R[-1]C[-1]",0)):( INDIRECT("R[1]C[-1]",0))),1,2)</f>
        <v>2</v>
      </c>
    </row>
    <row r="121" spans="1:27" ht="13.5" thickBot="1" x14ac:dyDescent="0.25">
      <c r="A121" s="112"/>
      <c r="B121" s="120"/>
      <c r="C121" s="92"/>
      <c r="D121" s="93"/>
      <c r="E121" s="93"/>
      <c r="F121" s="94"/>
      <c r="G121" s="92"/>
      <c r="H121" s="93"/>
      <c r="I121" s="93"/>
      <c r="J121" s="94"/>
      <c r="K121" s="92"/>
      <c r="L121" s="93"/>
      <c r="M121" s="93"/>
      <c r="N121" s="94"/>
      <c r="O121" s="92"/>
      <c r="P121" s="93"/>
      <c r="Q121" s="93"/>
      <c r="R121" s="94"/>
      <c r="S121" s="92"/>
      <c r="T121" s="93"/>
      <c r="U121" s="93"/>
      <c r="V121" s="94"/>
      <c r="W121" s="341" t="str">
        <f t="shared" si="3"/>
        <v/>
      </c>
      <c r="X121" s="96">
        <f ca="1">IF( INDIRECT("RC[-1]",0)=MAX(( INDIRECT("R[-1]C[-1]",0)):( INDIRECT("R[1]C[-1]",0))),1,2)</f>
        <v>2</v>
      </c>
    </row>
    <row r="122" spans="1:27" x14ac:dyDescent="0.2">
      <c r="A122" s="107"/>
      <c r="B122" s="107"/>
      <c r="C122" s="107"/>
      <c r="D122" s="107"/>
      <c r="E122" s="107"/>
      <c r="F122" s="107"/>
      <c r="G122" s="107"/>
      <c r="H122" s="107"/>
      <c r="I122" s="107"/>
      <c r="J122" s="107"/>
      <c r="K122" s="107"/>
      <c r="L122" s="107"/>
      <c r="M122" s="107"/>
      <c r="N122" s="107"/>
      <c r="O122" s="358"/>
      <c r="P122" s="107"/>
      <c r="Q122" s="107"/>
      <c r="R122" s="107"/>
      <c r="S122" s="107"/>
      <c r="T122" s="359"/>
      <c r="U122" s="107"/>
      <c r="V122" s="107"/>
      <c r="W122" s="107"/>
      <c r="X122" s="107"/>
      <c r="Y122" s="107"/>
    </row>
    <row r="123" spans="1:27" x14ac:dyDescent="0.2">
      <c r="A123" s="113">
        <v>1</v>
      </c>
      <c r="B123" s="127" t="str">
        <f t="shared" ref="B123:B132" ca="1" si="11">IF(IFERROR(INDEX($B$9:$B$121,MATCH($A123,$X$9:$X$121,0)),"")=0,"",IFERROR(INDEX($B$9:$B$121,MATCH($A123,$X$9:$X$121,0)),""))</f>
        <v/>
      </c>
      <c r="C123" s="107"/>
      <c r="D123" s="107"/>
      <c r="E123" s="360"/>
      <c r="F123" s="361">
        <v>11</v>
      </c>
      <c r="G123" s="174" t="str">
        <f t="shared" ref="G123:G131" ca="1" si="12">IF(IFERROR(INDEX($B$9:$B$121,MATCH($F123,$X$9:$X$121,0)),"")=0,"",IFERROR(INDEX($B$9:$B$121,MATCH($F123,$X$9:$X$121,0)),""))</f>
        <v/>
      </c>
      <c r="H123" s="175"/>
      <c r="I123" s="175"/>
      <c r="J123" s="175"/>
      <c r="K123" s="175"/>
      <c r="L123" s="175"/>
      <c r="M123" s="176"/>
      <c r="P123" s="432"/>
      <c r="Q123" s="433" t="s">
        <v>607</v>
      </c>
      <c r="R123" s="431" t="s">
        <v>161</v>
      </c>
      <c r="S123" s="175"/>
      <c r="T123" s="175"/>
      <c r="U123" s="414"/>
      <c r="V123" s="414"/>
      <c r="W123" s="434"/>
      <c r="X123" s="435"/>
      <c r="Z123" s="175"/>
      <c r="AA123" s="176"/>
    </row>
    <row r="124" spans="1:27" x14ac:dyDescent="0.2">
      <c r="A124" s="113">
        <v>2</v>
      </c>
      <c r="B124" s="114" t="str">
        <f t="shared" ca="1" si="11"/>
        <v/>
      </c>
      <c r="C124" s="107"/>
      <c r="D124" s="107"/>
      <c r="E124" s="360"/>
      <c r="F124" s="361">
        <v>12</v>
      </c>
      <c r="G124" s="174" t="str">
        <f t="shared" ca="1" si="12"/>
        <v/>
      </c>
      <c r="H124" s="175"/>
      <c r="I124" s="175"/>
      <c r="J124" s="175"/>
      <c r="K124" s="175"/>
      <c r="L124" s="175"/>
      <c r="M124" s="176"/>
      <c r="P124" s="360"/>
      <c r="Q124" s="361">
        <v>22</v>
      </c>
      <c r="R124" s="174" t="str">
        <f ca="1">IF(IFERROR(INDEX($B$9:$B$121,MATCH($Q124,$X$9:$X$121,0)),"")=0,"",IFERROR(INDEX($B$9:$B$121,MATCH($Q124,$X$9:$X$121,0)),""))</f>
        <v/>
      </c>
      <c r="S124" s="175"/>
      <c r="T124" s="175"/>
      <c r="U124" s="414"/>
      <c r="V124" s="414"/>
      <c r="W124" s="434"/>
      <c r="X124" s="435"/>
      <c r="Z124" s="175"/>
      <c r="AA124" s="176"/>
    </row>
    <row r="125" spans="1:27" x14ac:dyDescent="0.2">
      <c r="A125" s="113">
        <v>3</v>
      </c>
      <c r="B125" s="115" t="str">
        <f t="shared" ca="1" si="11"/>
        <v/>
      </c>
      <c r="C125" s="107"/>
      <c r="D125" s="107"/>
      <c r="E125" s="360"/>
      <c r="F125" s="361">
        <v>13</v>
      </c>
      <c r="G125" s="174" t="str">
        <f t="shared" ca="1" si="12"/>
        <v/>
      </c>
      <c r="H125" s="175"/>
      <c r="I125" s="175"/>
      <c r="J125" s="175"/>
      <c r="K125" s="175"/>
      <c r="L125" s="175"/>
      <c r="M125" s="176"/>
      <c r="P125" s="360"/>
      <c r="Q125" s="433" t="s">
        <v>608</v>
      </c>
      <c r="R125" s="431" t="s">
        <v>152</v>
      </c>
      <c r="S125" s="175"/>
      <c r="T125" s="175"/>
      <c r="U125" s="414"/>
      <c r="V125" s="414"/>
      <c r="W125" s="434"/>
      <c r="X125" s="435"/>
      <c r="Z125" s="175"/>
      <c r="AA125" s="176"/>
    </row>
    <row r="126" spans="1:27" x14ac:dyDescent="0.2">
      <c r="A126" s="113">
        <v>4</v>
      </c>
      <c r="B126" s="201" t="str">
        <f t="shared" ca="1" si="11"/>
        <v/>
      </c>
      <c r="C126" s="107"/>
      <c r="D126" s="107"/>
      <c r="E126" s="360"/>
      <c r="F126" s="361">
        <v>14</v>
      </c>
      <c r="G126" s="174" t="str">
        <f t="shared" ca="1" si="12"/>
        <v/>
      </c>
      <c r="H126" s="175"/>
      <c r="I126" s="175"/>
      <c r="J126" s="175"/>
      <c r="K126" s="175"/>
      <c r="L126" s="175"/>
      <c r="M126" s="176"/>
      <c r="P126" s="360"/>
      <c r="Q126" s="433" t="s">
        <v>608</v>
      </c>
      <c r="R126" s="431" t="s">
        <v>169</v>
      </c>
      <c r="S126" s="175"/>
      <c r="T126" s="175"/>
      <c r="U126" s="414"/>
      <c r="V126" s="414"/>
      <c r="W126" s="434"/>
      <c r="X126" s="435"/>
      <c r="Z126" s="175"/>
      <c r="AA126" s="176"/>
    </row>
    <row r="127" spans="1:27" x14ac:dyDescent="0.2">
      <c r="A127" s="113">
        <v>5</v>
      </c>
      <c r="B127" s="201" t="str">
        <f t="shared" ca="1" si="11"/>
        <v/>
      </c>
      <c r="C127" s="107"/>
      <c r="D127" s="107"/>
      <c r="E127" s="360"/>
      <c r="F127" s="361">
        <v>15</v>
      </c>
      <c r="G127" s="174" t="str">
        <f t="shared" ca="1" si="12"/>
        <v/>
      </c>
      <c r="H127" s="175"/>
      <c r="I127" s="175"/>
      <c r="J127" s="175"/>
      <c r="K127" s="175"/>
      <c r="L127" s="175"/>
      <c r="M127" s="176"/>
      <c r="P127" s="360"/>
      <c r="Q127" s="361">
        <v>25</v>
      </c>
      <c r="R127" s="174" t="str">
        <f ca="1">IF(IFERROR(INDEX($B$9:$B$121,MATCH($Q127,$X$9:$X$121,0)),"")=0,"",IFERROR(INDEX($B$9:$B$121,MATCH($Q127,$X$9:$X$121,0)),""))</f>
        <v/>
      </c>
      <c r="S127" s="175"/>
      <c r="T127" s="175"/>
      <c r="U127" s="414"/>
      <c r="V127" s="414"/>
      <c r="W127" s="434"/>
      <c r="X127" s="435"/>
      <c r="Z127" s="175"/>
      <c r="AA127" s="176"/>
    </row>
    <row r="128" spans="1:27" x14ac:dyDescent="0.2">
      <c r="A128" s="113">
        <v>6</v>
      </c>
      <c r="B128" s="201" t="str">
        <f t="shared" ca="1" si="11"/>
        <v/>
      </c>
      <c r="C128" s="107"/>
      <c r="D128" s="107"/>
      <c r="E128" s="360"/>
      <c r="F128" s="361">
        <v>16</v>
      </c>
      <c r="G128" s="174" t="str">
        <f t="shared" ca="1" si="12"/>
        <v/>
      </c>
      <c r="H128" s="175"/>
      <c r="I128" s="175"/>
      <c r="J128" s="175"/>
      <c r="K128" s="175"/>
      <c r="L128" s="175"/>
      <c r="M128" s="176"/>
      <c r="P128" s="360"/>
      <c r="Q128" s="361">
        <v>26</v>
      </c>
      <c r="R128" s="174" t="str">
        <f ca="1">IF(IFERROR(INDEX($B$9:$B$121,MATCH($Q128,$X$9:$X$121,0)),"")=0,"",IFERROR(INDEX($B$9:$B$121,MATCH($Q128,$X$9:$X$121,0)),""))</f>
        <v/>
      </c>
      <c r="S128" s="175"/>
      <c r="T128" s="175"/>
      <c r="U128" s="414"/>
      <c r="V128" s="414"/>
      <c r="W128" s="434"/>
      <c r="X128" s="435"/>
      <c r="Z128" s="175"/>
      <c r="AA128" s="176"/>
    </row>
    <row r="129" spans="1:27" x14ac:dyDescent="0.2">
      <c r="A129" s="113">
        <v>7</v>
      </c>
      <c r="B129" s="201" t="str">
        <f t="shared" ca="1" si="11"/>
        <v/>
      </c>
      <c r="C129" s="107"/>
      <c r="D129" s="107"/>
      <c r="E129" s="360"/>
      <c r="F129" s="361">
        <v>17</v>
      </c>
      <c r="G129" s="174" t="str">
        <f t="shared" si="12"/>
        <v>Hardo Sokk</v>
      </c>
      <c r="H129" s="175"/>
      <c r="I129" s="175"/>
      <c r="J129" s="175"/>
      <c r="K129" s="175"/>
      <c r="L129" s="175"/>
      <c r="M129" s="176"/>
      <c r="P129" s="107"/>
      <c r="Q129" s="107"/>
      <c r="R129" s="107"/>
      <c r="S129" s="107"/>
      <c r="T129" s="107"/>
      <c r="U129" s="107"/>
      <c r="V129" s="107"/>
      <c r="W129" s="107"/>
      <c r="X129" s="107"/>
      <c r="Z129" s="175"/>
      <c r="AA129" s="176"/>
    </row>
    <row r="130" spans="1:27" x14ac:dyDescent="0.2">
      <c r="A130" s="113">
        <v>8</v>
      </c>
      <c r="B130" s="201" t="str">
        <f t="shared" ca="1" si="11"/>
        <v/>
      </c>
      <c r="C130" s="107"/>
      <c r="D130" s="107"/>
      <c r="E130" s="360"/>
      <c r="F130" s="361">
        <v>18</v>
      </c>
      <c r="G130" s="174" t="str">
        <f t="shared" si="12"/>
        <v>Kalju Olmre</v>
      </c>
      <c r="H130" s="175"/>
      <c r="I130" s="175"/>
      <c r="J130" s="175"/>
      <c r="K130" s="175"/>
      <c r="L130" s="175"/>
      <c r="M130" s="176"/>
      <c r="P130" s="107"/>
      <c r="Q130" s="107"/>
      <c r="R130" s="107"/>
      <c r="S130" s="107"/>
      <c r="T130" s="107"/>
      <c r="U130" s="107"/>
      <c r="V130" s="107"/>
      <c r="W130" s="107"/>
      <c r="X130" s="107"/>
      <c r="Z130" s="175"/>
      <c r="AA130" s="176"/>
    </row>
    <row r="131" spans="1:27" x14ac:dyDescent="0.2">
      <c r="A131" s="113">
        <v>9</v>
      </c>
      <c r="B131" s="201" t="str">
        <f t="shared" ca="1" si="11"/>
        <v/>
      </c>
      <c r="C131" s="107"/>
      <c r="D131" s="107"/>
      <c r="E131" s="360"/>
      <c r="F131" s="361">
        <v>19</v>
      </c>
      <c r="G131" s="174" t="str">
        <f t="shared" si="12"/>
        <v>Margo Peebo</v>
      </c>
      <c r="H131" s="175"/>
      <c r="I131" s="175"/>
      <c r="J131" s="175"/>
      <c r="K131" s="175"/>
      <c r="L131" s="175"/>
      <c r="M131" s="176"/>
      <c r="P131" s="107"/>
      <c r="Q131" s="107"/>
      <c r="R131" s="107"/>
      <c r="S131" s="107"/>
      <c r="T131" s="107"/>
      <c r="U131" s="107"/>
      <c r="V131" s="107"/>
      <c r="W131" s="107"/>
      <c r="X131" s="107"/>
      <c r="Z131" s="175"/>
      <c r="AA131" s="176"/>
    </row>
    <row r="132" spans="1:27" x14ac:dyDescent="0.2">
      <c r="A132" s="113">
        <v>10</v>
      </c>
      <c r="B132" s="201" t="str">
        <f t="shared" ca="1" si="11"/>
        <v/>
      </c>
      <c r="C132" s="107"/>
      <c r="D132" s="107"/>
      <c r="E132" s="432"/>
      <c r="F132" s="433" t="s">
        <v>607</v>
      </c>
      <c r="G132" s="431" t="s">
        <v>609</v>
      </c>
      <c r="H132" s="175"/>
      <c r="I132" s="175"/>
      <c r="J132" s="175"/>
      <c r="K132" s="175"/>
      <c r="L132" s="175"/>
      <c r="M132" s="176"/>
      <c r="P132" s="107"/>
      <c r="Q132" s="107"/>
      <c r="R132" s="107"/>
      <c r="S132" s="107"/>
      <c r="T132" s="107"/>
      <c r="U132" s="107"/>
      <c r="V132" s="107"/>
      <c r="W132" s="107"/>
      <c r="Z132" s="175"/>
      <c r="AA132" s="176"/>
    </row>
    <row r="133" spans="1:27" x14ac:dyDescent="0.2">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spans="1:27" x14ac:dyDescent="0.2">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spans="1:27" x14ac:dyDescent="0.2">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spans="1:27" x14ac:dyDescent="0.2">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spans="1:27" x14ac:dyDescent="0.2">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spans="1:27" x14ac:dyDescent="0.2">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row>
    <row r="139" spans="1:27" x14ac:dyDescent="0.2">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row>
  </sheetData>
  <conditionalFormatting sqref="B25:B32">
    <cfRule type="duplicateValues" dxfId="1692" priority="41" stopIfTrue="1"/>
  </conditionalFormatting>
  <conditionalFormatting sqref="B22:B24">
    <cfRule type="duplicateValues" dxfId="1691" priority="40" stopIfTrue="1"/>
  </conditionalFormatting>
  <conditionalFormatting sqref="B36:B41">
    <cfRule type="duplicateValues" dxfId="1690" priority="38" stopIfTrue="1"/>
  </conditionalFormatting>
  <conditionalFormatting sqref="X36:X43 X60:X63">
    <cfRule type="duplicateValues" dxfId="1689" priority="46"/>
    <cfRule type="top10" dxfId="1688" priority="47" stopIfTrue="1" rank="100"/>
  </conditionalFormatting>
  <conditionalFormatting sqref="B42:B43 B60:B63">
    <cfRule type="duplicateValues" dxfId="1687" priority="48" stopIfTrue="1"/>
  </conditionalFormatting>
  <conditionalFormatting sqref="B52:B57">
    <cfRule type="duplicateValues" dxfId="1686" priority="34" stopIfTrue="1"/>
  </conditionalFormatting>
  <conditionalFormatting sqref="X52:X59">
    <cfRule type="duplicateValues" dxfId="1685" priority="35"/>
    <cfRule type="top10" dxfId="1684" priority="36" stopIfTrue="1" rank="100"/>
  </conditionalFormatting>
  <conditionalFormatting sqref="B58:B59">
    <cfRule type="duplicateValues" dxfId="1683" priority="37" stopIfTrue="1"/>
  </conditionalFormatting>
  <conditionalFormatting sqref="B78:B83">
    <cfRule type="duplicateValues" dxfId="1682" priority="30" stopIfTrue="1"/>
  </conditionalFormatting>
  <conditionalFormatting sqref="X78:X85 X94:X97">
    <cfRule type="duplicateValues" dxfId="1681" priority="31"/>
    <cfRule type="top10" dxfId="1680" priority="32" stopIfTrue="1" rank="100"/>
  </conditionalFormatting>
  <conditionalFormatting sqref="B84:B85 B94:B97">
    <cfRule type="duplicateValues" dxfId="1679" priority="33" stopIfTrue="1"/>
  </conditionalFormatting>
  <conditionalFormatting sqref="B86:B91">
    <cfRule type="duplicateValues" dxfId="1678" priority="26" stopIfTrue="1"/>
  </conditionalFormatting>
  <conditionalFormatting sqref="X86:X93">
    <cfRule type="duplicateValues" dxfId="1677" priority="27"/>
    <cfRule type="top10" dxfId="1676" priority="28" stopIfTrue="1" rank="100"/>
  </conditionalFormatting>
  <conditionalFormatting sqref="B92:B93">
    <cfRule type="duplicateValues" dxfId="1675" priority="29" stopIfTrue="1"/>
  </conditionalFormatting>
  <conditionalFormatting sqref="B98:B99">
    <cfRule type="duplicateValues" dxfId="1674" priority="22" stopIfTrue="1"/>
  </conditionalFormatting>
  <conditionalFormatting sqref="X98:X101">
    <cfRule type="duplicateValues" dxfId="1673" priority="23"/>
    <cfRule type="top10" dxfId="1672" priority="24" stopIfTrue="1" rank="100"/>
  </conditionalFormatting>
  <conditionalFormatting sqref="B100:B101">
    <cfRule type="duplicateValues" dxfId="1671" priority="25" stopIfTrue="1"/>
  </conditionalFormatting>
  <conditionalFormatting sqref="B64:B65">
    <cfRule type="duplicateValues" dxfId="1670" priority="21" stopIfTrue="1"/>
  </conditionalFormatting>
  <conditionalFormatting sqref="B44:B49">
    <cfRule type="duplicateValues" dxfId="1669" priority="17" stopIfTrue="1"/>
  </conditionalFormatting>
  <conditionalFormatting sqref="X44:X51">
    <cfRule type="duplicateValues" dxfId="1668" priority="18"/>
    <cfRule type="top10" dxfId="1667" priority="19" stopIfTrue="1" rank="100"/>
  </conditionalFormatting>
  <conditionalFormatting sqref="B50:B51">
    <cfRule type="duplicateValues" dxfId="1666" priority="20" stopIfTrue="1"/>
  </conditionalFormatting>
  <conditionalFormatting sqref="W36:W39">
    <cfRule type="top10" dxfId="1665" priority="15" rank="1"/>
  </conditionalFormatting>
  <conditionalFormatting sqref="W40:W43">
    <cfRule type="top10" dxfId="1664" priority="14" rank="1"/>
  </conditionalFormatting>
  <conditionalFormatting sqref="W44:W47">
    <cfRule type="top10" dxfId="1663" priority="13" rank="1"/>
  </conditionalFormatting>
  <conditionalFormatting sqref="W48:W51">
    <cfRule type="top10" dxfId="1662" priority="12" rank="1"/>
  </conditionalFormatting>
  <conditionalFormatting sqref="W52:W55">
    <cfRule type="top10" dxfId="1661" priority="11" rank="1"/>
  </conditionalFormatting>
  <conditionalFormatting sqref="W56:W59">
    <cfRule type="top10" dxfId="1660" priority="10" rank="1"/>
  </conditionalFormatting>
  <conditionalFormatting sqref="W60:W63">
    <cfRule type="top10" dxfId="1659" priority="9" rank="1"/>
  </conditionalFormatting>
  <conditionalFormatting sqref="W64:W67">
    <cfRule type="top10" dxfId="1658" priority="8" rank="1"/>
  </conditionalFormatting>
  <conditionalFormatting sqref="W78:W81">
    <cfRule type="top10" dxfId="1657" priority="7" rank="1"/>
  </conditionalFormatting>
  <conditionalFormatting sqref="W82:W85">
    <cfRule type="top10" dxfId="1656" priority="6" rank="1"/>
  </conditionalFormatting>
  <conditionalFormatting sqref="W86:W89">
    <cfRule type="top10" dxfId="1655" priority="5" rank="1"/>
  </conditionalFormatting>
  <conditionalFormatting sqref="W90:W93">
    <cfRule type="top10" dxfId="1654" priority="4" rank="1"/>
  </conditionalFormatting>
  <conditionalFormatting sqref="W94:W97">
    <cfRule type="top10" dxfId="1653" priority="3" rank="1"/>
  </conditionalFormatting>
  <conditionalFormatting sqref="W98:W101">
    <cfRule type="top10" dxfId="1652" priority="2" rank="1"/>
  </conditionalFormatting>
  <conditionalFormatting sqref="W103:W104">
    <cfRule type="top10" dxfId="1651" priority="49" rank="1"/>
  </conditionalFormatting>
  <conditionalFormatting sqref="W105:W106">
    <cfRule type="top10" dxfId="1650" priority="50" rank="1"/>
  </conditionalFormatting>
  <conditionalFormatting sqref="W107:W108">
    <cfRule type="top10" dxfId="1649" priority="51" rank="1"/>
  </conditionalFormatting>
  <conditionalFormatting sqref="W112:W113">
    <cfRule type="top10" dxfId="1648" priority="52" rank="1"/>
  </conditionalFormatting>
  <conditionalFormatting sqref="W114:W115">
    <cfRule type="top10" dxfId="1647" priority="53" rank="1"/>
  </conditionalFormatting>
  <conditionalFormatting sqref="W117:W118">
    <cfRule type="top10" dxfId="1646" priority="54" rank="1"/>
  </conditionalFormatting>
  <conditionalFormatting sqref="W120:W121">
    <cfRule type="top10" dxfId="1645" priority="55" rank="1"/>
  </conditionalFormatting>
  <conditionalFormatting sqref="X103:X110">
    <cfRule type="duplicateValues" dxfId="1644" priority="56"/>
    <cfRule type="top10" dxfId="1643" priority="57" stopIfTrue="1" rank="4"/>
  </conditionalFormatting>
  <conditionalFormatting sqref="W109:W110">
    <cfRule type="top10" dxfId="1642" priority="58" rank="1"/>
  </conditionalFormatting>
  <conditionalFormatting sqref="X64:X67">
    <cfRule type="duplicateValues" dxfId="1641" priority="64"/>
    <cfRule type="top10" dxfId="1640" priority="65" stopIfTrue="1" rank="100"/>
  </conditionalFormatting>
  <conditionalFormatting sqref="B66:B67">
    <cfRule type="duplicateValues" dxfId="1639" priority="66" stopIfTrue="1"/>
  </conditionalFormatting>
  <conditionalFormatting sqref="X9:X34">
    <cfRule type="duplicateValues" dxfId="1638" priority="13174"/>
    <cfRule type="top10" dxfId="1637" priority="13175" stopIfTrue="1" rank="100"/>
  </conditionalFormatting>
  <conditionalFormatting sqref="B33:B34 B10:B12 B14">
    <cfRule type="duplicateValues" dxfId="1636" priority="13176" stopIfTrue="1"/>
  </conditionalFormatting>
  <conditionalFormatting sqref="X69:X76">
    <cfRule type="duplicateValues" dxfId="1635" priority="13189"/>
    <cfRule type="top10" dxfId="1634" priority="13190" stopIfTrue="1" rank="100"/>
  </conditionalFormatting>
  <conditionalFormatting sqref="Y69:Y76">
    <cfRule type="duplicateValues" dxfId="1633" priority="13191"/>
  </conditionalFormatting>
  <conditionalFormatting sqref="W9:W121">
    <cfRule type="top10" dxfId="1632" priority="13193" rank="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J334"/>
  <sheetViews>
    <sheetView showGridLines="0" showRowColHeaders="0" zoomScaleNormal="100" workbookViewId="0">
      <pane ySplit="7" topLeftCell="A8" activePane="bottomLeft" state="frozen"/>
      <selection activeCell="C43" sqref="C43"/>
      <selection pane="bottomLeft" activeCell="W1" sqref="W1"/>
    </sheetView>
  </sheetViews>
  <sheetFormatPr defaultRowHeight="12.75" x14ac:dyDescent="0.2"/>
  <cols>
    <col min="1" max="1" width="3" style="78" customWidth="1"/>
    <col min="2" max="2" width="18.85546875" style="78" customWidth="1"/>
    <col min="3" max="3" width="4" style="78" customWidth="1"/>
    <col min="4" max="22" width="2.7109375" style="78" customWidth="1"/>
    <col min="23" max="23" width="3" style="78" bestFit="1" customWidth="1"/>
    <col min="24" max="24" width="11.5703125" style="78" bestFit="1" customWidth="1"/>
    <col min="25" max="25" width="3" style="78" customWidth="1"/>
    <col min="26" max="26" width="9" style="78" hidden="1" customWidth="1"/>
    <col min="27" max="27" width="4" style="78" hidden="1" customWidth="1"/>
    <col min="28" max="28" width="4.5703125" style="78" hidden="1" customWidth="1"/>
    <col min="29" max="33" width="9.140625" style="78"/>
    <col min="34" max="34" width="0" style="78" hidden="1" customWidth="1"/>
    <col min="35" max="35" width="16.42578125" style="78" hidden="1" customWidth="1"/>
    <col min="36" max="36" width="6" style="78" hidden="1" customWidth="1"/>
    <col min="37" max="216" width="9.140625" style="78"/>
    <col min="217" max="217" width="3" style="78" customWidth="1"/>
    <col min="218" max="218" width="18.7109375" style="78" customWidth="1"/>
    <col min="219" max="238" width="2.85546875" style="78" customWidth="1"/>
    <col min="239" max="239" width="3" style="78" bestFit="1" customWidth="1"/>
    <col min="240" max="240" width="10.5703125" style="78" customWidth="1"/>
    <col min="241" max="243" width="0" style="78" hidden="1" customWidth="1"/>
    <col min="244" max="472" width="9.140625" style="78"/>
    <col min="473" max="473" width="3" style="78" customWidth="1"/>
    <col min="474" max="474" width="18.7109375" style="78" customWidth="1"/>
    <col min="475" max="494" width="2.85546875" style="78" customWidth="1"/>
    <col min="495" max="495" width="3" style="78" bestFit="1" customWidth="1"/>
    <col min="496" max="496" width="10.5703125" style="78" customWidth="1"/>
    <col min="497" max="499" width="0" style="78" hidden="1" customWidth="1"/>
    <col min="500" max="728" width="9.140625" style="78"/>
    <col min="729" max="729" width="3" style="78" customWidth="1"/>
    <col min="730" max="730" width="18.7109375" style="78" customWidth="1"/>
    <col min="731" max="750" width="2.85546875" style="78" customWidth="1"/>
    <col min="751" max="751" width="3" style="78" bestFit="1" customWidth="1"/>
    <col min="752" max="752" width="10.5703125" style="78" customWidth="1"/>
    <col min="753" max="755" width="0" style="78" hidden="1" customWidth="1"/>
    <col min="756" max="984" width="9.140625" style="78"/>
    <col min="985" max="985" width="3" style="78" customWidth="1"/>
    <col min="986" max="986" width="18.7109375" style="78" customWidth="1"/>
    <col min="987" max="1006" width="2.85546875" style="78" customWidth="1"/>
    <col min="1007" max="1007" width="3" style="78" bestFit="1" customWidth="1"/>
    <col min="1008" max="1008" width="10.5703125" style="78" customWidth="1"/>
    <col min="1009" max="1011" width="0" style="78" hidden="1" customWidth="1"/>
    <col min="1012" max="1240" width="9.140625" style="78"/>
    <col min="1241" max="1241" width="3" style="78" customWidth="1"/>
    <col min="1242" max="1242" width="18.7109375" style="78" customWidth="1"/>
    <col min="1243" max="1262" width="2.85546875" style="78" customWidth="1"/>
    <col min="1263" max="1263" width="3" style="78" bestFit="1" customWidth="1"/>
    <col min="1264" max="1264" width="10.5703125" style="78" customWidth="1"/>
    <col min="1265" max="1267" width="0" style="78" hidden="1" customWidth="1"/>
    <col min="1268" max="1496" width="9.140625" style="78"/>
    <col min="1497" max="1497" width="3" style="78" customWidth="1"/>
    <col min="1498" max="1498" width="18.7109375" style="78" customWidth="1"/>
    <col min="1499" max="1518" width="2.85546875" style="78" customWidth="1"/>
    <col min="1519" max="1519" width="3" style="78" bestFit="1" customWidth="1"/>
    <col min="1520" max="1520" width="10.5703125" style="78" customWidth="1"/>
    <col min="1521" max="1523" width="0" style="78" hidden="1" customWidth="1"/>
    <col min="1524" max="1752" width="9.140625" style="78"/>
    <col min="1753" max="1753" width="3" style="78" customWidth="1"/>
    <col min="1754" max="1754" width="18.7109375" style="78" customWidth="1"/>
    <col min="1755" max="1774" width="2.85546875" style="78" customWidth="1"/>
    <col min="1775" max="1775" width="3" style="78" bestFit="1" customWidth="1"/>
    <col min="1776" max="1776" width="10.5703125" style="78" customWidth="1"/>
    <col min="1777" max="1779" width="0" style="78" hidden="1" customWidth="1"/>
    <col min="1780" max="2008" width="9.140625" style="78"/>
    <col min="2009" max="2009" width="3" style="78" customWidth="1"/>
    <col min="2010" max="2010" width="18.7109375" style="78" customWidth="1"/>
    <col min="2011" max="2030" width="2.85546875" style="78" customWidth="1"/>
    <col min="2031" max="2031" width="3" style="78" bestFit="1" customWidth="1"/>
    <col min="2032" max="2032" width="10.5703125" style="78" customWidth="1"/>
    <col min="2033" max="2035" width="0" style="78" hidden="1" customWidth="1"/>
    <col min="2036" max="2264" width="9.140625" style="78"/>
    <col min="2265" max="2265" width="3" style="78" customWidth="1"/>
    <col min="2266" max="2266" width="18.7109375" style="78" customWidth="1"/>
    <col min="2267" max="2286" width="2.85546875" style="78" customWidth="1"/>
    <col min="2287" max="2287" width="3" style="78" bestFit="1" customWidth="1"/>
    <col min="2288" max="2288" width="10.5703125" style="78" customWidth="1"/>
    <col min="2289" max="2291" width="0" style="78" hidden="1" customWidth="1"/>
    <col min="2292" max="2520" width="9.140625" style="78"/>
    <col min="2521" max="2521" width="3" style="78" customWidth="1"/>
    <col min="2522" max="2522" width="18.7109375" style="78" customWidth="1"/>
    <col min="2523" max="2542" width="2.85546875" style="78" customWidth="1"/>
    <col min="2543" max="2543" width="3" style="78" bestFit="1" customWidth="1"/>
    <col min="2544" max="2544" width="10.5703125" style="78" customWidth="1"/>
    <col min="2545" max="2547" width="0" style="78" hidden="1" customWidth="1"/>
    <col min="2548" max="2776" width="9.140625" style="78"/>
    <col min="2777" max="2777" width="3" style="78" customWidth="1"/>
    <col min="2778" max="2778" width="18.7109375" style="78" customWidth="1"/>
    <col min="2779" max="2798" width="2.85546875" style="78" customWidth="1"/>
    <col min="2799" max="2799" width="3" style="78" bestFit="1" customWidth="1"/>
    <col min="2800" max="2800" width="10.5703125" style="78" customWidth="1"/>
    <col min="2801" max="2803" width="0" style="78" hidden="1" customWidth="1"/>
    <col min="2804" max="3032" width="9.140625" style="78"/>
    <col min="3033" max="3033" width="3" style="78" customWidth="1"/>
    <col min="3034" max="3034" width="18.7109375" style="78" customWidth="1"/>
    <col min="3035" max="3054" width="2.85546875" style="78" customWidth="1"/>
    <col min="3055" max="3055" width="3" style="78" bestFit="1" customWidth="1"/>
    <col min="3056" max="3056" width="10.5703125" style="78" customWidth="1"/>
    <col min="3057" max="3059" width="0" style="78" hidden="1" customWidth="1"/>
    <col min="3060" max="3288" width="9.140625" style="78"/>
    <col min="3289" max="3289" width="3" style="78" customWidth="1"/>
    <col min="3290" max="3290" width="18.7109375" style="78" customWidth="1"/>
    <col min="3291" max="3310" width="2.85546875" style="78" customWidth="1"/>
    <col min="3311" max="3311" width="3" style="78" bestFit="1" customWidth="1"/>
    <col min="3312" max="3312" width="10.5703125" style="78" customWidth="1"/>
    <col min="3313" max="3315" width="0" style="78" hidden="1" customWidth="1"/>
    <col min="3316" max="3544" width="9.140625" style="78"/>
    <col min="3545" max="3545" width="3" style="78" customWidth="1"/>
    <col min="3546" max="3546" width="18.7109375" style="78" customWidth="1"/>
    <col min="3547" max="3566" width="2.85546875" style="78" customWidth="1"/>
    <col min="3567" max="3567" width="3" style="78" bestFit="1" customWidth="1"/>
    <col min="3568" max="3568" width="10.5703125" style="78" customWidth="1"/>
    <col min="3569" max="3571" width="0" style="78" hidden="1" customWidth="1"/>
    <col min="3572" max="3800" width="9.140625" style="78"/>
    <col min="3801" max="3801" width="3" style="78" customWidth="1"/>
    <col min="3802" max="3802" width="18.7109375" style="78" customWidth="1"/>
    <col min="3803" max="3822" width="2.85546875" style="78" customWidth="1"/>
    <col min="3823" max="3823" width="3" style="78" bestFit="1" customWidth="1"/>
    <col min="3824" max="3824" width="10.5703125" style="78" customWidth="1"/>
    <col min="3825" max="3827" width="0" style="78" hidden="1" customWidth="1"/>
    <col min="3828" max="4056" width="9.140625" style="78"/>
    <col min="4057" max="4057" width="3" style="78" customWidth="1"/>
    <col min="4058" max="4058" width="18.7109375" style="78" customWidth="1"/>
    <col min="4059" max="4078" width="2.85546875" style="78" customWidth="1"/>
    <col min="4079" max="4079" width="3" style="78" bestFit="1" customWidth="1"/>
    <col min="4080" max="4080" width="10.5703125" style="78" customWidth="1"/>
    <col min="4081" max="4083" width="0" style="78" hidden="1" customWidth="1"/>
    <col min="4084" max="4312" width="9.140625" style="78"/>
    <col min="4313" max="4313" width="3" style="78" customWidth="1"/>
    <col min="4314" max="4314" width="18.7109375" style="78" customWidth="1"/>
    <col min="4315" max="4334" width="2.85546875" style="78" customWidth="1"/>
    <col min="4335" max="4335" width="3" style="78" bestFit="1" customWidth="1"/>
    <col min="4336" max="4336" width="10.5703125" style="78" customWidth="1"/>
    <col min="4337" max="4339" width="0" style="78" hidden="1" customWidth="1"/>
    <col min="4340" max="4568" width="9.140625" style="78"/>
    <col min="4569" max="4569" width="3" style="78" customWidth="1"/>
    <col min="4570" max="4570" width="18.7109375" style="78" customWidth="1"/>
    <col min="4571" max="4590" width="2.85546875" style="78" customWidth="1"/>
    <col min="4591" max="4591" width="3" style="78" bestFit="1" customWidth="1"/>
    <col min="4592" max="4592" width="10.5703125" style="78" customWidth="1"/>
    <col min="4593" max="4595" width="0" style="78" hidden="1" customWidth="1"/>
    <col min="4596" max="4824" width="9.140625" style="78"/>
    <col min="4825" max="4825" width="3" style="78" customWidth="1"/>
    <col min="4826" max="4826" width="18.7109375" style="78" customWidth="1"/>
    <col min="4827" max="4846" width="2.85546875" style="78" customWidth="1"/>
    <col min="4847" max="4847" width="3" style="78" bestFit="1" customWidth="1"/>
    <col min="4848" max="4848" width="10.5703125" style="78" customWidth="1"/>
    <col min="4849" max="4851" width="0" style="78" hidden="1" customWidth="1"/>
    <col min="4852" max="5080" width="9.140625" style="78"/>
    <col min="5081" max="5081" width="3" style="78" customWidth="1"/>
    <col min="5082" max="5082" width="18.7109375" style="78" customWidth="1"/>
    <col min="5083" max="5102" width="2.85546875" style="78" customWidth="1"/>
    <col min="5103" max="5103" width="3" style="78" bestFit="1" customWidth="1"/>
    <col min="5104" max="5104" width="10.5703125" style="78" customWidth="1"/>
    <col min="5105" max="5107" width="0" style="78" hidden="1" customWidth="1"/>
    <col min="5108" max="5336" width="9.140625" style="78"/>
    <col min="5337" max="5337" width="3" style="78" customWidth="1"/>
    <col min="5338" max="5338" width="18.7109375" style="78" customWidth="1"/>
    <col min="5339" max="5358" width="2.85546875" style="78" customWidth="1"/>
    <col min="5359" max="5359" width="3" style="78" bestFit="1" customWidth="1"/>
    <col min="5360" max="5360" width="10.5703125" style="78" customWidth="1"/>
    <col min="5361" max="5363" width="0" style="78" hidden="1" customWidth="1"/>
    <col min="5364" max="5592" width="9.140625" style="78"/>
    <col min="5593" max="5593" width="3" style="78" customWidth="1"/>
    <col min="5594" max="5594" width="18.7109375" style="78" customWidth="1"/>
    <col min="5595" max="5614" width="2.85546875" style="78" customWidth="1"/>
    <col min="5615" max="5615" width="3" style="78" bestFit="1" customWidth="1"/>
    <col min="5616" max="5616" width="10.5703125" style="78" customWidth="1"/>
    <col min="5617" max="5619" width="0" style="78" hidden="1" customWidth="1"/>
    <col min="5620" max="5848" width="9.140625" style="78"/>
    <col min="5849" max="5849" width="3" style="78" customWidth="1"/>
    <col min="5850" max="5850" width="18.7109375" style="78" customWidth="1"/>
    <col min="5851" max="5870" width="2.85546875" style="78" customWidth="1"/>
    <col min="5871" max="5871" width="3" style="78" bestFit="1" customWidth="1"/>
    <col min="5872" max="5872" width="10.5703125" style="78" customWidth="1"/>
    <col min="5873" max="5875" width="0" style="78" hidden="1" customWidth="1"/>
    <col min="5876" max="6104" width="9.140625" style="78"/>
    <col min="6105" max="6105" width="3" style="78" customWidth="1"/>
    <col min="6106" max="6106" width="18.7109375" style="78" customWidth="1"/>
    <col min="6107" max="6126" width="2.85546875" style="78" customWidth="1"/>
    <col min="6127" max="6127" width="3" style="78" bestFit="1" customWidth="1"/>
    <col min="6128" max="6128" width="10.5703125" style="78" customWidth="1"/>
    <col min="6129" max="6131" width="0" style="78" hidden="1" customWidth="1"/>
    <col min="6132" max="6360" width="9.140625" style="78"/>
    <col min="6361" max="6361" width="3" style="78" customWidth="1"/>
    <col min="6362" max="6362" width="18.7109375" style="78" customWidth="1"/>
    <col min="6363" max="6382" width="2.85546875" style="78" customWidth="1"/>
    <col min="6383" max="6383" width="3" style="78" bestFit="1" customWidth="1"/>
    <col min="6384" max="6384" width="10.5703125" style="78" customWidth="1"/>
    <col min="6385" max="6387" width="0" style="78" hidden="1" customWidth="1"/>
    <col min="6388" max="6616" width="9.140625" style="78"/>
    <col min="6617" max="6617" width="3" style="78" customWidth="1"/>
    <col min="6618" max="6618" width="18.7109375" style="78" customWidth="1"/>
    <col min="6619" max="6638" width="2.85546875" style="78" customWidth="1"/>
    <col min="6639" max="6639" width="3" style="78" bestFit="1" customWidth="1"/>
    <col min="6640" max="6640" width="10.5703125" style="78" customWidth="1"/>
    <col min="6641" max="6643" width="0" style="78" hidden="1" customWidth="1"/>
    <col min="6644" max="6872" width="9.140625" style="78"/>
    <col min="6873" max="6873" width="3" style="78" customWidth="1"/>
    <col min="6874" max="6874" width="18.7109375" style="78" customWidth="1"/>
    <col min="6875" max="6894" width="2.85546875" style="78" customWidth="1"/>
    <col min="6895" max="6895" width="3" style="78" bestFit="1" customWidth="1"/>
    <col min="6896" max="6896" width="10.5703125" style="78" customWidth="1"/>
    <col min="6897" max="6899" width="0" style="78" hidden="1" customWidth="1"/>
    <col min="6900" max="7128" width="9.140625" style="78"/>
    <col min="7129" max="7129" width="3" style="78" customWidth="1"/>
    <col min="7130" max="7130" width="18.7109375" style="78" customWidth="1"/>
    <col min="7131" max="7150" width="2.85546875" style="78" customWidth="1"/>
    <col min="7151" max="7151" width="3" style="78" bestFit="1" customWidth="1"/>
    <col min="7152" max="7152" width="10.5703125" style="78" customWidth="1"/>
    <col min="7153" max="7155" width="0" style="78" hidden="1" customWidth="1"/>
    <col min="7156" max="7384" width="9.140625" style="78"/>
    <col min="7385" max="7385" width="3" style="78" customWidth="1"/>
    <col min="7386" max="7386" width="18.7109375" style="78" customWidth="1"/>
    <col min="7387" max="7406" width="2.85546875" style="78" customWidth="1"/>
    <col min="7407" max="7407" width="3" style="78" bestFit="1" customWidth="1"/>
    <col min="7408" max="7408" width="10.5703125" style="78" customWidth="1"/>
    <col min="7409" max="7411" width="0" style="78" hidden="1" customWidth="1"/>
    <col min="7412" max="7640" width="9.140625" style="78"/>
    <col min="7641" max="7641" width="3" style="78" customWidth="1"/>
    <col min="7642" max="7642" width="18.7109375" style="78" customWidth="1"/>
    <col min="7643" max="7662" width="2.85546875" style="78" customWidth="1"/>
    <col min="7663" max="7663" width="3" style="78" bestFit="1" customWidth="1"/>
    <col min="7664" max="7664" width="10.5703125" style="78" customWidth="1"/>
    <col min="7665" max="7667" width="0" style="78" hidden="1" customWidth="1"/>
    <col min="7668" max="7896" width="9.140625" style="78"/>
    <col min="7897" max="7897" width="3" style="78" customWidth="1"/>
    <col min="7898" max="7898" width="18.7109375" style="78" customWidth="1"/>
    <col min="7899" max="7918" width="2.85546875" style="78" customWidth="1"/>
    <col min="7919" max="7919" width="3" style="78" bestFit="1" customWidth="1"/>
    <col min="7920" max="7920" width="10.5703125" style="78" customWidth="1"/>
    <col min="7921" max="7923" width="0" style="78" hidden="1" customWidth="1"/>
    <col min="7924" max="8152" width="9.140625" style="78"/>
    <col min="8153" max="8153" width="3" style="78" customWidth="1"/>
    <col min="8154" max="8154" width="18.7109375" style="78" customWidth="1"/>
    <col min="8155" max="8174" width="2.85546875" style="78" customWidth="1"/>
    <col min="8175" max="8175" width="3" style="78" bestFit="1" customWidth="1"/>
    <col min="8176" max="8176" width="10.5703125" style="78" customWidth="1"/>
    <col min="8177" max="8179" width="0" style="78" hidden="1" customWidth="1"/>
    <col min="8180" max="8408" width="9.140625" style="78"/>
    <col min="8409" max="8409" width="3" style="78" customWidth="1"/>
    <col min="8410" max="8410" width="18.7109375" style="78" customWidth="1"/>
    <col min="8411" max="8430" width="2.85546875" style="78" customWidth="1"/>
    <col min="8431" max="8431" width="3" style="78" bestFit="1" customWidth="1"/>
    <col min="8432" max="8432" width="10.5703125" style="78" customWidth="1"/>
    <col min="8433" max="8435" width="0" style="78" hidden="1" customWidth="1"/>
    <col min="8436" max="8664" width="9.140625" style="78"/>
    <col min="8665" max="8665" width="3" style="78" customWidth="1"/>
    <col min="8666" max="8666" width="18.7109375" style="78" customWidth="1"/>
    <col min="8667" max="8686" width="2.85546875" style="78" customWidth="1"/>
    <col min="8687" max="8687" width="3" style="78" bestFit="1" customWidth="1"/>
    <col min="8688" max="8688" width="10.5703125" style="78" customWidth="1"/>
    <col min="8689" max="8691" width="0" style="78" hidden="1" customWidth="1"/>
    <col min="8692" max="8920" width="9.140625" style="78"/>
    <col min="8921" max="8921" width="3" style="78" customWidth="1"/>
    <col min="8922" max="8922" width="18.7109375" style="78" customWidth="1"/>
    <col min="8923" max="8942" width="2.85546875" style="78" customWidth="1"/>
    <col min="8943" max="8943" width="3" style="78" bestFit="1" customWidth="1"/>
    <col min="8944" max="8944" width="10.5703125" style="78" customWidth="1"/>
    <col min="8945" max="8947" width="0" style="78" hidden="1" customWidth="1"/>
    <col min="8948" max="9176" width="9.140625" style="78"/>
    <col min="9177" max="9177" width="3" style="78" customWidth="1"/>
    <col min="9178" max="9178" width="18.7109375" style="78" customWidth="1"/>
    <col min="9179" max="9198" width="2.85546875" style="78" customWidth="1"/>
    <col min="9199" max="9199" width="3" style="78" bestFit="1" customWidth="1"/>
    <col min="9200" max="9200" width="10.5703125" style="78" customWidth="1"/>
    <col min="9201" max="9203" width="0" style="78" hidden="1" customWidth="1"/>
    <col min="9204" max="9432" width="9.140625" style="78"/>
    <col min="9433" max="9433" width="3" style="78" customWidth="1"/>
    <col min="9434" max="9434" width="18.7109375" style="78" customWidth="1"/>
    <col min="9435" max="9454" width="2.85546875" style="78" customWidth="1"/>
    <col min="9455" max="9455" width="3" style="78" bestFit="1" customWidth="1"/>
    <col min="9456" max="9456" width="10.5703125" style="78" customWidth="1"/>
    <col min="9457" max="9459" width="0" style="78" hidden="1" customWidth="1"/>
    <col min="9460" max="9688" width="9.140625" style="78"/>
    <col min="9689" max="9689" width="3" style="78" customWidth="1"/>
    <col min="9690" max="9690" width="18.7109375" style="78" customWidth="1"/>
    <col min="9691" max="9710" width="2.85546875" style="78" customWidth="1"/>
    <col min="9711" max="9711" width="3" style="78" bestFit="1" customWidth="1"/>
    <col min="9712" max="9712" width="10.5703125" style="78" customWidth="1"/>
    <col min="9713" max="9715" width="0" style="78" hidden="1" customWidth="1"/>
    <col min="9716" max="9944" width="9.140625" style="78"/>
    <col min="9945" max="9945" width="3" style="78" customWidth="1"/>
    <col min="9946" max="9946" width="18.7109375" style="78" customWidth="1"/>
    <col min="9947" max="9966" width="2.85546875" style="78" customWidth="1"/>
    <col min="9967" max="9967" width="3" style="78" bestFit="1" customWidth="1"/>
    <col min="9968" max="9968" width="10.5703125" style="78" customWidth="1"/>
    <col min="9969" max="9971" width="0" style="78" hidden="1" customWidth="1"/>
    <col min="9972" max="10200" width="9.140625" style="78"/>
    <col min="10201" max="10201" width="3" style="78" customWidth="1"/>
    <col min="10202" max="10202" width="18.7109375" style="78" customWidth="1"/>
    <col min="10203" max="10222" width="2.85546875" style="78" customWidth="1"/>
    <col min="10223" max="10223" width="3" style="78" bestFit="1" customWidth="1"/>
    <col min="10224" max="10224" width="10.5703125" style="78" customWidth="1"/>
    <col min="10225" max="10227" width="0" style="78" hidden="1" customWidth="1"/>
    <col min="10228" max="10456" width="9.140625" style="78"/>
    <col min="10457" max="10457" width="3" style="78" customWidth="1"/>
    <col min="10458" max="10458" width="18.7109375" style="78" customWidth="1"/>
    <col min="10459" max="10478" width="2.85546875" style="78" customWidth="1"/>
    <col min="10479" max="10479" width="3" style="78" bestFit="1" customWidth="1"/>
    <col min="10480" max="10480" width="10.5703125" style="78" customWidth="1"/>
    <col min="10481" max="10483" width="0" style="78" hidden="1" customWidth="1"/>
    <col min="10484" max="10712" width="9.140625" style="78"/>
    <col min="10713" max="10713" width="3" style="78" customWidth="1"/>
    <col min="10714" max="10714" width="18.7109375" style="78" customWidth="1"/>
    <col min="10715" max="10734" width="2.85546875" style="78" customWidth="1"/>
    <col min="10735" max="10735" width="3" style="78" bestFit="1" customWidth="1"/>
    <col min="10736" max="10736" width="10.5703125" style="78" customWidth="1"/>
    <col min="10737" max="10739" width="0" style="78" hidden="1" customWidth="1"/>
    <col min="10740" max="10968" width="9.140625" style="78"/>
    <col min="10969" max="10969" width="3" style="78" customWidth="1"/>
    <col min="10970" max="10970" width="18.7109375" style="78" customWidth="1"/>
    <col min="10971" max="10990" width="2.85546875" style="78" customWidth="1"/>
    <col min="10991" max="10991" width="3" style="78" bestFit="1" customWidth="1"/>
    <col min="10992" max="10992" width="10.5703125" style="78" customWidth="1"/>
    <col min="10993" max="10995" width="0" style="78" hidden="1" customWidth="1"/>
    <col min="10996" max="11224" width="9.140625" style="78"/>
    <col min="11225" max="11225" width="3" style="78" customWidth="1"/>
    <col min="11226" max="11226" width="18.7109375" style="78" customWidth="1"/>
    <col min="11227" max="11246" width="2.85546875" style="78" customWidth="1"/>
    <col min="11247" max="11247" width="3" style="78" bestFit="1" customWidth="1"/>
    <col min="11248" max="11248" width="10.5703125" style="78" customWidth="1"/>
    <col min="11249" max="11251" width="0" style="78" hidden="1" customWidth="1"/>
    <col min="11252" max="11480" width="9.140625" style="78"/>
    <col min="11481" max="11481" width="3" style="78" customWidth="1"/>
    <col min="11482" max="11482" width="18.7109375" style="78" customWidth="1"/>
    <col min="11483" max="11502" width="2.85546875" style="78" customWidth="1"/>
    <col min="11503" max="11503" width="3" style="78" bestFit="1" customWidth="1"/>
    <col min="11504" max="11504" width="10.5703125" style="78" customWidth="1"/>
    <col min="11505" max="11507" width="0" style="78" hidden="1" customWidth="1"/>
    <col min="11508" max="11736" width="9.140625" style="78"/>
    <col min="11737" max="11737" width="3" style="78" customWidth="1"/>
    <col min="11738" max="11738" width="18.7109375" style="78" customWidth="1"/>
    <col min="11739" max="11758" width="2.85546875" style="78" customWidth="1"/>
    <col min="11759" max="11759" width="3" style="78" bestFit="1" customWidth="1"/>
    <col min="11760" max="11760" width="10.5703125" style="78" customWidth="1"/>
    <col min="11761" max="11763" width="0" style="78" hidden="1" customWidth="1"/>
    <col min="11764" max="11992" width="9.140625" style="78"/>
    <col min="11993" max="11993" width="3" style="78" customWidth="1"/>
    <col min="11994" max="11994" width="18.7109375" style="78" customWidth="1"/>
    <col min="11995" max="12014" width="2.85546875" style="78" customWidth="1"/>
    <col min="12015" max="12015" width="3" style="78" bestFit="1" customWidth="1"/>
    <col min="12016" max="12016" width="10.5703125" style="78" customWidth="1"/>
    <col min="12017" max="12019" width="0" style="78" hidden="1" customWidth="1"/>
    <col min="12020" max="12248" width="9.140625" style="78"/>
    <col min="12249" max="12249" width="3" style="78" customWidth="1"/>
    <col min="12250" max="12250" width="18.7109375" style="78" customWidth="1"/>
    <col min="12251" max="12270" width="2.85546875" style="78" customWidth="1"/>
    <col min="12271" max="12271" width="3" style="78" bestFit="1" customWidth="1"/>
    <col min="12272" max="12272" width="10.5703125" style="78" customWidth="1"/>
    <col min="12273" max="12275" width="0" style="78" hidden="1" customWidth="1"/>
    <col min="12276" max="12504" width="9.140625" style="78"/>
    <col min="12505" max="12505" width="3" style="78" customWidth="1"/>
    <col min="12506" max="12506" width="18.7109375" style="78" customWidth="1"/>
    <col min="12507" max="12526" width="2.85546875" style="78" customWidth="1"/>
    <col min="12527" max="12527" width="3" style="78" bestFit="1" customWidth="1"/>
    <col min="12528" max="12528" width="10.5703125" style="78" customWidth="1"/>
    <col min="12529" max="12531" width="0" style="78" hidden="1" customWidth="1"/>
    <col min="12532" max="12760" width="9.140625" style="78"/>
    <col min="12761" max="12761" width="3" style="78" customWidth="1"/>
    <col min="12762" max="12762" width="18.7109375" style="78" customWidth="1"/>
    <col min="12763" max="12782" width="2.85546875" style="78" customWidth="1"/>
    <col min="12783" max="12783" width="3" style="78" bestFit="1" customWidth="1"/>
    <col min="12784" max="12784" width="10.5703125" style="78" customWidth="1"/>
    <col min="12785" max="12787" width="0" style="78" hidden="1" customWidth="1"/>
    <col min="12788" max="13016" width="9.140625" style="78"/>
    <col min="13017" max="13017" width="3" style="78" customWidth="1"/>
    <col min="13018" max="13018" width="18.7109375" style="78" customWidth="1"/>
    <col min="13019" max="13038" width="2.85546875" style="78" customWidth="1"/>
    <col min="13039" max="13039" width="3" style="78" bestFit="1" customWidth="1"/>
    <col min="13040" max="13040" width="10.5703125" style="78" customWidth="1"/>
    <col min="13041" max="13043" width="0" style="78" hidden="1" customWidth="1"/>
    <col min="13044" max="13272" width="9.140625" style="78"/>
    <col min="13273" max="13273" width="3" style="78" customWidth="1"/>
    <col min="13274" max="13274" width="18.7109375" style="78" customWidth="1"/>
    <col min="13275" max="13294" width="2.85546875" style="78" customWidth="1"/>
    <col min="13295" max="13295" width="3" style="78" bestFit="1" customWidth="1"/>
    <col min="13296" max="13296" width="10.5703125" style="78" customWidth="1"/>
    <col min="13297" max="13299" width="0" style="78" hidden="1" customWidth="1"/>
    <col min="13300" max="13528" width="9.140625" style="78"/>
    <col min="13529" max="13529" width="3" style="78" customWidth="1"/>
    <col min="13530" max="13530" width="18.7109375" style="78" customWidth="1"/>
    <col min="13531" max="13550" width="2.85546875" style="78" customWidth="1"/>
    <col min="13551" max="13551" width="3" style="78" bestFit="1" customWidth="1"/>
    <col min="13552" max="13552" width="10.5703125" style="78" customWidth="1"/>
    <col min="13553" max="13555" width="0" style="78" hidden="1" customWidth="1"/>
    <col min="13556" max="13784" width="9.140625" style="78"/>
    <col min="13785" max="13785" width="3" style="78" customWidth="1"/>
    <col min="13786" max="13786" width="18.7109375" style="78" customWidth="1"/>
    <col min="13787" max="13806" width="2.85546875" style="78" customWidth="1"/>
    <col min="13807" max="13807" width="3" style="78" bestFit="1" customWidth="1"/>
    <col min="13808" max="13808" width="10.5703125" style="78" customWidth="1"/>
    <col min="13809" max="13811" width="0" style="78" hidden="1" customWidth="1"/>
    <col min="13812" max="14040" width="9.140625" style="78"/>
    <col min="14041" max="14041" width="3" style="78" customWidth="1"/>
    <col min="14042" max="14042" width="18.7109375" style="78" customWidth="1"/>
    <col min="14043" max="14062" width="2.85546875" style="78" customWidth="1"/>
    <col min="14063" max="14063" width="3" style="78" bestFit="1" customWidth="1"/>
    <col min="14064" max="14064" width="10.5703125" style="78" customWidth="1"/>
    <col min="14065" max="14067" width="0" style="78" hidden="1" customWidth="1"/>
    <col min="14068" max="14296" width="9.140625" style="78"/>
    <col min="14297" max="14297" width="3" style="78" customWidth="1"/>
    <col min="14298" max="14298" width="18.7109375" style="78" customWidth="1"/>
    <col min="14299" max="14318" width="2.85546875" style="78" customWidth="1"/>
    <col min="14319" max="14319" width="3" style="78" bestFit="1" customWidth="1"/>
    <col min="14320" max="14320" width="10.5703125" style="78" customWidth="1"/>
    <col min="14321" max="14323" width="0" style="78" hidden="1" customWidth="1"/>
    <col min="14324" max="14552" width="9.140625" style="78"/>
    <col min="14553" max="14553" width="3" style="78" customWidth="1"/>
    <col min="14554" max="14554" width="18.7109375" style="78" customWidth="1"/>
    <col min="14555" max="14574" width="2.85546875" style="78" customWidth="1"/>
    <col min="14575" max="14575" width="3" style="78" bestFit="1" customWidth="1"/>
    <col min="14576" max="14576" width="10.5703125" style="78" customWidth="1"/>
    <col min="14577" max="14579" width="0" style="78" hidden="1" customWidth="1"/>
    <col min="14580" max="14808" width="9.140625" style="78"/>
    <col min="14809" max="14809" width="3" style="78" customWidth="1"/>
    <col min="14810" max="14810" width="18.7109375" style="78" customWidth="1"/>
    <col min="14811" max="14830" width="2.85546875" style="78" customWidth="1"/>
    <col min="14831" max="14831" width="3" style="78" bestFit="1" customWidth="1"/>
    <col min="14832" max="14832" width="10.5703125" style="78" customWidth="1"/>
    <col min="14833" max="14835" width="0" style="78" hidden="1" customWidth="1"/>
    <col min="14836" max="15064" width="9.140625" style="78"/>
    <col min="15065" max="15065" width="3" style="78" customWidth="1"/>
    <col min="15066" max="15066" width="18.7109375" style="78" customWidth="1"/>
    <col min="15067" max="15086" width="2.85546875" style="78" customWidth="1"/>
    <col min="15087" max="15087" width="3" style="78" bestFit="1" customWidth="1"/>
    <col min="15088" max="15088" width="10.5703125" style="78" customWidth="1"/>
    <col min="15089" max="15091" width="0" style="78" hidden="1" customWidth="1"/>
    <col min="15092" max="15320" width="9.140625" style="78"/>
    <col min="15321" max="15321" width="3" style="78" customWidth="1"/>
    <col min="15322" max="15322" width="18.7109375" style="78" customWidth="1"/>
    <col min="15323" max="15342" width="2.85546875" style="78" customWidth="1"/>
    <col min="15343" max="15343" width="3" style="78" bestFit="1" customWidth="1"/>
    <col min="15344" max="15344" width="10.5703125" style="78" customWidth="1"/>
    <col min="15345" max="15347" width="0" style="78" hidden="1" customWidth="1"/>
    <col min="15348" max="15576" width="9.140625" style="78"/>
    <col min="15577" max="15577" width="3" style="78" customWidth="1"/>
    <col min="15578" max="15578" width="18.7109375" style="78" customWidth="1"/>
    <col min="15579" max="15598" width="2.85546875" style="78" customWidth="1"/>
    <col min="15599" max="15599" width="3" style="78" bestFit="1" customWidth="1"/>
    <col min="15600" max="15600" width="10.5703125" style="78" customWidth="1"/>
    <col min="15601" max="15603" width="0" style="78" hidden="1" customWidth="1"/>
    <col min="15604" max="15832" width="9.140625" style="78"/>
    <col min="15833" max="15833" width="3" style="78" customWidth="1"/>
    <col min="15834" max="15834" width="18.7109375" style="78" customWidth="1"/>
    <col min="15835" max="15854" width="2.85546875" style="78" customWidth="1"/>
    <col min="15855" max="15855" width="3" style="78" bestFit="1" customWidth="1"/>
    <col min="15856" max="15856" width="10.5703125" style="78" customWidth="1"/>
    <col min="15857" max="15859" width="0" style="78" hidden="1" customWidth="1"/>
    <col min="15860" max="16088" width="9.140625" style="78"/>
    <col min="16089" max="16089" width="3" style="78" customWidth="1"/>
    <col min="16090" max="16090" width="18.7109375" style="78" customWidth="1"/>
    <col min="16091" max="16110" width="2.85546875" style="78" customWidth="1"/>
    <col min="16111" max="16111" width="3" style="78" bestFit="1" customWidth="1"/>
    <col min="16112" max="16112" width="10.5703125" style="78" customWidth="1"/>
    <col min="16113" max="16115" width="0" style="78" hidden="1" customWidth="1"/>
    <col min="16116" max="16384" width="9.140625" style="78"/>
  </cols>
  <sheetData>
    <row r="1" spans="1:36" s="74" customFormat="1" x14ac:dyDescent="0.2">
      <c r="A1" s="605" t="str">
        <f>UPPER((Kalend!E14)&amp;" - "&amp;(Kalend!C14)&amp;" - "&amp;(Kalend!D14))</f>
        <v>3M - 18. EESTI MV - TULISTAMINE</v>
      </c>
      <c r="B1" s="130"/>
      <c r="C1" s="130"/>
      <c r="D1" s="130"/>
      <c r="E1" s="130"/>
      <c r="I1" s="267" t="s">
        <v>165</v>
      </c>
      <c r="Q1" s="46" t="str">
        <f>HYPERLINK("#Üldreiting!I1","Reiting")</f>
        <v>Reiting</v>
      </c>
      <c r="R1" s="130"/>
      <c r="S1" s="130"/>
      <c r="T1" s="130"/>
      <c r="U1" s="130"/>
      <c r="Y1" s="49"/>
      <c r="AH1" s="683" t="s">
        <v>774</v>
      </c>
      <c r="AI1" s="798"/>
      <c r="AJ1" s="798"/>
    </row>
    <row r="2" spans="1:36" s="74" customFormat="1" x14ac:dyDescent="0.2">
      <c r="A2" s="67" t="str">
        <f>"Toimumisaeg: "&amp;(Kalend!A14)&amp;" kell "&amp;(Kalend!B14)</f>
        <v>Toimumisaeg: L, 30.06.2018 kell 10:00</v>
      </c>
      <c r="B2" s="130"/>
      <c r="C2" s="130"/>
      <c r="D2" s="130"/>
      <c r="E2" s="130"/>
      <c r="O2" s="130"/>
      <c r="P2" s="130"/>
      <c r="Q2" s="130"/>
      <c r="R2" s="130"/>
      <c r="S2" s="130"/>
      <c r="T2" s="130"/>
      <c r="Y2" s="49"/>
    </row>
    <row r="3" spans="1:36" s="74" customFormat="1" x14ac:dyDescent="0.2">
      <c r="A3" s="67" t="str">
        <f>"Toimumiskoht: "&amp;(Kalend!H14)</f>
        <v>Toimumiskoht: Tartu</v>
      </c>
      <c r="B3" s="130"/>
      <c r="C3" s="130"/>
      <c r="D3" s="130"/>
      <c r="E3" s="130"/>
      <c r="O3" s="130"/>
      <c r="P3" s="130"/>
      <c r="Q3" s="130"/>
      <c r="R3" s="130"/>
      <c r="S3" s="130"/>
      <c r="T3" s="130"/>
      <c r="Y3" s="49"/>
    </row>
    <row r="4" spans="1:36" s="74" customFormat="1" x14ac:dyDescent="0.2">
      <c r="A4" s="67" t="str">
        <f>"Korraldaja: "&amp;(Kalend!I14)</f>
        <v xml:space="preserve">Korraldaja: </v>
      </c>
      <c r="B4" s="130"/>
      <c r="Y4" s="49"/>
    </row>
    <row r="5" spans="1:36" s="74" customFormat="1" ht="13.5" thickBot="1" x14ac:dyDescent="0.25">
      <c r="A5" s="130"/>
      <c r="B5" s="130"/>
      <c r="C5" s="131"/>
      <c r="D5" s="131"/>
      <c r="E5" s="131"/>
      <c r="F5" s="131"/>
      <c r="G5" s="131"/>
      <c r="H5" s="131"/>
      <c r="I5" s="131"/>
      <c r="J5" s="131"/>
      <c r="K5" s="131"/>
      <c r="L5" s="49"/>
      <c r="M5" s="49"/>
      <c r="N5" s="49"/>
      <c r="O5" s="49"/>
      <c r="P5" s="49"/>
      <c r="Q5" s="49"/>
      <c r="R5" s="49"/>
      <c r="S5" s="49"/>
      <c r="T5" s="49"/>
      <c r="U5" s="49"/>
      <c r="V5" s="49"/>
      <c r="W5" s="49"/>
      <c r="X5" s="49"/>
      <c r="Y5" s="49"/>
      <c r="AH5" s="681" t="s">
        <v>771</v>
      </c>
      <c r="AI5" s="69"/>
      <c r="AJ5" s="69"/>
    </row>
    <row r="6" spans="1:36" ht="58.5"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c r="AH6" s="667" t="s">
        <v>190</v>
      </c>
      <c r="AI6" s="625"/>
      <c r="AJ6" s="625"/>
    </row>
    <row r="7" spans="1:36" s="79" customFormat="1" ht="13.5" thickBot="1" x14ac:dyDescent="0.25">
      <c r="A7" s="269"/>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160" t="s">
        <v>153</v>
      </c>
      <c r="X7" s="161" t="s">
        <v>219</v>
      </c>
      <c r="Y7" s="161" t="s">
        <v>564</v>
      </c>
      <c r="AH7" s="667" t="s">
        <v>764</v>
      </c>
      <c r="AI7" s="670" t="s">
        <v>765</v>
      </c>
      <c r="AJ7" s="670"/>
    </row>
    <row r="8" spans="1:36" ht="13.5" thickBot="1" x14ac:dyDescent="0.25">
      <c r="A8" s="270" t="s">
        <v>567</v>
      </c>
      <c r="B8" s="347" t="s">
        <v>218</v>
      </c>
      <c r="C8" s="164"/>
      <c r="D8" s="165"/>
      <c r="E8" s="165"/>
      <c r="F8" s="709"/>
      <c r="G8" s="705"/>
      <c r="H8" s="165"/>
      <c r="I8" s="165"/>
      <c r="J8" s="166"/>
      <c r="K8" s="164"/>
      <c r="L8" s="165"/>
      <c r="M8" s="165"/>
      <c r="N8" s="709"/>
      <c r="O8" s="705"/>
      <c r="P8" s="165"/>
      <c r="Q8" s="165"/>
      <c r="R8" s="166"/>
      <c r="S8" s="164"/>
      <c r="T8" s="165"/>
      <c r="U8" s="165"/>
      <c r="V8" s="709"/>
      <c r="W8" s="701"/>
      <c r="X8" s="167"/>
      <c r="Y8" s="271"/>
      <c r="AH8" s="667" t="s">
        <v>769</v>
      </c>
      <c r="AI8" s="625"/>
      <c r="AJ8" s="625"/>
    </row>
    <row r="9" spans="1:36" ht="14.25" thickTop="1" thickBot="1" x14ac:dyDescent="0.25">
      <c r="A9" s="272">
        <v>1</v>
      </c>
      <c r="B9" s="273" t="s">
        <v>37</v>
      </c>
      <c r="C9" s="436">
        <v>5</v>
      </c>
      <c r="D9" s="275">
        <v>3</v>
      </c>
      <c r="E9" s="275">
        <v>0</v>
      </c>
      <c r="F9" s="436">
        <v>5</v>
      </c>
      <c r="G9" s="706">
        <v>0</v>
      </c>
      <c r="H9" s="436">
        <v>5</v>
      </c>
      <c r="I9" s="275">
        <v>0</v>
      </c>
      <c r="J9" s="687">
        <v>0</v>
      </c>
      <c r="K9" s="274">
        <v>3</v>
      </c>
      <c r="L9" s="275">
        <v>1</v>
      </c>
      <c r="M9" s="275">
        <v>1</v>
      </c>
      <c r="N9" s="368">
        <v>0</v>
      </c>
      <c r="O9" s="436">
        <v>5</v>
      </c>
      <c r="P9" s="275">
        <v>0</v>
      </c>
      <c r="Q9" s="275">
        <v>3</v>
      </c>
      <c r="R9" s="687">
        <v>0</v>
      </c>
      <c r="S9" s="274">
        <v>0</v>
      </c>
      <c r="T9" s="275">
        <v>0</v>
      </c>
      <c r="U9" s="275">
        <v>0</v>
      </c>
      <c r="V9" s="368">
        <v>0</v>
      </c>
      <c r="W9" s="702">
        <f t="shared" ref="W9:W34" si="0">SUM(C9:V9)+COUNTIF(C9:V9,5)/100+COUNTIF(C9:V9,3)/10000</f>
        <v>31.040299999999998</v>
      </c>
      <c r="X9" s="276" t="str">
        <f t="shared" ref="X9:X34" si="1">IF(COUNTA(C9:V9)=0,"",IF(RANK(W9,W$9:W$34)&lt;5,"edasi "&amp;RANK(W9,W$9:W$34),IF(RANK(W9,W$9:W$34)&lt;13,"vahevooru "&amp;RANK(W9,W$9:W$34)-4,RANK(W9,W$9:W$34))))</f>
        <v>edasi 1</v>
      </c>
      <c r="Y9" s="90"/>
      <c r="AH9" s="672">
        <f t="shared" ref="AH9:AH16" ca="1" si="2">SUM(AJ300:AR300)</f>
        <v>701</v>
      </c>
      <c r="AI9" s="676" t="str">
        <f t="shared" ref="AI9:AI16" ca="1" si="3">B300</f>
        <v>Aimar Poom</v>
      </c>
      <c r="AJ9" s="675">
        <f ca="1">IFERROR(INDEX(Üldreiting!$M:$M,MATCH(AI9,Üldreiting!$H:$H,0)),"")</f>
        <v>701</v>
      </c>
    </row>
    <row r="10" spans="1:36" ht="14.25" thickTop="1" thickBot="1" x14ac:dyDescent="0.25">
      <c r="A10" s="272">
        <v>13</v>
      </c>
      <c r="B10" s="690" t="s">
        <v>380</v>
      </c>
      <c r="C10" s="274">
        <v>0</v>
      </c>
      <c r="D10" s="275">
        <v>1</v>
      </c>
      <c r="E10" s="275">
        <v>0</v>
      </c>
      <c r="F10" s="368">
        <v>0</v>
      </c>
      <c r="G10" s="706">
        <v>3</v>
      </c>
      <c r="H10" s="275">
        <v>3</v>
      </c>
      <c r="I10" s="275">
        <v>3</v>
      </c>
      <c r="J10" s="687">
        <v>3</v>
      </c>
      <c r="K10" s="274">
        <v>0</v>
      </c>
      <c r="L10" s="275">
        <v>3</v>
      </c>
      <c r="M10" s="275">
        <v>0</v>
      </c>
      <c r="N10" s="368">
        <v>0</v>
      </c>
      <c r="O10" s="706">
        <v>3</v>
      </c>
      <c r="P10" s="275">
        <v>1</v>
      </c>
      <c r="Q10" s="275">
        <v>0</v>
      </c>
      <c r="R10" s="687">
        <v>0</v>
      </c>
      <c r="S10" s="274">
        <v>3</v>
      </c>
      <c r="T10" s="275">
        <v>0</v>
      </c>
      <c r="U10" s="436">
        <v>5</v>
      </c>
      <c r="V10" s="368">
        <v>3</v>
      </c>
      <c r="W10" s="702">
        <f t="shared" si="0"/>
        <v>31.010800000000003</v>
      </c>
      <c r="X10" s="276" t="str">
        <f t="shared" si="1"/>
        <v>edasi 2</v>
      </c>
      <c r="AH10" s="672">
        <f t="shared" ca="1" si="2"/>
        <v>695</v>
      </c>
      <c r="AI10" s="676" t="str">
        <f t="shared" ca="1" si="3"/>
        <v>Ivar Viljaste</v>
      </c>
      <c r="AJ10" s="675">
        <f ca="1">IFERROR(INDEX(Üldreiting!$M:$M,MATCH(AI10,Üldreiting!$H:$H,0)),"")</f>
        <v>695</v>
      </c>
    </row>
    <row r="11" spans="1:36" ht="14.25" thickTop="1" thickBot="1" x14ac:dyDescent="0.25">
      <c r="A11" s="272">
        <v>15</v>
      </c>
      <c r="B11" s="691" t="s">
        <v>66</v>
      </c>
      <c r="C11" s="274">
        <v>0</v>
      </c>
      <c r="D11" s="275">
        <v>3</v>
      </c>
      <c r="E11" s="275">
        <v>0</v>
      </c>
      <c r="F11" s="368">
        <v>0</v>
      </c>
      <c r="G11" s="706">
        <v>0</v>
      </c>
      <c r="H11" s="275">
        <v>0</v>
      </c>
      <c r="I11" s="275">
        <v>3</v>
      </c>
      <c r="J11" s="687">
        <v>0</v>
      </c>
      <c r="K11" s="274">
        <v>3</v>
      </c>
      <c r="L11" s="275">
        <v>1</v>
      </c>
      <c r="M11" s="275">
        <v>3</v>
      </c>
      <c r="N11" s="368">
        <v>0</v>
      </c>
      <c r="O11" s="706">
        <v>3</v>
      </c>
      <c r="P11" s="275">
        <v>1</v>
      </c>
      <c r="Q11" s="275">
        <v>0</v>
      </c>
      <c r="R11" s="687">
        <v>0</v>
      </c>
      <c r="S11" s="436">
        <v>5</v>
      </c>
      <c r="T11" s="275">
        <v>0</v>
      </c>
      <c r="U11" s="275">
        <v>0</v>
      </c>
      <c r="V11" s="368">
        <v>0</v>
      </c>
      <c r="W11" s="702">
        <f t="shared" si="0"/>
        <v>22.0105</v>
      </c>
      <c r="X11" s="276" t="str">
        <f t="shared" si="1"/>
        <v>edasi 3</v>
      </c>
      <c r="Y11" s="90"/>
      <c r="AH11" s="672">
        <f t="shared" ca="1" si="2"/>
        <v>489</v>
      </c>
      <c r="AI11" s="676" t="str">
        <f t="shared" ca="1" si="3"/>
        <v>Ülo Piik</v>
      </c>
      <c r="AJ11" s="675">
        <f ca="1">IFERROR(INDEX(Üldreiting!$M:$M,MATCH(AI11,Üldreiting!$H:$H,0)),"")</f>
        <v>489</v>
      </c>
    </row>
    <row r="12" spans="1:36" ht="14.25" thickTop="1" thickBot="1" x14ac:dyDescent="0.25">
      <c r="A12" s="272">
        <v>8</v>
      </c>
      <c r="B12" s="691" t="s">
        <v>79</v>
      </c>
      <c r="C12" s="436">
        <v>5</v>
      </c>
      <c r="D12" s="275">
        <v>0</v>
      </c>
      <c r="E12" s="275">
        <v>0</v>
      </c>
      <c r="F12" s="368">
        <v>3</v>
      </c>
      <c r="G12" s="706">
        <v>0</v>
      </c>
      <c r="H12" s="275">
        <v>0</v>
      </c>
      <c r="I12" s="275">
        <v>0</v>
      </c>
      <c r="J12" s="687">
        <v>3</v>
      </c>
      <c r="K12" s="274">
        <v>1</v>
      </c>
      <c r="L12" s="275">
        <v>0</v>
      </c>
      <c r="M12" s="275">
        <v>3</v>
      </c>
      <c r="N12" s="368">
        <v>0</v>
      </c>
      <c r="O12" s="706">
        <v>0</v>
      </c>
      <c r="P12" s="275">
        <v>0</v>
      </c>
      <c r="Q12" s="275">
        <v>3</v>
      </c>
      <c r="R12" s="687">
        <v>0</v>
      </c>
      <c r="S12" s="274">
        <v>0</v>
      </c>
      <c r="T12" s="275">
        <v>0</v>
      </c>
      <c r="U12" s="275">
        <v>3</v>
      </c>
      <c r="V12" s="368">
        <v>0</v>
      </c>
      <c r="W12" s="702">
        <f t="shared" si="0"/>
        <v>21.0105</v>
      </c>
      <c r="X12" s="276" t="str">
        <f t="shared" si="1"/>
        <v>edasi 4</v>
      </c>
      <c r="AH12" s="672">
        <f t="shared" ca="1" si="2"/>
        <v>293</v>
      </c>
      <c r="AI12" s="676" t="str">
        <f t="shared" ca="1" si="3"/>
        <v>Allar Elerand</v>
      </c>
      <c r="AJ12" s="675">
        <f ca="1">IFERROR(INDEX(Üldreiting!$M:$M,MATCH(AI12,Üldreiting!$H:$H,0)),"")</f>
        <v>293</v>
      </c>
    </row>
    <row r="13" spans="1:36" ht="14.25" thickTop="1" thickBot="1" x14ac:dyDescent="0.25">
      <c r="A13" s="277">
        <v>25</v>
      </c>
      <c r="B13" s="278" t="s">
        <v>789</v>
      </c>
      <c r="C13" s="279">
        <v>3</v>
      </c>
      <c r="D13" s="437">
        <v>5</v>
      </c>
      <c r="E13" s="280">
        <v>1</v>
      </c>
      <c r="F13" s="369">
        <v>0</v>
      </c>
      <c r="G13" s="707">
        <v>0</v>
      </c>
      <c r="H13" s="280">
        <v>0</v>
      </c>
      <c r="I13" s="280">
        <v>0</v>
      </c>
      <c r="J13" s="688">
        <v>3</v>
      </c>
      <c r="K13" s="279">
        <v>0</v>
      </c>
      <c r="L13" s="280">
        <v>0</v>
      </c>
      <c r="M13" s="280">
        <v>3</v>
      </c>
      <c r="N13" s="369">
        <v>0</v>
      </c>
      <c r="O13" s="707">
        <v>0</v>
      </c>
      <c r="P13" s="280">
        <v>0</v>
      </c>
      <c r="Q13" s="280">
        <v>0</v>
      </c>
      <c r="R13" s="688">
        <v>0</v>
      </c>
      <c r="S13" s="279">
        <v>0</v>
      </c>
      <c r="T13" s="280">
        <v>0</v>
      </c>
      <c r="U13" s="280">
        <v>0</v>
      </c>
      <c r="V13" s="437">
        <v>5</v>
      </c>
      <c r="W13" s="703">
        <f t="shared" si="0"/>
        <v>20.020299999999999</v>
      </c>
      <c r="X13" s="281" t="str">
        <f t="shared" si="1"/>
        <v>vahevooru 1</v>
      </c>
      <c r="AH13" s="672">
        <f t="shared" ca="1" si="2"/>
        <v>775</v>
      </c>
      <c r="AI13" s="676" t="str">
        <f t="shared" si="3"/>
        <v>Andero Kelu</v>
      </c>
      <c r="AJ13" s="675">
        <f ca="1">IFERROR(INDEX(Üldreiting!$M:$M,MATCH(AI13,Üldreiting!$H:$H,0)),"")</f>
        <v>775</v>
      </c>
    </row>
    <row r="14" spans="1:36" ht="14.25" thickTop="1" thickBot="1" x14ac:dyDescent="0.25">
      <c r="A14" s="277">
        <v>2</v>
      </c>
      <c r="B14" s="692" t="s">
        <v>63</v>
      </c>
      <c r="C14" s="279">
        <v>1</v>
      </c>
      <c r="D14" s="280">
        <v>0</v>
      </c>
      <c r="E14" s="280">
        <v>0</v>
      </c>
      <c r="F14" s="369">
        <v>0</v>
      </c>
      <c r="G14" s="437">
        <v>5</v>
      </c>
      <c r="H14" s="280">
        <v>0</v>
      </c>
      <c r="I14" s="280">
        <v>0</v>
      </c>
      <c r="J14" s="688">
        <v>0</v>
      </c>
      <c r="K14" s="279">
        <v>0</v>
      </c>
      <c r="L14" s="437">
        <v>5</v>
      </c>
      <c r="M14" s="280">
        <v>0</v>
      </c>
      <c r="N14" s="369">
        <v>0</v>
      </c>
      <c r="O14" s="707">
        <v>3</v>
      </c>
      <c r="P14" s="280">
        <v>0</v>
      </c>
      <c r="Q14" s="280">
        <v>0</v>
      </c>
      <c r="R14" s="688">
        <v>0</v>
      </c>
      <c r="S14" s="437">
        <v>5</v>
      </c>
      <c r="T14" s="280">
        <v>0</v>
      </c>
      <c r="U14" s="280">
        <v>0</v>
      </c>
      <c r="V14" s="369">
        <v>0</v>
      </c>
      <c r="W14" s="703">
        <f t="shared" si="0"/>
        <v>19.030100000000001</v>
      </c>
      <c r="X14" s="281" t="str">
        <f t="shared" si="1"/>
        <v>vahevooru 2</v>
      </c>
      <c r="AH14" s="672">
        <f t="shared" ca="1" si="2"/>
        <v>720</v>
      </c>
      <c r="AI14" s="676" t="str">
        <f t="shared" si="3"/>
        <v>Kaido Kopel</v>
      </c>
      <c r="AJ14" s="675">
        <f ca="1">IFERROR(INDEX(Üldreiting!$M:$M,MATCH(AI14,Üldreiting!$H:$H,0)),"")</f>
        <v>720</v>
      </c>
    </row>
    <row r="15" spans="1:36" ht="14.25" thickTop="1" thickBot="1" x14ac:dyDescent="0.25">
      <c r="A15" s="277">
        <v>21</v>
      </c>
      <c r="B15" s="692" t="s">
        <v>30</v>
      </c>
      <c r="C15" s="279">
        <v>3</v>
      </c>
      <c r="D15" s="280">
        <v>0</v>
      </c>
      <c r="E15" s="280">
        <v>0</v>
      </c>
      <c r="F15" s="369">
        <v>0</v>
      </c>
      <c r="G15" s="707">
        <v>0</v>
      </c>
      <c r="H15" s="280">
        <v>0</v>
      </c>
      <c r="I15" s="280">
        <v>0</v>
      </c>
      <c r="J15" s="688">
        <v>0</v>
      </c>
      <c r="K15" s="279">
        <v>3</v>
      </c>
      <c r="L15" s="280">
        <v>0</v>
      </c>
      <c r="M15" s="280">
        <v>0</v>
      </c>
      <c r="N15" s="369">
        <v>0</v>
      </c>
      <c r="O15" s="707">
        <v>0</v>
      </c>
      <c r="P15" s="280">
        <v>0</v>
      </c>
      <c r="Q15" s="280">
        <v>3</v>
      </c>
      <c r="R15" s="688">
        <v>0</v>
      </c>
      <c r="S15" s="279">
        <v>0</v>
      </c>
      <c r="T15" s="437">
        <v>5</v>
      </c>
      <c r="U15" s="437">
        <v>5</v>
      </c>
      <c r="V15" s="369">
        <v>0</v>
      </c>
      <c r="W15" s="703">
        <f t="shared" si="0"/>
        <v>19.020299999999999</v>
      </c>
      <c r="X15" s="281" t="str">
        <f t="shared" si="1"/>
        <v>vahevooru 3</v>
      </c>
      <c r="AH15" s="672">
        <f t="shared" ca="1" si="2"/>
        <v>181</v>
      </c>
      <c r="AI15" s="676" t="str">
        <f t="shared" si="3"/>
        <v>Janek Tarto</v>
      </c>
      <c r="AJ15" s="675">
        <f ca="1">IFERROR(INDEX(Üldreiting!$M:$M,MATCH(AI15,Üldreiting!$H:$H,0)),"")</f>
        <v>181</v>
      </c>
    </row>
    <row r="16" spans="1:36" ht="14.25" thickTop="1" thickBot="1" x14ac:dyDescent="0.25">
      <c r="A16" s="277">
        <v>3</v>
      </c>
      <c r="B16" s="692" t="s">
        <v>179</v>
      </c>
      <c r="C16" s="279">
        <v>3</v>
      </c>
      <c r="D16" s="280">
        <v>0</v>
      </c>
      <c r="E16" s="280">
        <v>3</v>
      </c>
      <c r="F16" s="369">
        <v>0</v>
      </c>
      <c r="G16" s="707">
        <v>3</v>
      </c>
      <c r="H16" s="280">
        <v>3</v>
      </c>
      <c r="I16" s="280">
        <v>3</v>
      </c>
      <c r="J16" s="688">
        <v>0</v>
      </c>
      <c r="K16" s="279">
        <v>0</v>
      </c>
      <c r="L16" s="280">
        <v>1</v>
      </c>
      <c r="M16" s="280">
        <v>0</v>
      </c>
      <c r="N16" s="369">
        <v>0</v>
      </c>
      <c r="O16" s="707">
        <v>0</v>
      </c>
      <c r="P16" s="280">
        <v>3</v>
      </c>
      <c r="Q16" s="280">
        <v>0</v>
      </c>
      <c r="R16" s="688">
        <v>0</v>
      </c>
      <c r="S16" s="279">
        <v>0</v>
      </c>
      <c r="T16" s="280">
        <v>0</v>
      </c>
      <c r="U16" s="280">
        <v>0</v>
      </c>
      <c r="V16" s="369">
        <v>0</v>
      </c>
      <c r="W16" s="703">
        <f t="shared" si="0"/>
        <v>19.000599999999999</v>
      </c>
      <c r="X16" s="281" t="str">
        <f t="shared" si="1"/>
        <v>vahevooru 4</v>
      </c>
      <c r="Y16" s="90"/>
      <c r="Z16" s="89"/>
      <c r="AA16" s="90"/>
      <c r="AB16" s="90"/>
      <c r="AH16" s="672">
        <f t="shared" ca="1" si="2"/>
        <v>1136</v>
      </c>
      <c r="AI16" s="676" t="str">
        <f t="shared" si="3"/>
        <v>Urmo Auväärt</v>
      </c>
      <c r="AJ16" s="675">
        <f ca="1">IFERROR(INDEX(Üldreiting!$M:$M,MATCH(AI16,Üldreiting!$H:$H,0)),"")</f>
        <v>1136</v>
      </c>
    </row>
    <row r="17" spans="1:36" ht="14.25" thickTop="1" thickBot="1" x14ac:dyDescent="0.25">
      <c r="A17" s="277">
        <v>9</v>
      </c>
      <c r="B17" s="693" t="s">
        <v>633</v>
      </c>
      <c r="C17" s="279">
        <v>0</v>
      </c>
      <c r="D17" s="280">
        <v>0</v>
      </c>
      <c r="E17" s="280">
        <v>3</v>
      </c>
      <c r="F17" s="369">
        <v>3</v>
      </c>
      <c r="G17" s="707">
        <v>0</v>
      </c>
      <c r="H17" s="280">
        <v>0</v>
      </c>
      <c r="I17" s="280">
        <v>0</v>
      </c>
      <c r="J17" s="711">
        <v>0</v>
      </c>
      <c r="K17" s="279">
        <v>1</v>
      </c>
      <c r="L17" s="280">
        <v>0</v>
      </c>
      <c r="M17" s="280">
        <v>0</v>
      </c>
      <c r="N17" s="369">
        <v>0</v>
      </c>
      <c r="O17" s="707">
        <v>0</v>
      </c>
      <c r="P17" s="280">
        <v>0</v>
      </c>
      <c r="Q17" s="280">
        <v>0</v>
      </c>
      <c r="R17" s="688">
        <v>0</v>
      </c>
      <c r="S17" s="279">
        <v>0</v>
      </c>
      <c r="T17" s="280">
        <v>3</v>
      </c>
      <c r="U17" s="437">
        <v>5</v>
      </c>
      <c r="V17" s="369">
        <v>3</v>
      </c>
      <c r="W17" s="703">
        <f t="shared" si="0"/>
        <v>18.010400000000001</v>
      </c>
      <c r="X17" s="281" t="str">
        <f t="shared" si="1"/>
        <v>vahevooru 5</v>
      </c>
      <c r="Y17" s="90"/>
      <c r="Z17" s="90"/>
      <c r="AA17" s="90"/>
      <c r="AB17" s="90"/>
      <c r="AH17" s="672">
        <f t="shared" ref="AH17:AH28" ca="1" si="4">SUM(AJ308:AR308)</f>
        <v>863.5</v>
      </c>
      <c r="AI17" s="676" t="str">
        <f t="shared" ref="AI17:AI28" si="5">B308</f>
        <v>Janek Kiisk</v>
      </c>
      <c r="AJ17" s="675">
        <f ca="1">IFERROR(INDEX(Üldreiting!$M:$M,MATCH(AI17,Üldreiting!$H:$H,0)),"")</f>
        <v>863.5</v>
      </c>
    </row>
    <row r="18" spans="1:36" ht="14.25" thickTop="1" thickBot="1" x14ac:dyDescent="0.25">
      <c r="A18" s="277">
        <v>26</v>
      </c>
      <c r="B18" s="694" t="s">
        <v>40</v>
      </c>
      <c r="C18" s="279">
        <v>3</v>
      </c>
      <c r="D18" s="280">
        <v>0</v>
      </c>
      <c r="E18" s="280">
        <v>0</v>
      </c>
      <c r="F18" s="369">
        <v>0</v>
      </c>
      <c r="G18" s="707">
        <v>0</v>
      </c>
      <c r="H18" s="280">
        <v>3</v>
      </c>
      <c r="I18" s="710">
        <v>0</v>
      </c>
      <c r="J18" s="369">
        <v>0</v>
      </c>
      <c r="K18" s="279">
        <v>0</v>
      </c>
      <c r="L18" s="280">
        <v>0</v>
      </c>
      <c r="M18" s="280">
        <v>3</v>
      </c>
      <c r="N18" s="369">
        <v>0</v>
      </c>
      <c r="O18" s="707">
        <v>0</v>
      </c>
      <c r="P18" s="280">
        <v>0</v>
      </c>
      <c r="Q18" s="280">
        <v>0</v>
      </c>
      <c r="R18" s="688">
        <v>3</v>
      </c>
      <c r="S18" s="279">
        <v>0</v>
      </c>
      <c r="T18" s="280">
        <v>0</v>
      </c>
      <c r="U18" s="437">
        <v>5</v>
      </c>
      <c r="V18" s="369">
        <v>0</v>
      </c>
      <c r="W18" s="703">
        <f t="shared" si="0"/>
        <v>17.010400000000001</v>
      </c>
      <c r="X18" s="281" t="str">
        <f t="shared" si="1"/>
        <v>vahevooru 6</v>
      </c>
      <c r="Y18" s="90"/>
      <c r="Z18" s="90"/>
      <c r="AA18" s="90"/>
      <c r="AB18" s="90"/>
      <c r="AH18" s="672">
        <f t="shared" ca="1" si="4"/>
        <v>972</v>
      </c>
      <c r="AI18" s="676" t="str">
        <f t="shared" si="5"/>
        <v>Ruudi Väärtnõu</v>
      </c>
      <c r="AJ18" s="675">
        <f ca="1">IFERROR(INDEX(Üldreiting!$M:$M,MATCH(AI18,Üldreiting!$H:$H,0)),"")</f>
        <v>972</v>
      </c>
    </row>
    <row r="19" spans="1:36" ht="14.25" thickTop="1" thickBot="1" x14ac:dyDescent="0.25">
      <c r="A19" s="277">
        <v>23</v>
      </c>
      <c r="B19" s="695" t="s">
        <v>64</v>
      </c>
      <c r="C19" s="279">
        <v>0</v>
      </c>
      <c r="D19" s="280">
        <v>1</v>
      </c>
      <c r="E19" s="280">
        <v>3</v>
      </c>
      <c r="F19" s="369">
        <v>0</v>
      </c>
      <c r="G19" s="707">
        <v>0</v>
      </c>
      <c r="H19" s="280">
        <v>1</v>
      </c>
      <c r="I19" s="280">
        <v>3</v>
      </c>
      <c r="J19" s="712">
        <v>0</v>
      </c>
      <c r="K19" s="279">
        <v>0</v>
      </c>
      <c r="L19" s="280">
        <v>3</v>
      </c>
      <c r="M19" s="280">
        <v>1</v>
      </c>
      <c r="N19" s="369">
        <v>0</v>
      </c>
      <c r="O19" s="707">
        <v>0</v>
      </c>
      <c r="P19" s="280">
        <v>0</v>
      </c>
      <c r="Q19" s="280">
        <v>0</v>
      </c>
      <c r="R19" s="437">
        <v>5</v>
      </c>
      <c r="S19" s="279">
        <v>0</v>
      </c>
      <c r="T19" s="280">
        <v>0</v>
      </c>
      <c r="U19" s="280">
        <v>0</v>
      </c>
      <c r="V19" s="369">
        <v>0</v>
      </c>
      <c r="W19" s="703">
        <f t="shared" si="0"/>
        <v>17.010300000000001</v>
      </c>
      <c r="X19" s="281" t="str">
        <f t="shared" si="1"/>
        <v>vahevooru 7</v>
      </c>
      <c r="AH19" s="672">
        <f t="shared" ca="1" si="4"/>
        <v>178</v>
      </c>
      <c r="AI19" s="676" t="str">
        <f t="shared" si="5"/>
        <v>Anti Alasi</v>
      </c>
      <c r="AJ19" s="675">
        <f ca="1">IFERROR(INDEX(Üldreiting!$M:$M,MATCH(AI19,Üldreiting!$H:$H,0)),"")</f>
        <v>178</v>
      </c>
    </row>
    <row r="20" spans="1:36" ht="14.25" thickTop="1" thickBot="1" x14ac:dyDescent="0.25">
      <c r="A20" s="277">
        <v>5</v>
      </c>
      <c r="B20" s="696" t="s">
        <v>296</v>
      </c>
      <c r="C20" s="279">
        <v>0</v>
      </c>
      <c r="D20" s="280">
        <v>0</v>
      </c>
      <c r="E20" s="280">
        <v>0</v>
      </c>
      <c r="F20" s="369">
        <v>0</v>
      </c>
      <c r="G20" s="707">
        <v>0</v>
      </c>
      <c r="H20" s="280">
        <v>0</v>
      </c>
      <c r="I20" s="280">
        <v>0</v>
      </c>
      <c r="J20" s="688">
        <v>0</v>
      </c>
      <c r="K20" s="279">
        <v>0</v>
      </c>
      <c r="L20" s="280">
        <v>0</v>
      </c>
      <c r="M20" s="280">
        <v>0</v>
      </c>
      <c r="N20" s="369">
        <v>0</v>
      </c>
      <c r="O20" s="707">
        <v>0</v>
      </c>
      <c r="P20" s="280">
        <v>0</v>
      </c>
      <c r="Q20" s="280">
        <v>0</v>
      </c>
      <c r="R20" s="688">
        <v>3</v>
      </c>
      <c r="S20" s="437">
        <v>5</v>
      </c>
      <c r="T20" s="437">
        <v>5</v>
      </c>
      <c r="U20" s="280">
        <v>3</v>
      </c>
      <c r="V20" s="369">
        <v>0</v>
      </c>
      <c r="W20" s="703">
        <f t="shared" si="0"/>
        <v>16.020199999999999</v>
      </c>
      <c r="X20" s="281" t="str">
        <f t="shared" si="1"/>
        <v>vahevooru 8</v>
      </c>
      <c r="Y20" s="90"/>
      <c r="AH20" s="672">
        <f t="shared" ca="1" si="4"/>
        <v>826</v>
      </c>
      <c r="AI20" s="676" t="str">
        <f t="shared" si="5"/>
        <v>Silver Kingissepp</v>
      </c>
      <c r="AJ20" s="675">
        <f ca="1">IFERROR(INDEX(Üldreiting!$M:$M,MATCH(AI20,Üldreiting!$H:$H,0)),"")</f>
        <v>826</v>
      </c>
    </row>
    <row r="21" spans="1:36" ht="14.25" thickTop="1" thickBot="1" x14ac:dyDescent="0.25">
      <c r="A21" s="283">
        <v>7</v>
      </c>
      <c r="B21" s="697" t="s">
        <v>534</v>
      </c>
      <c r="C21" s="284">
        <v>0</v>
      </c>
      <c r="D21" s="285">
        <v>3</v>
      </c>
      <c r="E21" s="285">
        <v>0</v>
      </c>
      <c r="F21" s="370">
        <v>0</v>
      </c>
      <c r="G21" s="708">
        <v>0</v>
      </c>
      <c r="H21" s="285">
        <v>0</v>
      </c>
      <c r="I21" s="285">
        <v>0</v>
      </c>
      <c r="J21" s="689">
        <v>0</v>
      </c>
      <c r="K21" s="284">
        <v>1</v>
      </c>
      <c r="L21" s="285">
        <v>1</v>
      </c>
      <c r="M21" s="285">
        <v>0</v>
      </c>
      <c r="N21" s="370">
        <v>0</v>
      </c>
      <c r="O21" s="708">
        <v>3</v>
      </c>
      <c r="P21" s="285">
        <v>0</v>
      </c>
      <c r="Q21" s="285">
        <v>0</v>
      </c>
      <c r="R21" s="689">
        <v>0</v>
      </c>
      <c r="S21" s="438">
        <v>5</v>
      </c>
      <c r="T21" s="285">
        <v>0</v>
      </c>
      <c r="U21" s="285">
        <v>0</v>
      </c>
      <c r="V21" s="370">
        <v>3</v>
      </c>
      <c r="W21" s="704">
        <f t="shared" si="0"/>
        <v>16.010300000000001</v>
      </c>
      <c r="X21" s="286">
        <f t="shared" si="1"/>
        <v>13</v>
      </c>
      <c r="AH21" s="672">
        <f t="shared" ca="1" si="4"/>
        <v>320</v>
      </c>
      <c r="AI21" s="676" t="str">
        <f t="shared" si="5"/>
        <v>Alari Keedus</v>
      </c>
      <c r="AJ21" s="675">
        <f ca="1">IFERROR(INDEX(Üldreiting!$M:$M,MATCH(AI21,Üldreiting!$H:$H,0)),"")</f>
        <v>320</v>
      </c>
    </row>
    <row r="22" spans="1:36" ht="14.25" thickTop="1" thickBot="1" x14ac:dyDescent="0.25">
      <c r="A22" s="283">
        <v>12</v>
      </c>
      <c r="B22" s="698" t="s">
        <v>206</v>
      </c>
      <c r="C22" s="284">
        <v>0</v>
      </c>
      <c r="D22" s="285">
        <v>0</v>
      </c>
      <c r="E22" s="285">
        <v>0</v>
      </c>
      <c r="F22" s="370">
        <v>0</v>
      </c>
      <c r="G22" s="708">
        <v>0</v>
      </c>
      <c r="H22" s="285">
        <v>0</v>
      </c>
      <c r="I22" s="285">
        <v>3</v>
      </c>
      <c r="J22" s="689">
        <v>0</v>
      </c>
      <c r="K22" s="284">
        <v>0</v>
      </c>
      <c r="L22" s="285">
        <v>0</v>
      </c>
      <c r="M22" s="285">
        <v>0</v>
      </c>
      <c r="N22" s="370">
        <v>1</v>
      </c>
      <c r="O22" s="708">
        <v>3</v>
      </c>
      <c r="P22" s="285">
        <v>0</v>
      </c>
      <c r="Q22" s="285">
        <v>3</v>
      </c>
      <c r="R22" s="689">
        <v>0</v>
      </c>
      <c r="S22" s="284">
        <v>0</v>
      </c>
      <c r="T22" s="438">
        <v>5</v>
      </c>
      <c r="U22" s="285">
        <v>0</v>
      </c>
      <c r="V22" s="370">
        <v>0</v>
      </c>
      <c r="W22" s="704">
        <f t="shared" si="0"/>
        <v>15.010299999999999</v>
      </c>
      <c r="X22" s="286">
        <f t="shared" si="1"/>
        <v>14</v>
      </c>
      <c r="AH22" s="672">
        <f t="shared" ca="1" si="4"/>
        <v>580</v>
      </c>
      <c r="AI22" s="676" t="str">
        <f t="shared" si="5"/>
        <v>Valmar Pantšenko</v>
      </c>
      <c r="AJ22" s="675">
        <f ca="1">IFERROR(INDEX(Üldreiting!$M:$M,MATCH(AI22,Üldreiting!$H:$H,0)),"")</f>
        <v>580</v>
      </c>
    </row>
    <row r="23" spans="1:36" ht="14.25" thickTop="1" thickBot="1" x14ac:dyDescent="0.25">
      <c r="A23" s="283">
        <v>22</v>
      </c>
      <c r="B23" s="697" t="s">
        <v>33</v>
      </c>
      <c r="C23" s="284">
        <v>1</v>
      </c>
      <c r="D23" s="285">
        <v>3</v>
      </c>
      <c r="E23" s="285">
        <v>0</v>
      </c>
      <c r="F23" s="370">
        <v>0</v>
      </c>
      <c r="G23" s="708">
        <v>0</v>
      </c>
      <c r="H23" s="285">
        <v>0</v>
      </c>
      <c r="I23" s="285">
        <v>0</v>
      </c>
      <c r="J23" s="689">
        <v>0</v>
      </c>
      <c r="K23" s="284">
        <v>1</v>
      </c>
      <c r="L23" s="285">
        <v>0</v>
      </c>
      <c r="M23" s="285">
        <v>0</v>
      </c>
      <c r="N23" s="370">
        <v>1</v>
      </c>
      <c r="O23" s="708">
        <v>0</v>
      </c>
      <c r="P23" s="285">
        <v>0</v>
      </c>
      <c r="Q23" s="285">
        <v>3</v>
      </c>
      <c r="R23" s="689">
        <v>1</v>
      </c>
      <c r="S23" s="284">
        <v>0</v>
      </c>
      <c r="T23" s="438">
        <v>5</v>
      </c>
      <c r="U23" s="285">
        <v>0</v>
      </c>
      <c r="V23" s="370">
        <v>0</v>
      </c>
      <c r="W23" s="704">
        <f t="shared" si="0"/>
        <v>15.010199999999999</v>
      </c>
      <c r="X23" s="286">
        <f t="shared" si="1"/>
        <v>15</v>
      </c>
      <c r="Y23" s="90"/>
      <c r="Z23" s="90"/>
      <c r="AA23" s="90"/>
      <c r="AB23" s="90"/>
      <c r="AH23" s="672">
        <f t="shared" ca="1" si="4"/>
        <v>1081</v>
      </c>
      <c r="AI23" s="676" t="str">
        <f t="shared" si="5"/>
        <v>Marek Kolk</v>
      </c>
      <c r="AJ23" s="675">
        <f ca="1">IFERROR(INDEX(Üldreiting!$M:$M,MATCH(AI23,Üldreiting!$H:$H,0)),"")</f>
        <v>1081</v>
      </c>
    </row>
    <row r="24" spans="1:36" ht="14.25" thickTop="1" thickBot="1" x14ac:dyDescent="0.25">
      <c r="A24" s="283">
        <v>24</v>
      </c>
      <c r="B24" s="699" t="s">
        <v>173</v>
      </c>
      <c r="C24" s="284">
        <v>0</v>
      </c>
      <c r="D24" s="285">
        <v>0</v>
      </c>
      <c r="E24" s="285">
        <v>0</v>
      </c>
      <c r="F24" s="370">
        <v>0</v>
      </c>
      <c r="G24" s="708">
        <v>0</v>
      </c>
      <c r="H24" s="285">
        <v>3</v>
      </c>
      <c r="I24" s="285">
        <v>3</v>
      </c>
      <c r="J24" s="689">
        <v>0</v>
      </c>
      <c r="K24" s="284">
        <v>0</v>
      </c>
      <c r="L24" s="285">
        <v>0</v>
      </c>
      <c r="M24" s="285">
        <v>3</v>
      </c>
      <c r="N24" s="370">
        <v>0</v>
      </c>
      <c r="O24" s="708">
        <v>0</v>
      </c>
      <c r="P24" s="285">
        <v>0</v>
      </c>
      <c r="Q24" s="285">
        <v>0</v>
      </c>
      <c r="R24" s="689">
        <v>0</v>
      </c>
      <c r="S24" s="438">
        <v>5</v>
      </c>
      <c r="T24" s="285">
        <v>0</v>
      </c>
      <c r="U24" s="285">
        <v>0</v>
      </c>
      <c r="V24" s="370">
        <v>0</v>
      </c>
      <c r="W24" s="704">
        <f t="shared" si="0"/>
        <v>14.010299999999999</v>
      </c>
      <c r="X24" s="287">
        <f t="shared" si="1"/>
        <v>16</v>
      </c>
      <c r="Y24" s="739"/>
      <c r="Z24" s="90"/>
      <c r="AA24" s="90"/>
      <c r="AB24" s="90"/>
      <c r="AH24" s="672">
        <f t="shared" ca="1" si="4"/>
        <v>612</v>
      </c>
      <c r="AI24" s="676" t="str">
        <f t="shared" si="5"/>
        <v>Jaan Joonas</v>
      </c>
      <c r="AJ24" s="675">
        <f ca="1">IFERROR(INDEX(Üldreiting!$M:$M,MATCH(AI24,Üldreiting!$H:$H,0)),"")</f>
        <v>612</v>
      </c>
    </row>
    <row r="25" spans="1:36" ht="14.25" thickTop="1" thickBot="1" x14ac:dyDescent="0.25">
      <c r="A25" s="283">
        <v>17</v>
      </c>
      <c r="B25" s="698" t="s">
        <v>73</v>
      </c>
      <c r="C25" s="284">
        <v>3</v>
      </c>
      <c r="D25" s="285">
        <v>3</v>
      </c>
      <c r="E25" s="285">
        <v>0</v>
      </c>
      <c r="F25" s="370">
        <v>0</v>
      </c>
      <c r="G25" s="708">
        <v>0</v>
      </c>
      <c r="H25" s="285">
        <v>0</v>
      </c>
      <c r="I25" s="285">
        <v>0</v>
      </c>
      <c r="J25" s="689">
        <v>0</v>
      </c>
      <c r="K25" s="284">
        <v>0</v>
      </c>
      <c r="L25" s="285">
        <v>3</v>
      </c>
      <c r="M25" s="285">
        <v>1</v>
      </c>
      <c r="N25" s="370">
        <v>0</v>
      </c>
      <c r="O25" s="708">
        <v>0</v>
      </c>
      <c r="P25" s="285">
        <v>0</v>
      </c>
      <c r="Q25" s="285">
        <v>3</v>
      </c>
      <c r="R25" s="689">
        <v>0</v>
      </c>
      <c r="S25" s="284">
        <v>0</v>
      </c>
      <c r="T25" s="285">
        <v>0</v>
      </c>
      <c r="U25" s="285">
        <v>0</v>
      </c>
      <c r="V25" s="370">
        <v>0</v>
      </c>
      <c r="W25" s="704">
        <f t="shared" si="0"/>
        <v>13.000400000000001</v>
      </c>
      <c r="X25" s="287">
        <f t="shared" si="1"/>
        <v>17</v>
      </c>
      <c r="Y25" s="90"/>
      <c r="Z25" s="90"/>
      <c r="AA25" s="90"/>
      <c r="AB25" s="90"/>
      <c r="AH25" s="672">
        <f t="shared" ca="1" si="4"/>
        <v>510</v>
      </c>
      <c r="AI25" s="676" t="str">
        <f t="shared" si="5"/>
        <v>Hardo Sokk</v>
      </c>
      <c r="AJ25" s="675">
        <f ca="1">IFERROR(INDEX(Üldreiting!$M:$M,MATCH(AI25,Üldreiting!$H:$H,0)),"")</f>
        <v>510</v>
      </c>
    </row>
    <row r="26" spans="1:36" ht="14.25" thickTop="1" thickBot="1" x14ac:dyDescent="0.25">
      <c r="A26" s="283">
        <v>11</v>
      </c>
      <c r="B26" s="697" t="s">
        <v>34</v>
      </c>
      <c r="C26" s="284">
        <v>0</v>
      </c>
      <c r="D26" s="438">
        <v>5</v>
      </c>
      <c r="E26" s="285">
        <v>1</v>
      </c>
      <c r="F26" s="370">
        <v>0</v>
      </c>
      <c r="G26" s="708">
        <v>1</v>
      </c>
      <c r="H26" s="285">
        <v>0</v>
      </c>
      <c r="I26" s="285">
        <v>0</v>
      </c>
      <c r="J26" s="689">
        <v>0</v>
      </c>
      <c r="K26" s="284">
        <v>1</v>
      </c>
      <c r="L26" s="285">
        <v>0</v>
      </c>
      <c r="M26" s="285">
        <v>1</v>
      </c>
      <c r="N26" s="370">
        <v>0</v>
      </c>
      <c r="O26" s="708">
        <v>0</v>
      </c>
      <c r="P26" s="285">
        <v>0</v>
      </c>
      <c r="Q26" s="285">
        <v>3</v>
      </c>
      <c r="R26" s="689">
        <v>0</v>
      </c>
      <c r="S26" s="284">
        <v>0</v>
      </c>
      <c r="T26" s="285">
        <v>0</v>
      </c>
      <c r="U26" s="285">
        <v>0</v>
      </c>
      <c r="V26" s="370">
        <v>0</v>
      </c>
      <c r="W26" s="704">
        <f t="shared" si="0"/>
        <v>12.0101</v>
      </c>
      <c r="X26" s="287">
        <f t="shared" si="1"/>
        <v>18</v>
      </c>
      <c r="Y26" s="90"/>
      <c r="Z26" s="90"/>
      <c r="AA26" s="90"/>
      <c r="AB26" s="90"/>
      <c r="AH26" s="672">
        <f t="shared" ca="1" si="4"/>
        <v>600</v>
      </c>
      <c r="AI26" s="676" t="str">
        <f t="shared" si="5"/>
        <v>Kalju Olmre</v>
      </c>
      <c r="AJ26" s="675">
        <f ca="1">IFERROR(INDEX(Üldreiting!$M:$M,MATCH(AI26,Üldreiting!$H:$H,0)),"")</f>
        <v>600</v>
      </c>
    </row>
    <row r="27" spans="1:36" ht="14.25" thickTop="1" thickBot="1" x14ac:dyDescent="0.25">
      <c r="A27" s="283">
        <v>19</v>
      </c>
      <c r="B27" s="698" t="s">
        <v>57</v>
      </c>
      <c r="C27" s="284">
        <v>3</v>
      </c>
      <c r="D27" s="285">
        <v>3</v>
      </c>
      <c r="E27" s="285">
        <v>0</v>
      </c>
      <c r="F27" s="370">
        <v>0</v>
      </c>
      <c r="G27" s="708">
        <v>3</v>
      </c>
      <c r="H27" s="285">
        <v>0</v>
      </c>
      <c r="I27" s="285">
        <v>0</v>
      </c>
      <c r="J27" s="689">
        <v>0</v>
      </c>
      <c r="K27" s="284">
        <v>3</v>
      </c>
      <c r="L27" s="285">
        <v>0</v>
      </c>
      <c r="M27" s="285">
        <v>0</v>
      </c>
      <c r="N27" s="370">
        <v>0</v>
      </c>
      <c r="O27" s="708">
        <v>0</v>
      </c>
      <c r="P27" s="285">
        <v>0</v>
      </c>
      <c r="Q27" s="285">
        <v>0</v>
      </c>
      <c r="R27" s="689">
        <v>0</v>
      </c>
      <c r="S27" s="284">
        <v>0</v>
      </c>
      <c r="T27" s="285">
        <v>0</v>
      </c>
      <c r="U27" s="285">
        <v>0</v>
      </c>
      <c r="V27" s="370">
        <v>0</v>
      </c>
      <c r="W27" s="704">
        <f t="shared" si="0"/>
        <v>12.000400000000001</v>
      </c>
      <c r="X27" s="287">
        <f t="shared" si="1"/>
        <v>19</v>
      </c>
      <c r="Y27" s="90"/>
      <c r="Z27" s="90"/>
      <c r="AA27" s="90"/>
      <c r="AB27" s="90"/>
      <c r="AH27" s="672">
        <f t="shared" ca="1" si="4"/>
        <v>658</v>
      </c>
      <c r="AI27" s="676" t="str">
        <f t="shared" si="5"/>
        <v>Margo Peebo</v>
      </c>
      <c r="AJ27" s="675">
        <f ca="1">IFERROR(INDEX(Üldreiting!$M:$M,MATCH(AI27,Üldreiting!$H:$H,0)),"")</f>
        <v>658</v>
      </c>
    </row>
    <row r="28" spans="1:36" ht="14.25" thickTop="1" thickBot="1" x14ac:dyDescent="0.25">
      <c r="A28" s="283">
        <v>4</v>
      </c>
      <c r="B28" s="700" t="s">
        <v>43</v>
      </c>
      <c r="C28" s="284">
        <v>0</v>
      </c>
      <c r="D28" s="285">
        <v>1</v>
      </c>
      <c r="E28" s="285">
        <v>0</v>
      </c>
      <c r="F28" s="370">
        <v>0</v>
      </c>
      <c r="G28" s="708">
        <v>0</v>
      </c>
      <c r="H28" s="285">
        <v>0</v>
      </c>
      <c r="I28" s="285">
        <v>0</v>
      </c>
      <c r="J28" s="689">
        <v>0</v>
      </c>
      <c r="K28" s="284">
        <v>0</v>
      </c>
      <c r="L28" s="285">
        <v>0</v>
      </c>
      <c r="M28" s="285">
        <v>3</v>
      </c>
      <c r="N28" s="370">
        <v>0</v>
      </c>
      <c r="O28" s="708">
        <v>0</v>
      </c>
      <c r="P28" s="285">
        <v>0</v>
      </c>
      <c r="Q28" s="285">
        <v>1</v>
      </c>
      <c r="R28" s="689">
        <v>0</v>
      </c>
      <c r="S28" s="438">
        <v>5</v>
      </c>
      <c r="T28" s="285">
        <v>0</v>
      </c>
      <c r="U28" s="285">
        <v>0</v>
      </c>
      <c r="V28" s="370">
        <v>0</v>
      </c>
      <c r="W28" s="704">
        <f t="shared" si="0"/>
        <v>10.0101</v>
      </c>
      <c r="X28" s="286">
        <f t="shared" si="1"/>
        <v>20</v>
      </c>
      <c r="Y28" s="90"/>
      <c r="Z28" s="90"/>
      <c r="AA28" s="90"/>
      <c r="AB28" s="90"/>
      <c r="AH28" s="672">
        <f t="shared" ca="1" si="4"/>
        <v>386</v>
      </c>
      <c r="AI28" s="676" t="str">
        <f t="shared" si="5"/>
        <v>Egert Kingissepp</v>
      </c>
      <c r="AJ28" s="675">
        <f ca="1">IFERROR(INDEX(Üldreiting!$M:$M,MATCH(AI28,Üldreiting!$H:$H,0)),"")</f>
        <v>386</v>
      </c>
    </row>
    <row r="29" spans="1:36" ht="13.5" thickTop="1" x14ac:dyDescent="0.2">
      <c r="A29" s="283">
        <v>14</v>
      </c>
      <c r="B29" s="698" t="s">
        <v>727</v>
      </c>
      <c r="C29" s="284"/>
      <c r="D29" s="285"/>
      <c r="E29" s="285"/>
      <c r="F29" s="370"/>
      <c r="G29" s="708"/>
      <c r="H29" s="285"/>
      <c r="I29" s="285"/>
      <c r="J29" s="689"/>
      <c r="K29" s="284"/>
      <c r="L29" s="285"/>
      <c r="M29" s="285"/>
      <c r="N29" s="370"/>
      <c r="O29" s="708"/>
      <c r="P29" s="285"/>
      <c r="Q29" s="285"/>
      <c r="R29" s="689"/>
      <c r="S29" s="284"/>
      <c r="T29" s="285"/>
      <c r="U29" s="285"/>
      <c r="V29" s="370"/>
      <c r="W29" s="704">
        <f t="shared" si="0"/>
        <v>0</v>
      </c>
      <c r="X29" s="286" t="str">
        <f t="shared" si="1"/>
        <v/>
      </c>
      <c r="Y29" s="90"/>
      <c r="Z29" s="90"/>
      <c r="AA29" s="90"/>
      <c r="AB29" s="90"/>
    </row>
    <row r="30" spans="1:36" x14ac:dyDescent="0.2">
      <c r="A30" s="283">
        <v>20</v>
      </c>
      <c r="B30" s="698" t="s">
        <v>46</v>
      </c>
      <c r="C30" s="284"/>
      <c r="D30" s="285"/>
      <c r="E30" s="285"/>
      <c r="F30" s="370"/>
      <c r="G30" s="708"/>
      <c r="H30" s="285"/>
      <c r="I30" s="285"/>
      <c r="J30" s="689"/>
      <c r="K30" s="284"/>
      <c r="L30" s="285"/>
      <c r="M30" s="285"/>
      <c r="N30" s="370"/>
      <c r="O30" s="708"/>
      <c r="P30" s="285"/>
      <c r="Q30" s="285"/>
      <c r="R30" s="689"/>
      <c r="S30" s="284"/>
      <c r="T30" s="285"/>
      <c r="U30" s="285"/>
      <c r="V30" s="370"/>
      <c r="W30" s="704">
        <f t="shared" si="0"/>
        <v>0</v>
      </c>
      <c r="X30" s="286" t="str">
        <f t="shared" si="1"/>
        <v/>
      </c>
      <c r="Y30" s="90"/>
      <c r="Z30" s="90"/>
      <c r="AA30" s="90"/>
      <c r="AB30" s="90"/>
    </row>
    <row r="31" spans="1:36" ht="13.5" thickBot="1" x14ac:dyDescent="0.25">
      <c r="A31" s="283">
        <v>16</v>
      </c>
      <c r="B31" s="697" t="s">
        <v>44</v>
      </c>
      <c r="C31" s="284"/>
      <c r="D31" s="285"/>
      <c r="E31" s="285"/>
      <c r="F31" s="370"/>
      <c r="G31" s="708"/>
      <c r="H31" s="285"/>
      <c r="I31" s="285"/>
      <c r="J31" s="689"/>
      <c r="K31" s="284"/>
      <c r="L31" s="285"/>
      <c r="M31" s="285"/>
      <c r="N31" s="370"/>
      <c r="O31" s="708"/>
      <c r="P31" s="285"/>
      <c r="Q31" s="285"/>
      <c r="R31" s="689"/>
      <c r="S31" s="284"/>
      <c r="T31" s="285"/>
      <c r="U31" s="285"/>
      <c r="V31" s="370"/>
      <c r="W31" s="704">
        <f t="shared" si="0"/>
        <v>0</v>
      </c>
      <c r="X31" s="286" t="str">
        <f t="shared" si="1"/>
        <v/>
      </c>
      <c r="Y31" s="90"/>
      <c r="Z31" s="90"/>
      <c r="AA31" s="90"/>
      <c r="AB31" s="90"/>
    </row>
    <row r="32" spans="1:36" ht="13.5" hidden="1" thickBot="1" x14ac:dyDescent="0.25">
      <c r="A32" s="283"/>
      <c r="B32" s="697"/>
      <c r="C32" s="284"/>
      <c r="D32" s="285"/>
      <c r="E32" s="285"/>
      <c r="F32" s="370"/>
      <c r="G32" s="708"/>
      <c r="H32" s="285"/>
      <c r="I32" s="285"/>
      <c r="J32" s="689"/>
      <c r="K32" s="284"/>
      <c r="L32" s="285"/>
      <c r="M32" s="285"/>
      <c r="N32" s="370"/>
      <c r="O32" s="708"/>
      <c r="P32" s="285"/>
      <c r="Q32" s="285"/>
      <c r="R32" s="689"/>
      <c r="S32" s="284"/>
      <c r="T32" s="285"/>
      <c r="U32" s="285"/>
      <c r="V32" s="370"/>
      <c r="W32" s="704">
        <f t="shared" si="0"/>
        <v>0</v>
      </c>
      <c r="X32" s="287" t="str">
        <f t="shared" si="1"/>
        <v/>
      </c>
      <c r="Y32" s="90"/>
      <c r="Z32" s="90"/>
      <c r="AA32" s="90"/>
      <c r="AB32" s="90"/>
    </row>
    <row r="33" spans="1:28" ht="13.5" hidden="1" thickBot="1" x14ac:dyDescent="0.25">
      <c r="A33" s="283"/>
      <c r="B33" s="698"/>
      <c r="C33" s="284"/>
      <c r="D33" s="285"/>
      <c r="E33" s="285"/>
      <c r="F33" s="370"/>
      <c r="G33" s="708"/>
      <c r="H33" s="285"/>
      <c r="I33" s="285"/>
      <c r="J33" s="689"/>
      <c r="K33" s="284"/>
      <c r="L33" s="285"/>
      <c r="M33" s="285"/>
      <c r="N33" s="370"/>
      <c r="O33" s="708"/>
      <c r="P33" s="285"/>
      <c r="Q33" s="285"/>
      <c r="R33" s="689"/>
      <c r="S33" s="284"/>
      <c r="T33" s="285"/>
      <c r="U33" s="285"/>
      <c r="V33" s="370"/>
      <c r="W33" s="704">
        <f t="shared" si="0"/>
        <v>0</v>
      </c>
      <c r="X33" s="287" t="str">
        <f t="shared" si="1"/>
        <v/>
      </c>
      <c r="Y33" s="90"/>
      <c r="Z33" s="90"/>
      <c r="AA33" s="90"/>
      <c r="AB33" s="90"/>
    </row>
    <row r="34" spans="1:28" ht="13.5" hidden="1" thickBot="1" x14ac:dyDescent="0.25">
      <c r="A34" s="288"/>
      <c r="B34" s="289"/>
      <c r="C34" s="290"/>
      <c r="D34" s="291"/>
      <c r="E34" s="291"/>
      <c r="F34" s="292"/>
      <c r="G34" s="290"/>
      <c r="H34" s="291"/>
      <c r="I34" s="291"/>
      <c r="J34" s="292"/>
      <c r="K34" s="290"/>
      <c r="L34" s="291"/>
      <c r="M34" s="291"/>
      <c r="N34" s="292"/>
      <c r="O34" s="290"/>
      <c r="P34" s="291"/>
      <c r="Q34" s="291"/>
      <c r="R34" s="292"/>
      <c r="S34" s="290"/>
      <c r="T34" s="291"/>
      <c r="U34" s="291"/>
      <c r="V34" s="292"/>
      <c r="W34" s="293">
        <f t="shared" si="0"/>
        <v>0</v>
      </c>
      <c r="X34" s="287" t="str">
        <f t="shared" si="1"/>
        <v/>
      </c>
      <c r="Y34" s="90"/>
      <c r="Z34" s="90"/>
      <c r="AA34" s="90"/>
      <c r="AB34" s="90"/>
    </row>
    <row r="35" spans="1:28" ht="13.5" hidden="1" thickBot="1" x14ac:dyDescent="0.25">
      <c r="A35" s="294"/>
      <c r="B35" s="295" t="s">
        <v>568</v>
      </c>
      <c r="C35" s="80"/>
      <c r="D35" s="81"/>
      <c r="E35" s="81"/>
      <c r="F35" s="82"/>
      <c r="G35" s="80"/>
      <c r="H35" s="81"/>
      <c r="I35" s="81"/>
      <c r="J35" s="82"/>
      <c r="K35" s="80"/>
      <c r="L35" s="81"/>
      <c r="M35" s="81"/>
      <c r="N35" s="82"/>
      <c r="O35" s="80"/>
      <c r="P35" s="81"/>
      <c r="Q35" s="81"/>
      <c r="R35" s="82"/>
      <c r="S35" s="80"/>
      <c r="T35" s="81"/>
      <c r="U35" s="81"/>
      <c r="V35" s="82"/>
      <c r="W35" s="167"/>
      <c r="X35" s="167"/>
      <c r="Z35" s="84"/>
      <c r="AA35" s="85" t="s">
        <v>212</v>
      </c>
      <c r="AB35" s="85" t="s">
        <v>213</v>
      </c>
    </row>
    <row r="36" spans="1:28" ht="13.5" hidden="1" thickBot="1" x14ac:dyDescent="0.25">
      <c r="A36" s="296"/>
      <c r="B36" s="297"/>
      <c r="C36" s="298"/>
      <c r="D36" s="299"/>
      <c r="E36" s="300"/>
      <c r="F36" s="301"/>
      <c r="G36" s="298"/>
      <c r="H36" s="299"/>
      <c r="I36" s="300"/>
      <c r="J36" s="301"/>
      <c r="K36" s="298"/>
      <c r="L36" s="299"/>
      <c r="M36" s="300"/>
      <c r="N36" s="301"/>
      <c r="O36" s="298"/>
      <c r="P36" s="299"/>
      <c r="Q36" s="300"/>
      <c r="R36" s="301"/>
      <c r="S36" s="298"/>
      <c r="T36" s="299"/>
      <c r="U36" s="300"/>
      <c r="V36" s="301"/>
      <c r="W36" s="302" t="str">
        <f t="shared" ref="W36:W67" si="6">IF(COUNTA(C36:V36)=0,"",SUM(C36:V36)+COUNTIF(C36:V36,5)/100+COUNTIF(C36:V36,3)/10000)</f>
        <v/>
      </c>
      <c r="X36" s="302"/>
    </row>
    <row r="37" spans="1:28" ht="13.5" hidden="1" thickBot="1" x14ac:dyDescent="0.25">
      <c r="A37" s="296"/>
      <c r="B37" s="297"/>
      <c r="C37" s="298"/>
      <c r="D37" s="299"/>
      <c r="E37" s="300"/>
      <c r="F37" s="301"/>
      <c r="G37" s="298"/>
      <c r="H37" s="299"/>
      <c r="I37" s="300"/>
      <c r="J37" s="301"/>
      <c r="K37" s="298"/>
      <c r="L37" s="299"/>
      <c r="M37" s="300"/>
      <c r="N37" s="301"/>
      <c r="O37" s="298"/>
      <c r="P37" s="299"/>
      <c r="Q37" s="300"/>
      <c r="R37" s="301"/>
      <c r="S37" s="298"/>
      <c r="T37" s="299"/>
      <c r="U37" s="300"/>
      <c r="V37" s="301"/>
      <c r="W37" s="302" t="str">
        <f t="shared" si="6"/>
        <v/>
      </c>
      <c r="X37" s="302"/>
    </row>
    <row r="38" spans="1:28" ht="13.5" hidden="1" thickBot="1" x14ac:dyDescent="0.25">
      <c r="A38" s="296"/>
      <c r="B38" s="303"/>
      <c r="C38" s="298"/>
      <c r="D38" s="299"/>
      <c r="E38" s="300"/>
      <c r="F38" s="301"/>
      <c r="G38" s="298"/>
      <c r="H38" s="299"/>
      <c r="I38" s="300"/>
      <c r="J38" s="301"/>
      <c r="K38" s="298"/>
      <c r="L38" s="299"/>
      <c r="M38" s="300"/>
      <c r="N38" s="301"/>
      <c r="O38" s="298"/>
      <c r="P38" s="299"/>
      <c r="Q38" s="300"/>
      <c r="R38" s="301"/>
      <c r="S38" s="298"/>
      <c r="T38" s="299"/>
      <c r="U38" s="300"/>
      <c r="V38" s="301"/>
      <c r="W38" s="302" t="str">
        <f t="shared" si="6"/>
        <v/>
      </c>
      <c r="X38" s="302"/>
    </row>
    <row r="39" spans="1:28" ht="13.5" hidden="1" thickBot="1" x14ac:dyDescent="0.25">
      <c r="A39" s="296"/>
      <c r="B39" s="297"/>
      <c r="C39" s="298"/>
      <c r="D39" s="299"/>
      <c r="E39" s="300"/>
      <c r="F39" s="301"/>
      <c r="G39" s="298"/>
      <c r="H39" s="299"/>
      <c r="I39" s="300"/>
      <c r="J39" s="301"/>
      <c r="K39" s="298"/>
      <c r="L39" s="299"/>
      <c r="M39" s="300"/>
      <c r="N39" s="301"/>
      <c r="O39" s="298"/>
      <c r="P39" s="299"/>
      <c r="Q39" s="300"/>
      <c r="R39" s="301"/>
      <c r="S39" s="298"/>
      <c r="T39" s="299"/>
      <c r="U39" s="300"/>
      <c r="V39" s="301"/>
      <c r="W39" s="302" t="str">
        <f t="shared" si="6"/>
        <v/>
      </c>
      <c r="X39" s="302"/>
    </row>
    <row r="40" spans="1:28" ht="13.5" hidden="1" thickBot="1" x14ac:dyDescent="0.25">
      <c r="A40" s="105"/>
      <c r="B40" s="304"/>
      <c r="C40" s="102"/>
      <c r="D40" s="99"/>
      <c r="E40" s="103"/>
      <c r="F40" s="104"/>
      <c r="G40" s="102"/>
      <c r="H40" s="99"/>
      <c r="I40" s="103"/>
      <c r="J40" s="104"/>
      <c r="K40" s="102"/>
      <c r="L40" s="99"/>
      <c r="M40" s="103"/>
      <c r="N40" s="104"/>
      <c r="O40" s="102"/>
      <c r="P40" s="99"/>
      <c r="Q40" s="103"/>
      <c r="R40" s="104"/>
      <c r="S40" s="102"/>
      <c r="T40" s="99"/>
      <c r="U40" s="103"/>
      <c r="V40" s="104"/>
      <c r="W40" s="86" t="str">
        <f t="shared" si="6"/>
        <v/>
      </c>
      <c r="X40" s="86"/>
    </row>
    <row r="41" spans="1:28" ht="13.5" hidden="1" thickBot="1" x14ac:dyDescent="0.25">
      <c r="A41" s="105"/>
      <c r="B41" s="175"/>
      <c r="C41" s="102"/>
      <c r="D41" s="99"/>
      <c r="E41" s="103"/>
      <c r="F41" s="104"/>
      <c r="G41" s="102"/>
      <c r="H41" s="99"/>
      <c r="I41" s="103"/>
      <c r="J41" s="104"/>
      <c r="K41" s="102"/>
      <c r="L41" s="99"/>
      <c r="M41" s="103"/>
      <c r="N41" s="104"/>
      <c r="O41" s="102"/>
      <c r="P41" s="99"/>
      <c r="Q41" s="103"/>
      <c r="R41" s="104"/>
      <c r="S41" s="102"/>
      <c r="T41" s="99"/>
      <c r="U41" s="103"/>
      <c r="V41" s="104"/>
      <c r="W41" s="86" t="str">
        <f t="shared" si="6"/>
        <v/>
      </c>
      <c r="X41" s="86"/>
    </row>
    <row r="42" spans="1:28" ht="13.5" hidden="1" thickBot="1" x14ac:dyDescent="0.25">
      <c r="A42" s="305"/>
      <c r="B42" s="124"/>
      <c r="C42" s="102"/>
      <c r="D42" s="99"/>
      <c r="E42" s="103"/>
      <c r="F42" s="104"/>
      <c r="G42" s="102"/>
      <c r="H42" s="99"/>
      <c r="I42" s="103"/>
      <c r="J42" s="104"/>
      <c r="K42" s="102"/>
      <c r="L42" s="99"/>
      <c r="M42" s="103"/>
      <c r="N42" s="104"/>
      <c r="O42" s="102"/>
      <c r="P42" s="99"/>
      <c r="Q42" s="103"/>
      <c r="R42" s="104"/>
      <c r="S42" s="102"/>
      <c r="T42" s="99"/>
      <c r="U42" s="103"/>
      <c r="V42" s="104"/>
      <c r="W42" s="86" t="str">
        <f t="shared" si="6"/>
        <v/>
      </c>
      <c r="X42" s="86"/>
    </row>
    <row r="43" spans="1:28" ht="13.5" hidden="1" thickBot="1" x14ac:dyDescent="0.25">
      <c r="A43" s="305"/>
      <c r="B43" s="124"/>
      <c r="C43" s="102"/>
      <c r="D43" s="99"/>
      <c r="E43" s="103"/>
      <c r="F43" s="104"/>
      <c r="G43" s="102"/>
      <c r="H43" s="99"/>
      <c r="I43" s="103"/>
      <c r="J43" s="104"/>
      <c r="K43" s="102"/>
      <c r="L43" s="99"/>
      <c r="M43" s="103"/>
      <c r="N43" s="104"/>
      <c r="O43" s="102"/>
      <c r="P43" s="99"/>
      <c r="Q43" s="103"/>
      <c r="R43" s="104"/>
      <c r="S43" s="102"/>
      <c r="T43" s="99"/>
      <c r="U43" s="103"/>
      <c r="V43" s="104"/>
      <c r="W43" s="86" t="str">
        <f t="shared" si="6"/>
        <v/>
      </c>
      <c r="X43" s="86"/>
    </row>
    <row r="44" spans="1:28" ht="13.5" hidden="1" thickBot="1" x14ac:dyDescent="0.25">
      <c r="A44" s="296"/>
      <c r="B44" s="297"/>
      <c r="C44" s="298"/>
      <c r="D44" s="299"/>
      <c r="E44" s="300"/>
      <c r="F44" s="301"/>
      <c r="G44" s="298"/>
      <c r="H44" s="299"/>
      <c r="I44" s="300"/>
      <c r="J44" s="301"/>
      <c r="K44" s="298"/>
      <c r="L44" s="299"/>
      <c r="M44" s="300"/>
      <c r="N44" s="301"/>
      <c r="O44" s="298"/>
      <c r="P44" s="299"/>
      <c r="Q44" s="300"/>
      <c r="R44" s="301"/>
      <c r="S44" s="298"/>
      <c r="T44" s="299"/>
      <c r="U44" s="300"/>
      <c r="V44" s="301"/>
      <c r="W44" s="302" t="str">
        <f t="shared" si="6"/>
        <v/>
      </c>
      <c r="X44" s="302"/>
    </row>
    <row r="45" spans="1:28" ht="13.5" hidden="1" thickBot="1" x14ac:dyDescent="0.25">
      <c r="A45" s="296"/>
      <c r="B45" s="297"/>
      <c r="C45" s="298"/>
      <c r="D45" s="299"/>
      <c r="E45" s="300"/>
      <c r="F45" s="301"/>
      <c r="G45" s="298"/>
      <c r="H45" s="299"/>
      <c r="I45" s="300"/>
      <c r="J45" s="301"/>
      <c r="K45" s="298"/>
      <c r="L45" s="299"/>
      <c r="M45" s="300"/>
      <c r="N45" s="301"/>
      <c r="O45" s="298"/>
      <c r="P45" s="299"/>
      <c r="Q45" s="300"/>
      <c r="R45" s="301"/>
      <c r="S45" s="298"/>
      <c r="T45" s="299"/>
      <c r="U45" s="300"/>
      <c r="V45" s="301"/>
      <c r="W45" s="302" t="str">
        <f t="shared" si="6"/>
        <v/>
      </c>
      <c r="X45" s="302"/>
    </row>
    <row r="46" spans="1:28" ht="13.5" hidden="1" thickBot="1" x14ac:dyDescent="0.25">
      <c r="A46" s="296"/>
      <c r="B46" s="303"/>
      <c r="C46" s="298"/>
      <c r="D46" s="299"/>
      <c r="E46" s="300"/>
      <c r="F46" s="301"/>
      <c r="G46" s="298"/>
      <c r="H46" s="299"/>
      <c r="I46" s="300"/>
      <c r="J46" s="301"/>
      <c r="K46" s="298"/>
      <c r="L46" s="299"/>
      <c r="M46" s="300"/>
      <c r="N46" s="301"/>
      <c r="O46" s="298"/>
      <c r="P46" s="299"/>
      <c r="Q46" s="300"/>
      <c r="R46" s="301"/>
      <c r="S46" s="298"/>
      <c r="T46" s="299"/>
      <c r="U46" s="300"/>
      <c r="V46" s="301"/>
      <c r="W46" s="302" t="str">
        <f t="shared" si="6"/>
        <v/>
      </c>
      <c r="X46" s="302"/>
    </row>
    <row r="47" spans="1:28" ht="13.5" hidden="1" thickBot="1" x14ac:dyDescent="0.25">
      <c r="A47" s="296"/>
      <c r="B47" s="297"/>
      <c r="C47" s="298"/>
      <c r="D47" s="299"/>
      <c r="E47" s="300"/>
      <c r="F47" s="301"/>
      <c r="G47" s="298"/>
      <c r="H47" s="299"/>
      <c r="I47" s="300"/>
      <c r="J47" s="301"/>
      <c r="K47" s="298"/>
      <c r="L47" s="299"/>
      <c r="M47" s="300"/>
      <c r="N47" s="301"/>
      <c r="O47" s="298"/>
      <c r="P47" s="299"/>
      <c r="Q47" s="300"/>
      <c r="R47" s="301"/>
      <c r="S47" s="298"/>
      <c r="T47" s="299"/>
      <c r="U47" s="300"/>
      <c r="V47" s="301"/>
      <c r="W47" s="302" t="str">
        <f t="shared" si="6"/>
        <v/>
      </c>
      <c r="X47" s="302"/>
    </row>
    <row r="48" spans="1:28" ht="13.5" hidden="1" thickBot="1" x14ac:dyDescent="0.25">
      <c r="A48" s="105"/>
      <c r="B48" s="304"/>
      <c r="C48" s="102"/>
      <c r="D48" s="99"/>
      <c r="E48" s="103"/>
      <c r="F48" s="104"/>
      <c r="G48" s="102"/>
      <c r="H48" s="99"/>
      <c r="I48" s="103"/>
      <c r="J48" s="104"/>
      <c r="K48" s="102"/>
      <c r="L48" s="99"/>
      <c r="M48" s="103"/>
      <c r="N48" s="104"/>
      <c r="O48" s="102"/>
      <c r="P48" s="99"/>
      <c r="Q48" s="103"/>
      <c r="R48" s="104"/>
      <c r="S48" s="102"/>
      <c r="T48" s="99"/>
      <c r="U48" s="103"/>
      <c r="V48" s="104"/>
      <c r="W48" s="86" t="str">
        <f t="shared" si="6"/>
        <v/>
      </c>
      <c r="X48" s="86"/>
    </row>
    <row r="49" spans="1:24" ht="13.5" hidden="1" thickBot="1" x14ac:dyDescent="0.25">
      <c r="A49" s="105"/>
      <c r="B49" s="175"/>
      <c r="C49" s="102"/>
      <c r="D49" s="99"/>
      <c r="E49" s="103"/>
      <c r="F49" s="104"/>
      <c r="G49" s="102"/>
      <c r="H49" s="99"/>
      <c r="I49" s="103"/>
      <c r="J49" s="104"/>
      <c r="K49" s="102"/>
      <c r="L49" s="99"/>
      <c r="M49" s="103"/>
      <c r="N49" s="104"/>
      <c r="O49" s="102"/>
      <c r="P49" s="99"/>
      <c r="Q49" s="103"/>
      <c r="R49" s="104"/>
      <c r="S49" s="102"/>
      <c r="T49" s="99"/>
      <c r="U49" s="103"/>
      <c r="V49" s="104"/>
      <c r="W49" s="86" t="str">
        <f t="shared" si="6"/>
        <v/>
      </c>
      <c r="X49" s="86"/>
    </row>
    <row r="50" spans="1:24" ht="13.5" hidden="1" thickBot="1" x14ac:dyDescent="0.25">
      <c r="A50" s="305"/>
      <c r="B50" s="124"/>
      <c r="C50" s="102"/>
      <c r="D50" s="99"/>
      <c r="E50" s="103"/>
      <c r="F50" s="104"/>
      <c r="G50" s="102"/>
      <c r="H50" s="99"/>
      <c r="I50" s="103"/>
      <c r="J50" s="104"/>
      <c r="K50" s="102"/>
      <c r="L50" s="99"/>
      <c r="M50" s="103"/>
      <c r="N50" s="104"/>
      <c r="O50" s="102"/>
      <c r="P50" s="99"/>
      <c r="Q50" s="103"/>
      <c r="R50" s="104"/>
      <c r="S50" s="102"/>
      <c r="T50" s="99"/>
      <c r="U50" s="103"/>
      <c r="V50" s="104"/>
      <c r="W50" s="86" t="str">
        <f t="shared" si="6"/>
        <v/>
      </c>
      <c r="X50" s="86"/>
    </row>
    <row r="51" spans="1:24" ht="13.5" hidden="1" thickBot="1" x14ac:dyDescent="0.25">
      <c r="A51" s="305"/>
      <c r="B51" s="124"/>
      <c r="C51" s="102"/>
      <c r="D51" s="99"/>
      <c r="E51" s="103"/>
      <c r="F51" s="104"/>
      <c r="G51" s="102"/>
      <c r="H51" s="99"/>
      <c r="I51" s="103"/>
      <c r="J51" s="104"/>
      <c r="K51" s="102"/>
      <c r="L51" s="99"/>
      <c r="M51" s="103"/>
      <c r="N51" s="104"/>
      <c r="O51" s="102"/>
      <c r="P51" s="99"/>
      <c r="Q51" s="103"/>
      <c r="R51" s="104"/>
      <c r="S51" s="102"/>
      <c r="T51" s="99"/>
      <c r="U51" s="103"/>
      <c r="V51" s="104"/>
      <c r="W51" s="86" t="str">
        <f t="shared" si="6"/>
        <v/>
      </c>
      <c r="X51" s="86"/>
    </row>
    <row r="52" spans="1:24" ht="13.5" hidden="1" thickBot="1" x14ac:dyDescent="0.25">
      <c r="A52" s="296"/>
      <c r="B52" s="297"/>
      <c r="C52" s="298"/>
      <c r="D52" s="299"/>
      <c r="E52" s="300"/>
      <c r="F52" s="301"/>
      <c r="G52" s="298"/>
      <c r="H52" s="299"/>
      <c r="I52" s="300"/>
      <c r="J52" s="301"/>
      <c r="K52" s="298"/>
      <c r="L52" s="299"/>
      <c r="M52" s="300"/>
      <c r="N52" s="301"/>
      <c r="O52" s="298"/>
      <c r="P52" s="299"/>
      <c r="Q52" s="300"/>
      <c r="R52" s="301"/>
      <c r="S52" s="298"/>
      <c r="T52" s="299"/>
      <c r="U52" s="300"/>
      <c r="V52" s="301"/>
      <c r="W52" s="302" t="str">
        <f t="shared" si="6"/>
        <v/>
      </c>
      <c r="X52" s="302"/>
    </row>
    <row r="53" spans="1:24" ht="13.5" hidden="1" thickBot="1" x14ac:dyDescent="0.25">
      <c r="A53" s="296"/>
      <c r="B53" s="297"/>
      <c r="C53" s="298"/>
      <c r="D53" s="299"/>
      <c r="E53" s="300"/>
      <c r="F53" s="301"/>
      <c r="G53" s="298"/>
      <c r="H53" s="299"/>
      <c r="I53" s="300"/>
      <c r="J53" s="301"/>
      <c r="K53" s="298"/>
      <c r="L53" s="299"/>
      <c r="M53" s="300"/>
      <c r="N53" s="301"/>
      <c r="O53" s="298"/>
      <c r="P53" s="299"/>
      <c r="Q53" s="300"/>
      <c r="R53" s="301"/>
      <c r="S53" s="298"/>
      <c r="T53" s="299"/>
      <c r="U53" s="300"/>
      <c r="V53" s="301"/>
      <c r="W53" s="302" t="str">
        <f t="shared" si="6"/>
        <v/>
      </c>
      <c r="X53" s="302"/>
    </row>
    <row r="54" spans="1:24" ht="13.5" hidden="1" thickBot="1" x14ac:dyDescent="0.25">
      <c r="A54" s="296"/>
      <c r="B54" s="303"/>
      <c r="C54" s="298"/>
      <c r="D54" s="299"/>
      <c r="E54" s="300"/>
      <c r="F54" s="301"/>
      <c r="G54" s="298"/>
      <c r="H54" s="299"/>
      <c r="I54" s="300"/>
      <c r="J54" s="301"/>
      <c r="K54" s="298"/>
      <c r="L54" s="299"/>
      <c r="M54" s="300"/>
      <c r="N54" s="301"/>
      <c r="O54" s="298"/>
      <c r="P54" s="299"/>
      <c r="Q54" s="300"/>
      <c r="R54" s="301"/>
      <c r="S54" s="298"/>
      <c r="T54" s="299"/>
      <c r="U54" s="300"/>
      <c r="V54" s="301"/>
      <c r="W54" s="302" t="str">
        <f t="shared" si="6"/>
        <v/>
      </c>
      <c r="X54" s="302"/>
    </row>
    <row r="55" spans="1:24" ht="13.5" hidden="1" thickBot="1" x14ac:dyDescent="0.25">
      <c r="A55" s="296"/>
      <c r="B55" s="297"/>
      <c r="C55" s="298"/>
      <c r="D55" s="299"/>
      <c r="E55" s="300"/>
      <c r="F55" s="301"/>
      <c r="G55" s="298"/>
      <c r="H55" s="299"/>
      <c r="I55" s="300"/>
      <c r="J55" s="301"/>
      <c r="K55" s="298"/>
      <c r="L55" s="299"/>
      <c r="M55" s="300"/>
      <c r="N55" s="301"/>
      <c r="O55" s="298"/>
      <c r="P55" s="299"/>
      <c r="Q55" s="300"/>
      <c r="R55" s="301"/>
      <c r="S55" s="298"/>
      <c r="T55" s="299"/>
      <c r="U55" s="300"/>
      <c r="V55" s="301"/>
      <c r="W55" s="302" t="str">
        <f t="shared" si="6"/>
        <v/>
      </c>
      <c r="X55" s="302"/>
    </row>
    <row r="56" spans="1:24" ht="13.5" hidden="1" thickBot="1" x14ac:dyDescent="0.25">
      <c r="A56" s="105"/>
      <c r="B56" s="304"/>
      <c r="C56" s="102"/>
      <c r="D56" s="99"/>
      <c r="E56" s="103"/>
      <c r="F56" s="104"/>
      <c r="G56" s="102"/>
      <c r="H56" s="99"/>
      <c r="I56" s="103"/>
      <c r="J56" s="104"/>
      <c r="K56" s="102"/>
      <c r="L56" s="99"/>
      <c r="M56" s="103"/>
      <c r="N56" s="104"/>
      <c r="O56" s="102"/>
      <c r="P56" s="99"/>
      <c r="Q56" s="103"/>
      <c r="R56" s="104"/>
      <c r="S56" s="102"/>
      <c r="T56" s="99"/>
      <c r="U56" s="103"/>
      <c r="V56" s="104"/>
      <c r="W56" s="86" t="str">
        <f t="shared" si="6"/>
        <v/>
      </c>
      <c r="X56" s="86"/>
    </row>
    <row r="57" spans="1:24" ht="13.5" hidden="1" thickBot="1" x14ac:dyDescent="0.25">
      <c r="A57" s="105"/>
      <c r="B57" s="175"/>
      <c r="C57" s="102"/>
      <c r="D57" s="99"/>
      <c r="E57" s="103"/>
      <c r="F57" s="104"/>
      <c r="G57" s="102"/>
      <c r="H57" s="99"/>
      <c r="I57" s="103"/>
      <c r="J57" s="104"/>
      <c r="K57" s="102"/>
      <c r="L57" s="99"/>
      <c r="M57" s="103"/>
      <c r="N57" s="104"/>
      <c r="O57" s="102"/>
      <c r="P57" s="99"/>
      <c r="Q57" s="103"/>
      <c r="R57" s="104"/>
      <c r="S57" s="102"/>
      <c r="T57" s="99"/>
      <c r="U57" s="103"/>
      <c r="V57" s="104"/>
      <c r="W57" s="86" t="str">
        <f t="shared" si="6"/>
        <v/>
      </c>
      <c r="X57" s="86"/>
    </row>
    <row r="58" spans="1:24" ht="13.5" hidden="1" thickBot="1" x14ac:dyDescent="0.25">
      <c r="A58" s="305"/>
      <c r="B58" s="124"/>
      <c r="C58" s="102"/>
      <c r="D58" s="99"/>
      <c r="E58" s="103"/>
      <c r="F58" s="104"/>
      <c r="G58" s="102"/>
      <c r="H58" s="99"/>
      <c r="I58" s="103"/>
      <c r="J58" s="104"/>
      <c r="K58" s="102"/>
      <c r="L58" s="99"/>
      <c r="M58" s="103"/>
      <c r="N58" s="104"/>
      <c r="O58" s="102"/>
      <c r="P58" s="99"/>
      <c r="Q58" s="103"/>
      <c r="R58" s="104"/>
      <c r="S58" s="102"/>
      <c r="T58" s="99"/>
      <c r="U58" s="103"/>
      <c r="V58" s="104"/>
      <c r="W58" s="86" t="str">
        <f t="shared" si="6"/>
        <v/>
      </c>
      <c r="X58" s="86"/>
    </row>
    <row r="59" spans="1:24" ht="13.5" hidden="1" thickBot="1" x14ac:dyDescent="0.25">
      <c r="A59" s="305"/>
      <c r="B59" s="124"/>
      <c r="C59" s="102"/>
      <c r="D59" s="99"/>
      <c r="E59" s="103"/>
      <c r="F59" s="104"/>
      <c r="G59" s="102"/>
      <c r="H59" s="99"/>
      <c r="I59" s="103"/>
      <c r="J59" s="104"/>
      <c r="K59" s="102"/>
      <c r="L59" s="99"/>
      <c r="M59" s="103"/>
      <c r="N59" s="104"/>
      <c r="O59" s="102"/>
      <c r="P59" s="99"/>
      <c r="Q59" s="103"/>
      <c r="R59" s="104"/>
      <c r="S59" s="102"/>
      <c r="T59" s="99"/>
      <c r="U59" s="103"/>
      <c r="V59" s="104"/>
      <c r="W59" s="86" t="str">
        <f t="shared" si="6"/>
        <v/>
      </c>
      <c r="X59" s="86"/>
    </row>
    <row r="60" spans="1:24" ht="13.5" hidden="1" thickBot="1" x14ac:dyDescent="0.25">
      <c r="A60" s="296"/>
      <c r="B60" s="303"/>
      <c r="C60" s="298"/>
      <c r="D60" s="299"/>
      <c r="E60" s="300"/>
      <c r="F60" s="301"/>
      <c r="G60" s="298"/>
      <c r="H60" s="299"/>
      <c r="I60" s="300"/>
      <c r="J60" s="301"/>
      <c r="K60" s="298"/>
      <c r="L60" s="299"/>
      <c r="M60" s="300"/>
      <c r="N60" s="301"/>
      <c r="O60" s="298"/>
      <c r="P60" s="299"/>
      <c r="Q60" s="300"/>
      <c r="R60" s="301"/>
      <c r="S60" s="298"/>
      <c r="T60" s="299"/>
      <c r="U60" s="300"/>
      <c r="V60" s="301"/>
      <c r="W60" s="302" t="str">
        <f t="shared" si="6"/>
        <v/>
      </c>
      <c r="X60" s="302"/>
    </row>
    <row r="61" spans="1:24" ht="13.5" hidden="1" thickBot="1" x14ac:dyDescent="0.25">
      <c r="A61" s="296"/>
      <c r="B61" s="303"/>
      <c r="C61" s="298"/>
      <c r="D61" s="299"/>
      <c r="E61" s="300"/>
      <c r="F61" s="301"/>
      <c r="G61" s="298"/>
      <c r="H61" s="299"/>
      <c r="I61" s="300"/>
      <c r="J61" s="301"/>
      <c r="K61" s="298"/>
      <c r="L61" s="299"/>
      <c r="M61" s="300"/>
      <c r="N61" s="301"/>
      <c r="O61" s="298"/>
      <c r="P61" s="299"/>
      <c r="Q61" s="300"/>
      <c r="R61" s="301"/>
      <c r="S61" s="298"/>
      <c r="T61" s="299"/>
      <c r="U61" s="300"/>
      <c r="V61" s="301"/>
      <c r="W61" s="302" t="str">
        <f t="shared" si="6"/>
        <v/>
      </c>
      <c r="X61" s="302"/>
    </row>
    <row r="62" spans="1:24" ht="13.5" hidden="1" thickBot="1" x14ac:dyDescent="0.25">
      <c r="A62" s="296"/>
      <c r="B62" s="297"/>
      <c r="C62" s="298"/>
      <c r="D62" s="299"/>
      <c r="E62" s="300"/>
      <c r="F62" s="301"/>
      <c r="G62" s="298"/>
      <c r="H62" s="299"/>
      <c r="I62" s="300"/>
      <c r="J62" s="301"/>
      <c r="K62" s="298"/>
      <c r="L62" s="299"/>
      <c r="M62" s="300"/>
      <c r="N62" s="301"/>
      <c r="O62" s="298"/>
      <c r="P62" s="299"/>
      <c r="Q62" s="300"/>
      <c r="R62" s="301"/>
      <c r="S62" s="298"/>
      <c r="T62" s="299"/>
      <c r="U62" s="300"/>
      <c r="V62" s="301"/>
      <c r="W62" s="302" t="str">
        <f t="shared" si="6"/>
        <v/>
      </c>
      <c r="X62" s="302"/>
    </row>
    <row r="63" spans="1:24" ht="13.5" hidden="1" thickBot="1" x14ac:dyDescent="0.25">
      <c r="A63" s="296"/>
      <c r="B63" s="306"/>
      <c r="C63" s="298"/>
      <c r="D63" s="299"/>
      <c r="E63" s="300"/>
      <c r="F63" s="301"/>
      <c r="G63" s="298"/>
      <c r="H63" s="299"/>
      <c r="I63" s="300"/>
      <c r="J63" s="301"/>
      <c r="K63" s="298"/>
      <c r="L63" s="299"/>
      <c r="M63" s="300"/>
      <c r="N63" s="301"/>
      <c r="O63" s="298"/>
      <c r="P63" s="299"/>
      <c r="Q63" s="300"/>
      <c r="R63" s="301"/>
      <c r="S63" s="298"/>
      <c r="T63" s="299"/>
      <c r="U63" s="300"/>
      <c r="V63" s="301"/>
      <c r="W63" s="302" t="str">
        <f t="shared" si="6"/>
        <v/>
      </c>
      <c r="X63" s="302"/>
    </row>
    <row r="64" spans="1:24" ht="13.5" hidden="1" thickBot="1" x14ac:dyDescent="0.25">
      <c r="A64" s="105"/>
      <c r="B64" s="304"/>
      <c r="C64" s="102"/>
      <c r="D64" s="99"/>
      <c r="E64" s="103"/>
      <c r="F64" s="104"/>
      <c r="G64" s="102"/>
      <c r="H64" s="99"/>
      <c r="I64" s="103"/>
      <c r="J64" s="104"/>
      <c r="K64" s="102"/>
      <c r="L64" s="99"/>
      <c r="M64" s="103"/>
      <c r="N64" s="104"/>
      <c r="O64" s="102"/>
      <c r="P64" s="99"/>
      <c r="Q64" s="103"/>
      <c r="R64" s="104"/>
      <c r="S64" s="102"/>
      <c r="T64" s="99"/>
      <c r="U64" s="103"/>
      <c r="V64" s="104"/>
      <c r="W64" s="86" t="str">
        <f t="shared" si="6"/>
        <v/>
      </c>
      <c r="X64" s="86"/>
    </row>
    <row r="65" spans="1:25" ht="13.5" hidden="1" thickBot="1" x14ac:dyDescent="0.25">
      <c r="A65" s="105"/>
      <c r="B65" s="175"/>
      <c r="C65" s="102"/>
      <c r="D65" s="99"/>
      <c r="E65" s="103"/>
      <c r="F65" s="104"/>
      <c r="G65" s="102"/>
      <c r="H65" s="99"/>
      <c r="I65" s="103"/>
      <c r="J65" s="104"/>
      <c r="K65" s="102"/>
      <c r="L65" s="99"/>
      <c r="M65" s="103"/>
      <c r="N65" s="104"/>
      <c r="O65" s="102"/>
      <c r="P65" s="99"/>
      <c r="Q65" s="103"/>
      <c r="R65" s="104"/>
      <c r="S65" s="102"/>
      <c r="T65" s="99"/>
      <c r="U65" s="103"/>
      <c r="V65" s="104"/>
      <c r="W65" s="86" t="str">
        <f t="shared" si="6"/>
        <v/>
      </c>
      <c r="X65" s="86"/>
    </row>
    <row r="66" spans="1:25" ht="13.5" hidden="1" thickBot="1" x14ac:dyDescent="0.25">
      <c r="A66" s="305"/>
      <c r="B66" s="124"/>
      <c r="C66" s="102"/>
      <c r="D66" s="99"/>
      <c r="E66" s="103"/>
      <c r="F66" s="104"/>
      <c r="G66" s="102"/>
      <c r="H66" s="99"/>
      <c r="I66" s="103"/>
      <c r="J66" s="104"/>
      <c r="K66" s="102"/>
      <c r="L66" s="99"/>
      <c r="M66" s="103"/>
      <c r="N66" s="104"/>
      <c r="O66" s="102"/>
      <c r="P66" s="99"/>
      <c r="Q66" s="103"/>
      <c r="R66" s="104"/>
      <c r="S66" s="102"/>
      <c r="T66" s="99"/>
      <c r="U66" s="103"/>
      <c r="V66" s="104"/>
      <c r="W66" s="86" t="str">
        <f t="shared" si="6"/>
        <v/>
      </c>
      <c r="X66" s="86"/>
    </row>
    <row r="67" spans="1:25" ht="13.5" hidden="1" thickBot="1" x14ac:dyDescent="0.25">
      <c r="A67" s="307"/>
      <c r="B67" s="308"/>
      <c r="C67" s="309"/>
      <c r="D67" s="118"/>
      <c r="E67" s="310"/>
      <c r="F67" s="311"/>
      <c r="G67" s="309"/>
      <c r="H67" s="118"/>
      <c r="I67" s="310"/>
      <c r="J67" s="311"/>
      <c r="K67" s="309"/>
      <c r="L67" s="118"/>
      <c r="M67" s="310"/>
      <c r="N67" s="311"/>
      <c r="O67" s="309"/>
      <c r="P67" s="118"/>
      <c r="Q67" s="310"/>
      <c r="R67" s="311"/>
      <c r="S67" s="309"/>
      <c r="T67" s="118"/>
      <c r="U67" s="310"/>
      <c r="V67" s="311"/>
      <c r="W67" s="95" t="str">
        <f t="shared" si="6"/>
        <v/>
      </c>
      <c r="X67" s="95"/>
      <c r="Y67" s="90"/>
    </row>
    <row r="68" spans="1:25" ht="13.5" thickBot="1" x14ac:dyDescent="0.25">
      <c r="A68" s="312"/>
      <c r="B68" s="295" t="s">
        <v>217</v>
      </c>
      <c r="C68" s="363"/>
      <c r="D68" s="364"/>
      <c r="E68" s="364"/>
      <c r="F68" s="365"/>
      <c r="G68" s="164"/>
      <c r="H68" s="165"/>
      <c r="I68" s="165"/>
      <c r="J68" s="166"/>
      <c r="K68" s="164"/>
      <c r="L68" s="165"/>
      <c r="M68" s="165"/>
      <c r="N68" s="166"/>
      <c r="O68" s="164"/>
      <c r="P68" s="165"/>
      <c r="Q68" s="165"/>
      <c r="R68" s="166"/>
      <c r="S68" s="164"/>
      <c r="T68" s="165"/>
      <c r="U68" s="165"/>
      <c r="V68" s="166"/>
      <c r="W68" s="167"/>
      <c r="X68" s="167"/>
      <c r="Y68" s="313" t="s">
        <v>564</v>
      </c>
    </row>
    <row r="69" spans="1:25" ht="14.25" thickTop="1" thickBot="1" x14ac:dyDescent="0.25">
      <c r="A69" s="314">
        <v>6</v>
      </c>
      <c r="B69" s="315" t="s">
        <v>789</v>
      </c>
      <c r="C69" s="439">
        <v>5</v>
      </c>
      <c r="D69" s="316">
        <v>3</v>
      </c>
      <c r="E69" s="316">
        <v>3</v>
      </c>
      <c r="F69" s="715">
        <v>1</v>
      </c>
      <c r="G69" s="713">
        <v>0</v>
      </c>
      <c r="H69" s="316">
        <v>1</v>
      </c>
      <c r="I69" s="316">
        <v>0</v>
      </c>
      <c r="J69" s="439">
        <v>5</v>
      </c>
      <c r="K69" s="318">
        <v>3</v>
      </c>
      <c r="L69" s="316">
        <v>0</v>
      </c>
      <c r="M69" s="439">
        <v>5</v>
      </c>
      <c r="N69" s="317">
        <v>0</v>
      </c>
      <c r="O69" s="318">
        <v>0</v>
      </c>
      <c r="P69" s="316">
        <v>0</v>
      </c>
      <c r="Q69" s="316">
        <v>0</v>
      </c>
      <c r="R69" s="317">
        <v>0</v>
      </c>
      <c r="S69" s="318">
        <v>0</v>
      </c>
      <c r="T69" s="316">
        <v>0</v>
      </c>
      <c r="U69" s="439">
        <v>5</v>
      </c>
      <c r="V69" s="439">
        <v>5</v>
      </c>
      <c r="W69" s="319">
        <f>SUM(C69:V69)</f>
        <v>36</v>
      </c>
      <c r="X69" s="276" t="str">
        <f t="shared" ref="X69:X101" si="7">IF(RANK(Y69,$Y$69:$Y$101)&lt;5,"edasi "&amp;RANK(Y69,$Y$69:$Y$101)+4,RANK(Y69,$Y$69:$Y$101)+4)</f>
        <v>edasi 5</v>
      </c>
      <c r="Y69" s="320">
        <f>W69+IFERROR(INDEX(W$9:W$67,MATCH(B69,B$9:B$67,0)),0)</f>
        <v>56.020299999999999</v>
      </c>
    </row>
    <row r="70" spans="1:25" ht="14.25" thickTop="1" thickBot="1" x14ac:dyDescent="0.25">
      <c r="A70" s="314">
        <v>8</v>
      </c>
      <c r="B70" s="315" t="s">
        <v>40</v>
      </c>
      <c r="C70" s="439">
        <v>5</v>
      </c>
      <c r="D70" s="316">
        <v>0</v>
      </c>
      <c r="E70" s="316">
        <v>0</v>
      </c>
      <c r="F70" s="439">
        <v>5</v>
      </c>
      <c r="G70" s="713">
        <v>3</v>
      </c>
      <c r="H70" s="439">
        <v>5</v>
      </c>
      <c r="I70" s="316">
        <v>0</v>
      </c>
      <c r="J70" s="317">
        <v>0</v>
      </c>
      <c r="K70" s="318">
        <v>0</v>
      </c>
      <c r="L70" s="316">
        <v>0</v>
      </c>
      <c r="M70" s="316">
        <v>0</v>
      </c>
      <c r="N70" s="317">
        <v>3</v>
      </c>
      <c r="O70" s="318">
        <v>0</v>
      </c>
      <c r="P70" s="316">
        <v>0</v>
      </c>
      <c r="Q70" s="316">
        <v>3</v>
      </c>
      <c r="R70" s="317">
        <v>0</v>
      </c>
      <c r="S70" s="318">
        <v>0</v>
      </c>
      <c r="T70" s="439">
        <v>5</v>
      </c>
      <c r="U70" s="316">
        <v>0</v>
      </c>
      <c r="V70" s="439">
        <v>5</v>
      </c>
      <c r="W70" s="319">
        <f t="shared" ref="W70:W72" si="8">SUM(C70:V70)</f>
        <v>34</v>
      </c>
      <c r="X70" s="276" t="str">
        <f t="shared" si="7"/>
        <v>edasi 6</v>
      </c>
      <c r="Y70" s="320">
        <f t="shared" ref="Y70:Y101" si="9">W70+IFERROR(INDEX(W$9:W$67,MATCH(B70,B$9:B$67,0)),0)</f>
        <v>51.010400000000004</v>
      </c>
    </row>
    <row r="71" spans="1:25" ht="14.25" thickTop="1" thickBot="1" x14ac:dyDescent="0.25">
      <c r="A71" s="314">
        <v>2</v>
      </c>
      <c r="B71" s="321" t="s">
        <v>63</v>
      </c>
      <c r="C71" s="318">
        <v>1</v>
      </c>
      <c r="D71" s="316">
        <v>3</v>
      </c>
      <c r="E71" s="316">
        <v>3</v>
      </c>
      <c r="F71" s="715">
        <v>3</v>
      </c>
      <c r="G71" s="713">
        <v>0</v>
      </c>
      <c r="H71" s="439">
        <v>5</v>
      </c>
      <c r="I71" s="316">
        <v>0</v>
      </c>
      <c r="J71" s="317">
        <v>0</v>
      </c>
      <c r="K71" s="318">
        <v>0</v>
      </c>
      <c r="L71" s="316">
        <v>3</v>
      </c>
      <c r="M71" s="316">
        <v>0</v>
      </c>
      <c r="N71" s="317">
        <v>3</v>
      </c>
      <c r="O71" s="318">
        <v>0</v>
      </c>
      <c r="P71" s="316">
        <v>0</v>
      </c>
      <c r="Q71" s="316">
        <v>3</v>
      </c>
      <c r="R71" s="317">
        <v>0</v>
      </c>
      <c r="S71" s="318">
        <v>0</v>
      </c>
      <c r="T71" s="316">
        <v>0</v>
      </c>
      <c r="U71" s="316">
        <v>0</v>
      </c>
      <c r="V71" s="317">
        <v>0</v>
      </c>
      <c r="W71" s="319">
        <f t="shared" si="8"/>
        <v>24</v>
      </c>
      <c r="X71" s="276" t="str">
        <f t="shared" si="7"/>
        <v>edasi 7</v>
      </c>
      <c r="Y71" s="320">
        <f t="shared" si="9"/>
        <v>43.030100000000004</v>
      </c>
    </row>
    <row r="72" spans="1:25" ht="14.25" thickTop="1" thickBot="1" x14ac:dyDescent="0.25">
      <c r="A72" s="314">
        <v>3</v>
      </c>
      <c r="B72" s="322" t="s">
        <v>179</v>
      </c>
      <c r="C72" s="318">
        <v>3</v>
      </c>
      <c r="D72" s="316">
        <v>3</v>
      </c>
      <c r="E72" s="316">
        <v>0</v>
      </c>
      <c r="F72" s="715">
        <v>3</v>
      </c>
      <c r="G72" s="713">
        <v>3</v>
      </c>
      <c r="H72" s="316">
        <v>0</v>
      </c>
      <c r="I72" s="316">
        <v>0</v>
      </c>
      <c r="J72" s="317">
        <v>0</v>
      </c>
      <c r="K72" s="318">
        <v>1</v>
      </c>
      <c r="L72" s="316">
        <v>1</v>
      </c>
      <c r="M72" s="316">
        <v>0</v>
      </c>
      <c r="N72" s="317">
        <v>0</v>
      </c>
      <c r="O72" s="318">
        <v>0</v>
      </c>
      <c r="P72" s="316">
        <v>0</v>
      </c>
      <c r="Q72" s="316">
        <v>0</v>
      </c>
      <c r="R72" s="317">
        <v>0</v>
      </c>
      <c r="S72" s="318">
        <v>0</v>
      </c>
      <c r="T72" s="316">
        <v>0</v>
      </c>
      <c r="U72" s="439">
        <v>5</v>
      </c>
      <c r="V72" s="317">
        <v>0</v>
      </c>
      <c r="W72" s="319">
        <f t="shared" si="8"/>
        <v>19</v>
      </c>
      <c r="X72" s="276" t="str">
        <f t="shared" si="7"/>
        <v>edasi 8</v>
      </c>
      <c r="Y72" s="320">
        <f t="shared" si="9"/>
        <v>38.000599999999999</v>
      </c>
    </row>
    <row r="73" spans="1:25" ht="13.5" thickTop="1" x14ac:dyDescent="0.2">
      <c r="A73" s="323">
        <v>1</v>
      </c>
      <c r="B73" s="324" t="s">
        <v>64</v>
      </c>
      <c r="C73" s="325">
        <v>3</v>
      </c>
      <c r="D73" s="326">
        <v>0</v>
      </c>
      <c r="E73" s="326">
        <v>3</v>
      </c>
      <c r="F73" s="716">
        <v>0</v>
      </c>
      <c r="G73" s="714">
        <v>0</v>
      </c>
      <c r="H73" s="326">
        <v>3</v>
      </c>
      <c r="I73" s="326">
        <v>0</v>
      </c>
      <c r="J73" s="327">
        <v>0</v>
      </c>
      <c r="K73" s="325">
        <v>1</v>
      </c>
      <c r="L73" s="326">
        <v>0</v>
      </c>
      <c r="M73" s="326">
        <v>3</v>
      </c>
      <c r="N73" s="327">
        <v>1</v>
      </c>
      <c r="O73" s="325">
        <v>0</v>
      </c>
      <c r="P73" s="326">
        <v>0</v>
      </c>
      <c r="Q73" s="326">
        <v>0</v>
      </c>
      <c r="R73" s="327">
        <v>0</v>
      </c>
      <c r="S73" s="325">
        <v>0</v>
      </c>
      <c r="T73" s="326">
        <v>0</v>
      </c>
      <c r="U73" s="326">
        <v>3</v>
      </c>
      <c r="V73" s="327">
        <v>0</v>
      </c>
      <c r="W73" s="286">
        <f>SUM(C73:V73)</f>
        <v>17</v>
      </c>
      <c r="X73" s="286">
        <f t="shared" si="7"/>
        <v>9</v>
      </c>
      <c r="Y73" s="287">
        <f t="shared" si="9"/>
        <v>34.010300000000001</v>
      </c>
    </row>
    <row r="74" spans="1:25" x14ac:dyDescent="0.2">
      <c r="A74" s="323">
        <v>7</v>
      </c>
      <c r="B74" s="324" t="s">
        <v>633</v>
      </c>
      <c r="C74" s="325">
        <v>3</v>
      </c>
      <c r="D74" s="326">
        <v>1</v>
      </c>
      <c r="E74" s="326">
        <v>3</v>
      </c>
      <c r="F74" s="716">
        <v>0</v>
      </c>
      <c r="G74" s="714">
        <v>0</v>
      </c>
      <c r="H74" s="326">
        <v>0</v>
      </c>
      <c r="I74" s="326">
        <v>0</v>
      </c>
      <c r="J74" s="327">
        <v>0</v>
      </c>
      <c r="K74" s="325">
        <v>0</v>
      </c>
      <c r="L74" s="326">
        <v>1</v>
      </c>
      <c r="M74" s="326">
        <v>0</v>
      </c>
      <c r="N74" s="327">
        <v>0</v>
      </c>
      <c r="O74" s="325">
        <v>0</v>
      </c>
      <c r="P74" s="326">
        <v>3</v>
      </c>
      <c r="Q74" s="326">
        <v>0</v>
      </c>
      <c r="R74" s="327">
        <v>1</v>
      </c>
      <c r="S74" s="325">
        <v>0</v>
      </c>
      <c r="T74" s="326">
        <v>0</v>
      </c>
      <c r="U74" s="326">
        <v>0</v>
      </c>
      <c r="V74" s="327">
        <v>0</v>
      </c>
      <c r="W74" s="286">
        <f t="shared" ref="W74:W76" si="10">SUM(C74:V74)</f>
        <v>12</v>
      </c>
      <c r="X74" s="286">
        <f t="shared" si="7"/>
        <v>10</v>
      </c>
      <c r="Y74" s="287">
        <f t="shared" si="9"/>
        <v>30.010400000000001</v>
      </c>
    </row>
    <row r="75" spans="1:25" x14ac:dyDescent="0.2">
      <c r="A75" s="323">
        <v>4</v>
      </c>
      <c r="B75" s="328" t="s">
        <v>296</v>
      </c>
      <c r="C75" s="325">
        <v>3</v>
      </c>
      <c r="D75" s="326">
        <v>0</v>
      </c>
      <c r="E75" s="326">
        <v>0</v>
      </c>
      <c r="F75" s="716">
        <v>0</v>
      </c>
      <c r="G75" s="714">
        <v>0</v>
      </c>
      <c r="H75" s="326">
        <v>1</v>
      </c>
      <c r="I75" s="326">
        <v>0</v>
      </c>
      <c r="J75" s="327">
        <v>3</v>
      </c>
      <c r="K75" s="325">
        <v>0</v>
      </c>
      <c r="L75" s="326">
        <v>3</v>
      </c>
      <c r="M75" s="326">
        <v>0</v>
      </c>
      <c r="N75" s="327">
        <v>3</v>
      </c>
      <c r="O75" s="325">
        <v>0</v>
      </c>
      <c r="P75" s="326">
        <v>0</v>
      </c>
      <c r="Q75" s="326">
        <v>0</v>
      </c>
      <c r="R75" s="327">
        <v>0</v>
      </c>
      <c r="S75" s="325">
        <v>0</v>
      </c>
      <c r="T75" s="326">
        <v>0</v>
      </c>
      <c r="U75" s="326">
        <v>0</v>
      </c>
      <c r="V75" s="327">
        <v>0</v>
      </c>
      <c r="W75" s="286">
        <f t="shared" si="10"/>
        <v>13</v>
      </c>
      <c r="X75" s="286">
        <f t="shared" si="7"/>
        <v>11</v>
      </c>
      <c r="Y75" s="287">
        <f t="shared" si="9"/>
        <v>29.020199999999999</v>
      </c>
    </row>
    <row r="76" spans="1:25" x14ac:dyDescent="0.2">
      <c r="A76" s="731">
        <v>5</v>
      </c>
      <c r="B76" s="732" t="s">
        <v>30</v>
      </c>
      <c r="C76" s="733">
        <v>0</v>
      </c>
      <c r="D76" s="734">
        <v>3</v>
      </c>
      <c r="E76" s="734">
        <v>0</v>
      </c>
      <c r="F76" s="735">
        <v>0</v>
      </c>
      <c r="G76" s="736">
        <v>3</v>
      </c>
      <c r="H76" s="734">
        <v>0</v>
      </c>
      <c r="I76" s="734">
        <v>0</v>
      </c>
      <c r="J76" s="737">
        <v>0</v>
      </c>
      <c r="K76" s="733">
        <v>0</v>
      </c>
      <c r="L76" s="734">
        <v>0</v>
      </c>
      <c r="M76" s="734">
        <v>0</v>
      </c>
      <c r="N76" s="737">
        <v>0</v>
      </c>
      <c r="O76" s="733">
        <v>0</v>
      </c>
      <c r="P76" s="734">
        <v>0</v>
      </c>
      <c r="Q76" s="734">
        <v>3</v>
      </c>
      <c r="R76" s="737">
        <v>0</v>
      </c>
      <c r="S76" s="733">
        <v>0</v>
      </c>
      <c r="T76" s="734">
        <v>0</v>
      </c>
      <c r="U76" s="734">
        <v>0</v>
      </c>
      <c r="V76" s="737">
        <v>0</v>
      </c>
      <c r="W76" s="738">
        <f t="shared" si="10"/>
        <v>9</v>
      </c>
      <c r="X76" s="738">
        <f t="shared" si="7"/>
        <v>12</v>
      </c>
      <c r="Y76" s="287">
        <f t="shared" si="9"/>
        <v>28.020299999999999</v>
      </c>
    </row>
    <row r="77" spans="1:25" ht="13.5" customHeight="1" thickBot="1" x14ac:dyDescent="0.25">
      <c r="A77" s="323"/>
      <c r="B77" s="747" t="s">
        <v>534</v>
      </c>
      <c r="C77" s="325">
        <v>3</v>
      </c>
      <c r="D77" s="326">
        <v>0</v>
      </c>
      <c r="E77" s="326">
        <v>0</v>
      </c>
      <c r="F77" s="327">
        <v>0</v>
      </c>
      <c r="G77" s="325">
        <v>0</v>
      </c>
      <c r="H77" s="326">
        <v>0</v>
      </c>
      <c r="I77" s="326">
        <v>0</v>
      </c>
      <c r="J77" s="327">
        <v>0</v>
      </c>
      <c r="K77" s="325">
        <v>0</v>
      </c>
      <c r="L77" s="326">
        <v>0</v>
      </c>
      <c r="M77" s="326">
        <v>3</v>
      </c>
      <c r="N77" s="327">
        <v>0</v>
      </c>
      <c r="O77" s="325">
        <v>0</v>
      </c>
      <c r="P77" s="326">
        <v>0</v>
      </c>
      <c r="Q77" s="326">
        <v>3</v>
      </c>
      <c r="R77" s="327">
        <v>0</v>
      </c>
      <c r="S77" s="325">
        <v>0</v>
      </c>
      <c r="T77" s="326">
        <v>0</v>
      </c>
      <c r="U77" s="326">
        <v>3</v>
      </c>
      <c r="V77" s="327">
        <v>0</v>
      </c>
      <c r="W77" s="286">
        <f t="shared" ref="W77:W101" si="11">SUM(C77:V77)</f>
        <v>12</v>
      </c>
      <c r="X77" s="286">
        <f t="shared" si="7"/>
        <v>13</v>
      </c>
      <c r="Y77" s="287">
        <f t="shared" si="9"/>
        <v>28.010300000000001</v>
      </c>
    </row>
    <row r="78" spans="1:25" ht="13.5" hidden="1" thickBot="1" x14ac:dyDescent="0.25">
      <c r="A78" s="283"/>
      <c r="B78" s="748"/>
      <c r="C78" s="284"/>
      <c r="D78" s="285"/>
      <c r="E78" s="285"/>
      <c r="F78" s="749"/>
      <c r="G78" s="284"/>
      <c r="H78" s="285"/>
      <c r="I78" s="285"/>
      <c r="J78" s="749"/>
      <c r="K78" s="284"/>
      <c r="L78" s="285"/>
      <c r="M78" s="285"/>
      <c r="N78" s="749"/>
      <c r="O78" s="284"/>
      <c r="P78" s="285"/>
      <c r="Q78" s="285"/>
      <c r="R78" s="749"/>
      <c r="S78" s="284"/>
      <c r="T78" s="285"/>
      <c r="U78" s="285"/>
      <c r="V78" s="749"/>
      <c r="W78" s="286">
        <f t="shared" si="11"/>
        <v>0</v>
      </c>
      <c r="X78" s="286">
        <f t="shared" si="7"/>
        <v>14</v>
      </c>
      <c r="Y78" s="287">
        <f t="shared" si="9"/>
        <v>0</v>
      </c>
    </row>
    <row r="79" spans="1:25" ht="13.5" hidden="1" thickBot="1" x14ac:dyDescent="0.25">
      <c r="A79" s="283"/>
      <c r="B79" s="748"/>
      <c r="C79" s="284"/>
      <c r="D79" s="285"/>
      <c r="E79" s="285"/>
      <c r="F79" s="749"/>
      <c r="G79" s="284"/>
      <c r="H79" s="285"/>
      <c r="I79" s="285"/>
      <c r="J79" s="749"/>
      <c r="K79" s="284"/>
      <c r="L79" s="285"/>
      <c r="M79" s="285"/>
      <c r="N79" s="749"/>
      <c r="O79" s="284"/>
      <c r="P79" s="285"/>
      <c r="Q79" s="285"/>
      <c r="R79" s="749"/>
      <c r="S79" s="284"/>
      <c r="T79" s="285"/>
      <c r="U79" s="285"/>
      <c r="V79" s="749"/>
      <c r="W79" s="286">
        <f t="shared" si="11"/>
        <v>0</v>
      </c>
      <c r="X79" s="286">
        <f t="shared" si="7"/>
        <v>14</v>
      </c>
      <c r="Y79" s="287">
        <f t="shared" si="9"/>
        <v>0</v>
      </c>
    </row>
    <row r="80" spans="1:25" ht="13.5" hidden="1" thickBot="1" x14ac:dyDescent="0.25">
      <c r="A80" s="283"/>
      <c r="B80" s="750"/>
      <c r="C80" s="284"/>
      <c r="D80" s="285"/>
      <c r="E80" s="285"/>
      <c r="F80" s="749"/>
      <c r="G80" s="284"/>
      <c r="H80" s="285"/>
      <c r="I80" s="285"/>
      <c r="J80" s="749"/>
      <c r="K80" s="284"/>
      <c r="L80" s="285"/>
      <c r="M80" s="285"/>
      <c r="N80" s="749"/>
      <c r="O80" s="284"/>
      <c r="P80" s="285"/>
      <c r="Q80" s="285"/>
      <c r="R80" s="749"/>
      <c r="S80" s="284"/>
      <c r="T80" s="285"/>
      <c r="U80" s="285"/>
      <c r="V80" s="749"/>
      <c r="W80" s="286">
        <f t="shared" si="11"/>
        <v>0</v>
      </c>
      <c r="X80" s="286">
        <f t="shared" si="7"/>
        <v>14</v>
      </c>
      <c r="Y80" s="287">
        <f t="shared" si="9"/>
        <v>0</v>
      </c>
    </row>
    <row r="81" spans="1:25" ht="13.5" hidden="1" thickBot="1" x14ac:dyDescent="0.25">
      <c r="A81" s="283"/>
      <c r="B81" s="748"/>
      <c r="C81" s="284"/>
      <c r="D81" s="285"/>
      <c r="E81" s="285"/>
      <c r="F81" s="749"/>
      <c r="G81" s="284"/>
      <c r="H81" s="285"/>
      <c r="I81" s="285"/>
      <c r="J81" s="749"/>
      <c r="K81" s="284"/>
      <c r="L81" s="285"/>
      <c r="M81" s="285"/>
      <c r="N81" s="749"/>
      <c r="O81" s="284"/>
      <c r="P81" s="285"/>
      <c r="Q81" s="285"/>
      <c r="R81" s="749"/>
      <c r="S81" s="284"/>
      <c r="T81" s="285"/>
      <c r="U81" s="285"/>
      <c r="V81" s="749"/>
      <c r="W81" s="286">
        <f t="shared" si="11"/>
        <v>0</v>
      </c>
      <c r="X81" s="286">
        <f t="shared" si="7"/>
        <v>14</v>
      </c>
      <c r="Y81" s="287">
        <f t="shared" si="9"/>
        <v>0</v>
      </c>
    </row>
    <row r="82" spans="1:25" ht="13.5" hidden="1" thickBot="1" x14ac:dyDescent="0.25">
      <c r="A82" s="283"/>
      <c r="B82" s="751"/>
      <c r="C82" s="284"/>
      <c r="D82" s="285"/>
      <c r="E82" s="285"/>
      <c r="F82" s="749"/>
      <c r="G82" s="284"/>
      <c r="H82" s="285"/>
      <c r="I82" s="285"/>
      <c r="J82" s="749"/>
      <c r="K82" s="284"/>
      <c r="L82" s="285"/>
      <c r="M82" s="285"/>
      <c r="N82" s="749"/>
      <c r="O82" s="284"/>
      <c r="P82" s="285"/>
      <c r="Q82" s="285"/>
      <c r="R82" s="749"/>
      <c r="S82" s="284"/>
      <c r="T82" s="285"/>
      <c r="U82" s="285"/>
      <c r="V82" s="749"/>
      <c r="W82" s="286">
        <f t="shared" si="11"/>
        <v>0</v>
      </c>
      <c r="X82" s="286">
        <f t="shared" si="7"/>
        <v>14</v>
      </c>
      <c r="Y82" s="287">
        <f t="shared" si="9"/>
        <v>0</v>
      </c>
    </row>
    <row r="83" spans="1:25" ht="13.5" hidden="1" thickBot="1" x14ac:dyDescent="0.25">
      <c r="A83" s="283"/>
      <c r="B83" s="752"/>
      <c r="C83" s="284"/>
      <c r="D83" s="285"/>
      <c r="E83" s="285"/>
      <c r="F83" s="749"/>
      <c r="G83" s="284"/>
      <c r="H83" s="285"/>
      <c r="I83" s="285"/>
      <c r="J83" s="749"/>
      <c r="K83" s="284"/>
      <c r="L83" s="285"/>
      <c r="M83" s="285"/>
      <c r="N83" s="749"/>
      <c r="O83" s="284"/>
      <c r="P83" s="285"/>
      <c r="Q83" s="285"/>
      <c r="R83" s="749"/>
      <c r="S83" s="284"/>
      <c r="T83" s="285"/>
      <c r="U83" s="285"/>
      <c r="V83" s="749"/>
      <c r="W83" s="286">
        <f t="shared" si="11"/>
        <v>0</v>
      </c>
      <c r="X83" s="286">
        <f t="shared" si="7"/>
        <v>14</v>
      </c>
      <c r="Y83" s="287">
        <f t="shared" si="9"/>
        <v>0</v>
      </c>
    </row>
    <row r="84" spans="1:25" ht="13.5" hidden="1" thickBot="1" x14ac:dyDescent="0.25">
      <c r="A84" s="283"/>
      <c r="B84" s="748"/>
      <c r="C84" s="284"/>
      <c r="D84" s="285"/>
      <c r="E84" s="285"/>
      <c r="F84" s="749"/>
      <c r="G84" s="284"/>
      <c r="H84" s="285"/>
      <c r="I84" s="285"/>
      <c r="J84" s="749"/>
      <c r="K84" s="284"/>
      <c r="L84" s="285"/>
      <c r="M84" s="285"/>
      <c r="N84" s="749"/>
      <c r="O84" s="284"/>
      <c r="P84" s="285"/>
      <c r="Q84" s="285"/>
      <c r="R84" s="749"/>
      <c r="S84" s="284"/>
      <c r="T84" s="285"/>
      <c r="U84" s="285"/>
      <c r="V84" s="749"/>
      <c r="W84" s="286">
        <f t="shared" si="11"/>
        <v>0</v>
      </c>
      <c r="X84" s="286">
        <f t="shared" si="7"/>
        <v>14</v>
      </c>
      <c r="Y84" s="287">
        <f t="shared" si="9"/>
        <v>0</v>
      </c>
    </row>
    <row r="85" spans="1:25" ht="13.5" hidden="1" thickBot="1" x14ac:dyDescent="0.25">
      <c r="A85" s="283"/>
      <c r="B85" s="748"/>
      <c r="C85" s="284"/>
      <c r="D85" s="285"/>
      <c r="E85" s="285"/>
      <c r="F85" s="749"/>
      <c r="G85" s="284"/>
      <c r="H85" s="285"/>
      <c r="I85" s="285"/>
      <c r="J85" s="749"/>
      <c r="K85" s="284"/>
      <c r="L85" s="285"/>
      <c r="M85" s="285"/>
      <c r="N85" s="749"/>
      <c r="O85" s="284"/>
      <c r="P85" s="285"/>
      <c r="Q85" s="285"/>
      <c r="R85" s="749"/>
      <c r="S85" s="284"/>
      <c r="T85" s="285"/>
      <c r="U85" s="285"/>
      <c r="V85" s="749"/>
      <c r="W85" s="286">
        <f t="shared" si="11"/>
        <v>0</v>
      </c>
      <c r="X85" s="286">
        <f t="shared" si="7"/>
        <v>14</v>
      </c>
      <c r="Y85" s="287">
        <f t="shared" si="9"/>
        <v>0</v>
      </c>
    </row>
    <row r="86" spans="1:25" ht="13.5" hidden="1" thickBot="1" x14ac:dyDescent="0.25">
      <c r="A86" s="283"/>
      <c r="B86" s="748"/>
      <c r="C86" s="284"/>
      <c r="D86" s="285"/>
      <c r="E86" s="285"/>
      <c r="F86" s="749"/>
      <c r="G86" s="284"/>
      <c r="H86" s="285"/>
      <c r="I86" s="285"/>
      <c r="J86" s="749"/>
      <c r="K86" s="284"/>
      <c r="L86" s="285"/>
      <c r="M86" s="285"/>
      <c r="N86" s="749"/>
      <c r="O86" s="284"/>
      <c r="P86" s="285"/>
      <c r="Q86" s="285"/>
      <c r="R86" s="749"/>
      <c r="S86" s="284"/>
      <c r="T86" s="285"/>
      <c r="U86" s="285"/>
      <c r="V86" s="749"/>
      <c r="W86" s="286">
        <f t="shared" si="11"/>
        <v>0</v>
      </c>
      <c r="X86" s="286">
        <f t="shared" si="7"/>
        <v>14</v>
      </c>
      <c r="Y86" s="287">
        <f t="shared" si="9"/>
        <v>0</v>
      </c>
    </row>
    <row r="87" spans="1:25" ht="13.5" hidden="1" thickBot="1" x14ac:dyDescent="0.25">
      <c r="A87" s="283"/>
      <c r="B87" s="748"/>
      <c r="C87" s="284"/>
      <c r="D87" s="285"/>
      <c r="E87" s="285"/>
      <c r="F87" s="749"/>
      <c r="G87" s="284"/>
      <c r="H87" s="285"/>
      <c r="I87" s="285"/>
      <c r="J87" s="749"/>
      <c r="K87" s="284"/>
      <c r="L87" s="285"/>
      <c r="M87" s="285"/>
      <c r="N87" s="749"/>
      <c r="O87" s="284"/>
      <c r="P87" s="285"/>
      <c r="Q87" s="285"/>
      <c r="R87" s="749"/>
      <c r="S87" s="284"/>
      <c r="T87" s="285"/>
      <c r="U87" s="285"/>
      <c r="V87" s="749"/>
      <c r="W87" s="286">
        <f t="shared" si="11"/>
        <v>0</v>
      </c>
      <c r="X87" s="286">
        <f t="shared" si="7"/>
        <v>14</v>
      </c>
      <c r="Y87" s="287">
        <f t="shared" si="9"/>
        <v>0</v>
      </c>
    </row>
    <row r="88" spans="1:25" ht="13.5" hidden="1" thickBot="1" x14ac:dyDescent="0.25">
      <c r="A88" s="283"/>
      <c r="B88" s="750"/>
      <c r="C88" s="284"/>
      <c r="D88" s="285"/>
      <c r="E88" s="285"/>
      <c r="F88" s="749"/>
      <c r="G88" s="284"/>
      <c r="H88" s="285"/>
      <c r="I88" s="285"/>
      <c r="J88" s="749"/>
      <c r="K88" s="284"/>
      <c r="L88" s="285"/>
      <c r="M88" s="285"/>
      <c r="N88" s="749"/>
      <c r="O88" s="284"/>
      <c r="P88" s="285"/>
      <c r="Q88" s="285"/>
      <c r="R88" s="749"/>
      <c r="S88" s="284"/>
      <c r="T88" s="285"/>
      <c r="U88" s="285"/>
      <c r="V88" s="749"/>
      <c r="W88" s="286">
        <f t="shared" si="11"/>
        <v>0</v>
      </c>
      <c r="X88" s="286">
        <f t="shared" si="7"/>
        <v>14</v>
      </c>
      <c r="Y88" s="287">
        <f t="shared" si="9"/>
        <v>0</v>
      </c>
    </row>
    <row r="89" spans="1:25" ht="13.5" hidden="1" thickBot="1" x14ac:dyDescent="0.25">
      <c r="A89" s="283"/>
      <c r="B89" s="748"/>
      <c r="C89" s="284"/>
      <c r="D89" s="285"/>
      <c r="E89" s="285"/>
      <c r="F89" s="749"/>
      <c r="G89" s="284"/>
      <c r="H89" s="285"/>
      <c r="I89" s="285"/>
      <c r="J89" s="749"/>
      <c r="K89" s="284"/>
      <c r="L89" s="285"/>
      <c r="M89" s="285"/>
      <c r="N89" s="749"/>
      <c r="O89" s="284"/>
      <c r="P89" s="285"/>
      <c r="Q89" s="285"/>
      <c r="R89" s="749"/>
      <c r="S89" s="284"/>
      <c r="T89" s="285"/>
      <c r="U89" s="285"/>
      <c r="V89" s="749"/>
      <c r="W89" s="286">
        <f t="shared" si="11"/>
        <v>0</v>
      </c>
      <c r="X89" s="286">
        <f t="shared" si="7"/>
        <v>14</v>
      </c>
      <c r="Y89" s="287">
        <f t="shared" si="9"/>
        <v>0</v>
      </c>
    </row>
    <row r="90" spans="1:25" ht="13.5" hidden="1" thickBot="1" x14ac:dyDescent="0.25">
      <c r="A90" s="283"/>
      <c r="B90" s="751"/>
      <c r="C90" s="284"/>
      <c r="D90" s="285"/>
      <c r="E90" s="285"/>
      <c r="F90" s="749"/>
      <c r="G90" s="284"/>
      <c r="H90" s="285"/>
      <c r="I90" s="285"/>
      <c r="J90" s="749"/>
      <c r="K90" s="284"/>
      <c r="L90" s="285"/>
      <c r="M90" s="285"/>
      <c r="N90" s="749"/>
      <c r="O90" s="284"/>
      <c r="P90" s="285"/>
      <c r="Q90" s="285"/>
      <c r="R90" s="749"/>
      <c r="S90" s="284"/>
      <c r="T90" s="285"/>
      <c r="U90" s="285"/>
      <c r="V90" s="749"/>
      <c r="W90" s="286">
        <f t="shared" si="11"/>
        <v>0</v>
      </c>
      <c r="X90" s="286">
        <f t="shared" si="7"/>
        <v>14</v>
      </c>
      <c r="Y90" s="287">
        <f t="shared" si="9"/>
        <v>0</v>
      </c>
    </row>
    <row r="91" spans="1:25" ht="13.5" hidden="1" thickBot="1" x14ac:dyDescent="0.25">
      <c r="A91" s="283"/>
      <c r="B91" s="752"/>
      <c r="C91" s="284"/>
      <c r="D91" s="285"/>
      <c r="E91" s="285"/>
      <c r="F91" s="749"/>
      <c r="G91" s="284"/>
      <c r="H91" s="285"/>
      <c r="I91" s="285"/>
      <c r="J91" s="749"/>
      <c r="K91" s="284"/>
      <c r="L91" s="285"/>
      <c r="M91" s="285"/>
      <c r="N91" s="749"/>
      <c r="O91" s="284"/>
      <c r="P91" s="285"/>
      <c r="Q91" s="285"/>
      <c r="R91" s="749"/>
      <c r="S91" s="284"/>
      <c r="T91" s="285"/>
      <c r="U91" s="285"/>
      <c r="V91" s="749"/>
      <c r="W91" s="286">
        <f t="shared" si="11"/>
        <v>0</v>
      </c>
      <c r="X91" s="286">
        <f t="shared" si="7"/>
        <v>14</v>
      </c>
      <c r="Y91" s="287">
        <f t="shared" si="9"/>
        <v>0</v>
      </c>
    </row>
    <row r="92" spans="1:25" ht="13.5" hidden="1" thickBot="1" x14ac:dyDescent="0.25">
      <c r="A92" s="283"/>
      <c r="B92" s="748"/>
      <c r="C92" s="284"/>
      <c r="D92" s="285"/>
      <c r="E92" s="285"/>
      <c r="F92" s="749"/>
      <c r="G92" s="284"/>
      <c r="H92" s="285"/>
      <c r="I92" s="285"/>
      <c r="J92" s="749"/>
      <c r="K92" s="284"/>
      <c r="L92" s="285"/>
      <c r="M92" s="285"/>
      <c r="N92" s="749"/>
      <c r="O92" s="284"/>
      <c r="P92" s="285"/>
      <c r="Q92" s="285"/>
      <c r="R92" s="749"/>
      <c r="S92" s="284"/>
      <c r="T92" s="285"/>
      <c r="U92" s="285"/>
      <c r="V92" s="749"/>
      <c r="W92" s="286">
        <f t="shared" si="11"/>
        <v>0</v>
      </c>
      <c r="X92" s="286">
        <f t="shared" si="7"/>
        <v>14</v>
      </c>
      <c r="Y92" s="287">
        <f t="shared" si="9"/>
        <v>0</v>
      </c>
    </row>
    <row r="93" spans="1:25" ht="13.5" hidden="1" thickBot="1" x14ac:dyDescent="0.25">
      <c r="A93" s="283"/>
      <c r="B93" s="748"/>
      <c r="C93" s="284"/>
      <c r="D93" s="285"/>
      <c r="E93" s="285"/>
      <c r="F93" s="749"/>
      <c r="G93" s="284"/>
      <c r="H93" s="285"/>
      <c r="I93" s="285"/>
      <c r="J93" s="749"/>
      <c r="K93" s="284"/>
      <c r="L93" s="285"/>
      <c r="M93" s="285"/>
      <c r="N93" s="749"/>
      <c r="O93" s="284"/>
      <c r="P93" s="285"/>
      <c r="Q93" s="285"/>
      <c r="R93" s="749"/>
      <c r="S93" s="284"/>
      <c r="T93" s="285"/>
      <c r="U93" s="285"/>
      <c r="V93" s="749"/>
      <c r="W93" s="286">
        <f t="shared" si="11"/>
        <v>0</v>
      </c>
      <c r="X93" s="286">
        <f t="shared" si="7"/>
        <v>14</v>
      </c>
      <c r="Y93" s="287">
        <f t="shared" si="9"/>
        <v>0</v>
      </c>
    </row>
    <row r="94" spans="1:25" ht="13.5" hidden="1" thickBot="1" x14ac:dyDescent="0.25">
      <c r="A94" s="283"/>
      <c r="B94" s="750"/>
      <c r="C94" s="284"/>
      <c r="D94" s="285"/>
      <c r="E94" s="285"/>
      <c r="F94" s="749"/>
      <c r="G94" s="284"/>
      <c r="H94" s="285"/>
      <c r="I94" s="285"/>
      <c r="J94" s="749"/>
      <c r="K94" s="284"/>
      <c r="L94" s="285"/>
      <c r="M94" s="285"/>
      <c r="N94" s="749"/>
      <c r="O94" s="284"/>
      <c r="P94" s="285"/>
      <c r="Q94" s="285"/>
      <c r="R94" s="749"/>
      <c r="S94" s="284"/>
      <c r="T94" s="285"/>
      <c r="U94" s="285"/>
      <c r="V94" s="749"/>
      <c r="W94" s="286">
        <f t="shared" si="11"/>
        <v>0</v>
      </c>
      <c r="X94" s="286">
        <f t="shared" si="7"/>
        <v>14</v>
      </c>
      <c r="Y94" s="287">
        <f t="shared" si="9"/>
        <v>0</v>
      </c>
    </row>
    <row r="95" spans="1:25" ht="13.5" hidden="1" thickBot="1" x14ac:dyDescent="0.25">
      <c r="A95" s="283"/>
      <c r="B95" s="750"/>
      <c r="C95" s="284"/>
      <c r="D95" s="285"/>
      <c r="E95" s="285"/>
      <c r="F95" s="749"/>
      <c r="G95" s="284"/>
      <c r="H95" s="285"/>
      <c r="I95" s="285"/>
      <c r="J95" s="749"/>
      <c r="K95" s="284"/>
      <c r="L95" s="285"/>
      <c r="M95" s="285"/>
      <c r="N95" s="749"/>
      <c r="O95" s="284"/>
      <c r="P95" s="285"/>
      <c r="Q95" s="285"/>
      <c r="R95" s="749"/>
      <c r="S95" s="284"/>
      <c r="T95" s="285"/>
      <c r="U95" s="285"/>
      <c r="V95" s="749"/>
      <c r="W95" s="286">
        <f t="shared" si="11"/>
        <v>0</v>
      </c>
      <c r="X95" s="286">
        <f t="shared" si="7"/>
        <v>14</v>
      </c>
      <c r="Y95" s="287">
        <f t="shared" si="9"/>
        <v>0</v>
      </c>
    </row>
    <row r="96" spans="1:25" ht="13.5" hidden="1" thickBot="1" x14ac:dyDescent="0.25">
      <c r="A96" s="283"/>
      <c r="B96" s="748"/>
      <c r="C96" s="284"/>
      <c r="D96" s="285"/>
      <c r="E96" s="285"/>
      <c r="F96" s="749"/>
      <c r="G96" s="284"/>
      <c r="H96" s="285"/>
      <c r="I96" s="285"/>
      <c r="J96" s="749"/>
      <c r="K96" s="284"/>
      <c r="L96" s="285"/>
      <c r="M96" s="285"/>
      <c r="N96" s="749"/>
      <c r="O96" s="284"/>
      <c r="P96" s="285"/>
      <c r="Q96" s="285"/>
      <c r="R96" s="749"/>
      <c r="S96" s="284"/>
      <c r="T96" s="285"/>
      <c r="U96" s="285"/>
      <c r="V96" s="749"/>
      <c r="W96" s="286">
        <f t="shared" si="11"/>
        <v>0</v>
      </c>
      <c r="X96" s="286">
        <f t="shared" si="7"/>
        <v>14</v>
      </c>
      <c r="Y96" s="287">
        <f t="shared" si="9"/>
        <v>0</v>
      </c>
    </row>
    <row r="97" spans="1:28" ht="13.5" hidden="1" thickBot="1" x14ac:dyDescent="0.25">
      <c r="A97" s="283"/>
      <c r="B97" s="323"/>
      <c r="C97" s="284"/>
      <c r="D97" s="285"/>
      <c r="E97" s="285"/>
      <c r="F97" s="749"/>
      <c r="G97" s="284"/>
      <c r="H97" s="285"/>
      <c r="I97" s="285"/>
      <c r="J97" s="749"/>
      <c r="K97" s="284"/>
      <c r="L97" s="285"/>
      <c r="M97" s="285"/>
      <c r="N97" s="749"/>
      <c r="O97" s="284"/>
      <c r="P97" s="285"/>
      <c r="Q97" s="285"/>
      <c r="R97" s="749"/>
      <c r="S97" s="284"/>
      <c r="T97" s="285"/>
      <c r="U97" s="285"/>
      <c r="V97" s="749"/>
      <c r="W97" s="286">
        <f t="shared" si="11"/>
        <v>0</v>
      </c>
      <c r="X97" s="286">
        <f t="shared" si="7"/>
        <v>14</v>
      </c>
      <c r="Y97" s="287">
        <f t="shared" si="9"/>
        <v>0</v>
      </c>
    </row>
    <row r="98" spans="1:28" ht="13.5" hidden="1" thickBot="1" x14ac:dyDescent="0.25">
      <c r="A98" s="283"/>
      <c r="B98" s="751"/>
      <c r="C98" s="284"/>
      <c r="D98" s="285"/>
      <c r="E98" s="285"/>
      <c r="F98" s="749"/>
      <c r="G98" s="284"/>
      <c r="H98" s="285"/>
      <c r="I98" s="285"/>
      <c r="J98" s="749"/>
      <c r="K98" s="284"/>
      <c r="L98" s="285"/>
      <c r="M98" s="285"/>
      <c r="N98" s="749"/>
      <c r="O98" s="284"/>
      <c r="P98" s="285"/>
      <c r="Q98" s="285"/>
      <c r="R98" s="749"/>
      <c r="S98" s="284"/>
      <c r="T98" s="285"/>
      <c r="U98" s="285"/>
      <c r="V98" s="749"/>
      <c r="W98" s="286">
        <f t="shared" si="11"/>
        <v>0</v>
      </c>
      <c r="X98" s="286">
        <f t="shared" si="7"/>
        <v>14</v>
      </c>
      <c r="Y98" s="287">
        <f t="shared" si="9"/>
        <v>0</v>
      </c>
    </row>
    <row r="99" spans="1:28" ht="13.5" hidden="1" thickBot="1" x14ac:dyDescent="0.25">
      <c r="A99" s="283"/>
      <c r="B99" s="752"/>
      <c r="C99" s="284"/>
      <c r="D99" s="285"/>
      <c r="E99" s="285"/>
      <c r="F99" s="749"/>
      <c r="G99" s="284"/>
      <c r="H99" s="285"/>
      <c r="I99" s="285"/>
      <c r="J99" s="749"/>
      <c r="K99" s="284"/>
      <c r="L99" s="285"/>
      <c r="M99" s="285"/>
      <c r="N99" s="749"/>
      <c r="O99" s="284"/>
      <c r="P99" s="285"/>
      <c r="Q99" s="285"/>
      <c r="R99" s="749"/>
      <c r="S99" s="284"/>
      <c r="T99" s="285"/>
      <c r="U99" s="285"/>
      <c r="V99" s="749"/>
      <c r="W99" s="286">
        <f t="shared" si="11"/>
        <v>0</v>
      </c>
      <c r="X99" s="286">
        <f t="shared" si="7"/>
        <v>14</v>
      </c>
      <c r="Y99" s="287">
        <f t="shared" si="9"/>
        <v>0</v>
      </c>
    </row>
    <row r="100" spans="1:28" ht="13.5" hidden="1" thickBot="1" x14ac:dyDescent="0.25">
      <c r="A100" s="283"/>
      <c r="B100" s="748"/>
      <c r="C100" s="284"/>
      <c r="D100" s="285"/>
      <c r="E100" s="285"/>
      <c r="F100" s="749"/>
      <c r="G100" s="284"/>
      <c r="H100" s="285"/>
      <c r="I100" s="285"/>
      <c r="J100" s="749"/>
      <c r="K100" s="284"/>
      <c r="L100" s="285"/>
      <c r="M100" s="285"/>
      <c r="N100" s="749"/>
      <c r="O100" s="284"/>
      <c r="P100" s="285"/>
      <c r="Q100" s="285"/>
      <c r="R100" s="749"/>
      <c r="S100" s="284"/>
      <c r="T100" s="285"/>
      <c r="U100" s="285"/>
      <c r="V100" s="749"/>
      <c r="W100" s="286">
        <f t="shared" si="11"/>
        <v>0</v>
      </c>
      <c r="X100" s="286">
        <f t="shared" si="7"/>
        <v>14</v>
      </c>
      <c r="Y100" s="287">
        <f t="shared" si="9"/>
        <v>0</v>
      </c>
    </row>
    <row r="101" spans="1:28" ht="13.5" hidden="1" thickBot="1" x14ac:dyDescent="0.25">
      <c r="A101" s="288"/>
      <c r="B101" s="753"/>
      <c r="C101" s="290"/>
      <c r="D101" s="291"/>
      <c r="E101" s="291"/>
      <c r="F101" s="292"/>
      <c r="G101" s="290"/>
      <c r="H101" s="291"/>
      <c r="I101" s="291"/>
      <c r="J101" s="292"/>
      <c r="K101" s="290"/>
      <c r="L101" s="291"/>
      <c r="M101" s="291"/>
      <c r="N101" s="292"/>
      <c r="O101" s="290"/>
      <c r="P101" s="291"/>
      <c r="Q101" s="291"/>
      <c r="R101" s="292"/>
      <c r="S101" s="290"/>
      <c r="T101" s="291"/>
      <c r="U101" s="291"/>
      <c r="V101" s="292"/>
      <c r="W101" s="286">
        <f t="shared" si="11"/>
        <v>0</v>
      </c>
      <c r="X101" s="286">
        <f t="shared" si="7"/>
        <v>14</v>
      </c>
      <c r="Y101" s="287">
        <f t="shared" si="9"/>
        <v>0</v>
      </c>
    </row>
    <row r="102" spans="1:28" ht="13.5" thickBot="1" x14ac:dyDescent="0.25">
      <c r="A102" s="294"/>
      <c r="B102" s="163" t="s">
        <v>211</v>
      </c>
      <c r="C102" s="164"/>
      <c r="D102" s="165"/>
      <c r="E102" s="165"/>
      <c r="F102" s="166"/>
      <c r="G102" s="164"/>
      <c r="H102" s="165"/>
      <c r="I102" s="165"/>
      <c r="J102" s="166"/>
      <c r="K102" s="164"/>
      <c r="L102" s="165"/>
      <c r="M102" s="165"/>
      <c r="N102" s="166"/>
      <c r="O102" s="164"/>
      <c r="P102" s="165"/>
      <c r="Q102" s="165"/>
      <c r="R102" s="709"/>
      <c r="S102" s="164"/>
      <c r="T102" s="165"/>
      <c r="U102" s="165"/>
      <c r="V102" s="166"/>
      <c r="W102" s="329" t="str">
        <f t="shared" ref="W102:W119" si="12">IF(COUNTA(C102:V102)=0,"",SUM(C102:V102)+COUNTIF(C102:V102,5)/100+COUNTIF(C102:V102,3)/10000)</f>
        <v/>
      </c>
      <c r="X102" s="167"/>
      <c r="Y102" s="271"/>
      <c r="Z102" s="84"/>
      <c r="AA102" s="85" t="s">
        <v>212</v>
      </c>
      <c r="AB102" s="85" t="s">
        <v>213</v>
      </c>
    </row>
    <row r="103" spans="1:28" ht="14.25" thickTop="1" thickBot="1" x14ac:dyDescent="0.25">
      <c r="A103" s="306">
        <v>1</v>
      </c>
      <c r="B103" s="330" t="str">
        <f>IFERROR(INDEX(B$9:B$76,MATCH("edasi "&amp;A103,X$9:X$76,0)),"")</f>
        <v>Ivar Viljaste</v>
      </c>
      <c r="C103" s="331">
        <v>3</v>
      </c>
      <c r="D103" s="332">
        <v>0</v>
      </c>
      <c r="E103" s="332">
        <v>1</v>
      </c>
      <c r="F103" s="333">
        <v>0</v>
      </c>
      <c r="G103" s="331">
        <v>3</v>
      </c>
      <c r="H103" s="332">
        <v>0</v>
      </c>
      <c r="I103" s="332">
        <v>0</v>
      </c>
      <c r="J103" s="333">
        <v>0</v>
      </c>
      <c r="K103" s="331">
        <v>0</v>
      </c>
      <c r="L103" s="332">
        <v>0</v>
      </c>
      <c r="M103" s="332">
        <v>3</v>
      </c>
      <c r="N103" s="333">
        <v>0</v>
      </c>
      <c r="O103" s="331">
        <v>0</v>
      </c>
      <c r="P103" s="332">
        <v>0</v>
      </c>
      <c r="Q103" s="332">
        <v>0</v>
      </c>
      <c r="R103" s="719">
        <v>0</v>
      </c>
      <c r="S103" s="331">
        <v>3</v>
      </c>
      <c r="T103" s="729">
        <v>5</v>
      </c>
      <c r="U103" s="332">
        <v>3</v>
      </c>
      <c r="V103" s="719">
        <v>0</v>
      </c>
      <c r="W103" s="717">
        <f t="shared" si="12"/>
        <v>21.0105</v>
      </c>
      <c r="X103" s="335" t="str">
        <f>IF(ISBLANK(C103),"",IF(W103=W104,"edasi "&amp;RANK(W103,$AB$103:$AB$110),(IF(RANK(Z103,$Z$103:$Z$104)&lt;2,"edasi "&amp;RANK(W103,$AB$103:$AB$110),RANK(W103,$AA$103:$AA$110)+4))))</f>
        <v>edasi 3</v>
      </c>
      <c r="Z103" s="87">
        <f>IF(COUNTA(C103:V103)=0,100,W103+IF(RANK(W103,$W$103:$W$104)=1,100,0))</f>
        <v>121.01050000000001</v>
      </c>
      <c r="AA103" s="85">
        <f>MIN(W103:W104)</f>
        <v>8.0001999999999995</v>
      </c>
      <c r="AB103" s="85">
        <f>MAX(W103:W104)</f>
        <v>21.0105</v>
      </c>
    </row>
    <row r="104" spans="1:28" ht="14.25" thickTop="1" thickBot="1" x14ac:dyDescent="0.25">
      <c r="A104" s="306">
        <v>8</v>
      </c>
      <c r="B104" s="330" t="str">
        <f t="shared" ref="B104:B110" si="13">IFERROR(INDEX(B$9:B$76,MATCH("edasi "&amp;A104,X$9:X$76,0)),"")</f>
        <v>Urmo Auväärt</v>
      </c>
      <c r="C104" s="331">
        <v>0</v>
      </c>
      <c r="D104" s="332">
        <v>0</v>
      </c>
      <c r="E104" s="332">
        <v>3</v>
      </c>
      <c r="F104" s="333">
        <v>0</v>
      </c>
      <c r="G104" s="331">
        <v>0</v>
      </c>
      <c r="H104" s="332">
        <v>0</v>
      </c>
      <c r="I104" s="332">
        <v>0</v>
      </c>
      <c r="J104" s="333">
        <v>0</v>
      </c>
      <c r="K104" s="331">
        <v>1</v>
      </c>
      <c r="L104" s="332">
        <v>1</v>
      </c>
      <c r="M104" s="332">
        <v>0</v>
      </c>
      <c r="N104" s="333">
        <v>0</v>
      </c>
      <c r="O104" s="331">
        <v>0</v>
      </c>
      <c r="P104" s="332">
        <v>0</v>
      </c>
      <c r="Q104" s="332">
        <v>0</v>
      </c>
      <c r="R104" s="719">
        <v>3</v>
      </c>
      <c r="S104" s="331">
        <v>0</v>
      </c>
      <c r="T104" s="332">
        <v>0</v>
      </c>
      <c r="U104" s="332">
        <v>0</v>
      </c>
      <c r="V104" s="719">
        <v>0</v>
      </c>
      <c r="W104" s="717">
        <f t="shared" si="12"/>
        <v>8.0001999999999995</v>
      </c>
      <c r="X104" s="335">
        <f>IF(ISBLANK(C104),"",IF(RANK(Z104,$Z$103:$Z$104)&lt;2,"edasi "&amp;RANK(W104,$AB$103:$AB$110),RANK(W104,$AA$103:$AA$110)+4))</f>
        <v>8</v>
      </c>
      <c r="Z104" s="88">
        <f>IF(COUNTA(C104:V104)=0,0,W104+IF(RANK(W104,$W$103:$W$104)=1,100,0))</f>
        <v>8.0001999999999995</v>
      </c>
      <c r="AA104" s="85"/>
      <c r="AB104" s="85"/>
    </row>
    <row r="105" spans="1:28" ht="14.25" thickTop="1" thickBot="1" x14ac:dyDescent="0.25">
      <c r="A105" s="108">
        <v>4</v>
      </c>
      <c r="B105" s="383" t="str">
        <f t="shared" si="13"/>
        <v>Janek Tarto</v>
      </c>
      <c r="C105" s="80">
        <v>0</v>
      </c>
      <c r="D105" s="730">
        <v>5</v>
      </c>
      <c r="E105" s="81">
        <v>0</v>
      </c>
      <c r="F105" s="82">
        <v>0</v>
      </c>
      <c r="G105" s="80">
        <v>0</v>
      </c>
      <c r="H105" s="81">
        <v>0</v>
      </c>
      <c r="I105" s="730">
        <v>5</v>
      </c>
      <c r="J105" s="82">
        <v>0</v>
      </c>
      <c r="K105" s="80">
        <v>0</v>
      </c>
      <c r="L105" s="81">
        <v>0</v>
      </c>
      <c r="M105" s="81">
        <v>0</v>
      </c>
      <c r="N105" s="82">
        <v>3</v>
      </c>
      <c r="O105" s="80">
        <v>0</v>
      </c>
      <c r="P105" s="81">
        <v>0</v>
      </c>
      <c r="Q105" s="81">
        <v>0</v>
      </c>
      <c r="R105" s="82">
        <v>0</v>
      </c>
      <c r="S105" s="80">
        <v>0</v>
      </c>
      <c r="T105" s="81">
        <v>0</v>
      </c>
      <c r="U105" s="81">
        <v>0</v>
      </c>
      <c r="V105" s="366">
        <v>0</v>
      </c>
      <c r="W105" s="717">
        <f t="shared" si="12"/>
        <v>13.020099999999999</v>
      </c>
      <c r="X105" s="83">
        <f>IF(ISBLANK(C105),"",IF(RANK(Z105,$Z$105:$Z$106)&lt;2,"edasi "&amp;RANK(W105,$AB$103:$AB$110),RANK(W105,$AA$103:$AA$110)+4))</f>
        <v>7</v>
      </c>
      <c r="Z105" s="87">
        <f>IF(COUNTA(C105:V105)=0,100,W105+IF(RANK(W105,$W$105:$W$106)=1,100,0))</f>
        <v>13.020099999999999</v>
      </c>
      <c r="AA105" s="85">
        <f>MIN(W105:W106)</f>
        <v>13.020099999999999</v>
      </c>
      <c r="AB105" s="85">
        <f>MAX(W105:W106)</f>
        <v>19.010400000000001</v>
      </c>
    </row>
    <row r="106" spans="1:28" ht="14.25" thickTop="1" thickBot="1" x14ac:dyDescent="0.25">
      <c r="A106" s="108">
        <v>5</v>
      </c>
      <c r="B106" s="383" t="str">
        <f t="shared" si="13"/>
        <v>Allar Elerand</v>
      </c>
      <c r="C106" s="80">
        <v>0</v>
      </c>
      <c r="D106" s="81">
        <v>3</v>
      </c>
      <c r="E106" s="81">
        <v>0</v>
      </c>
      <c r="F106" s="82">
        <v>0</v>
      </c>
      <c r="G106" s="80">
        <v>3</v>
      </c>
      <c r="H106" s="81">
        <v>0</v>
      </c>
      <c r="I106" s="81">
        <v>0</v>
      </c>
      <c r="J106" s="82">
        <v>3</v>
      </c>
      <c r="K106" s="80">
        <v>3</v>
      </c>
      <c r="L106" s="81">
        <v>1</v>
      </c>
      <c r="M106" s="81">
        <v>0</v>
      </c>
      <c r="N106" s="82">
        <v>0</v>
      </c>
      <c r="O106" s="80">
        <v>0</v>
      </c>
      <c r="P106" s="81">
        <v>0</v>
      </c>
      <c r="Q106" s="81">
        <v>1</v>
      </c>
      <c r="R106" s="82">
        <v>0</v>
      </c>
      <c r="S106" s="80">
        <v>0</v>
      </c>
      <c r="T106" s="81">
        <v>0</v>
      </c>
      <c r="U106" s="81">
        <v>0</v>
      </c>
      <c r="V106" s="730">
        <v>5</v>
      </c>
      <c r="W106" s="717">
        <f t="shared" si="12"/>
        <v>19.010400000000001</v>
      </c>
      <c r="X106" s="83" t="str">
        <f>IF(ISBLANK(C106),"",IF(RANK(Z106,$Z$105:$Z$106)&lt;2,"edasi "&amp;RANK(W106,$AB$103:$AB$110),RANK(W106,$AA$103:$AA$110)+4))</f>
        <v>edasi 4</v>
      </c>
      <c r="Z106" s="88">
        <f>IF(COUNTA(C106:V106)=0,0,W106+IF(RANK(W106,$W$105:$W$106)=1,100,0))</f>
        <v>119.0104</v>
      </c>
      <c r="AA106" s="85"/>
      <c r="AB106" s="85"/>
    </row>
    <row r="107" spans="1:28" ht="14.25" thickTop="1" thickBot="1" x14ac:dyDescent="0.25">
      <c r="A107" s="306">
        <v>2</v>
      </c>
      <c r="B107" s="330" t="str">
        <f t="shared" si="13"/>
        <v>Andero Kelu</v>
      </c>
      <c r="C107" s="331">
        <v>3</v>
      </c>
      <c r="D107" s="332">
        <v>0</v>
      </c>
      <c r="E107" s="332">
        <v>3</v>
      </c>
      <c r="F107" s="333">
        <v>3</v>
      </c>
      <c r="G107" s="331">
        <v>0</v>
      </c>
      <c r="H107" s="332">
        <v>3</v>
      </c>
      <c r="I107" s="332">
        <v>0</v>
      </c>
      <c r="J107" s="333">
        <v>0</v>
      </c>
      <c r="K107" s="331">
        <v>0</v>
      </c>
      <c r="L107" s="729">
        <v>5</v>
      </c>
      <c r="M107" s="332">
        <v>1</v>
      </c>
      <c r="N107" s="333">
        <v>0</v>
      </c>
      <c r="O107" s="331">
        <v>1</v>
      </c>
      <c r="P107" s="332">
        <v>0</v>
      </c>
      <c r="Q107" s="332">
        <v>0</v>
      </c>
      <c r="R107" s="333">
        <v>0</v>
      </c>
      <c r="S107" s="729">
        <v>5</v>
      </c>
      <c r="T107" s="332">
        <v>0</v>
      </c>
      <c r="U107" s="332">
        <v>3</v>
      </c>
      <c r="V107" s="719">
        <v>0</v>
      </c>
      <c r="W107" s="717">
        <f t="shared" si="12"/>
        <v>27.020499999999998</v>
      </c>
      <c r="X107" s="335">
        <f>IF(ISBLANK(C107),"",IF(RANK(Z107,$Z$107:$Z$108)&lt;2,"edasi "&amp;RANK(W107,$AB$103:$AB$110),RANK(W107,$AA$103:$AA$110)+4))</f>
        <v>5</v>
      </c>
      <c r="Z107" s="87">
        <f>IF(COUNTA(C107:V107)=0,100,W107+IF(RANK(W107,$W$107:$W$108)=1,100,0))</f>
        <v>27.020499999999998</v>
      </c>
      <c r="AA107" s="85">
        <f>MIN(W107:W108)</f>
        <v>27.020499999999998</v>
      </c>
      <c r="AB107" s="85">
        <f>MAX(W107:W108)</f>
        <v>33.020700000000005</v>
      </c>
    </row>
    <row r="108" spans="1:28" ht="14.25" thickTop="1" thickBot="1" x14ac:dyDescent="0.25">
      <c r="A108" s="306">
        <v>7</v>
      </c>
      <c r="B108" s="330" t="str">
        <f t="shared" si="13"/>
        <v>Ülo Piik</v>
      </c>
      <c r="C108" s="331">
        <v>0</v>
      </c>
      <c r="D108" s="332">
        <v>0</v>
      </c>
      <c r="E108" s="332">
        <v>3</v>
      </c>
      <c r="F108" s="333">
        <v>0</v>
      </c>
      <c r="G108" s="331">
        <v>1</v>
      </c>
      <c r="H108" s="332">
        <v>3</v>
      </c>
      <c r="I108" s="332">
        <v>3</v>
      </c>
      <c r="J108" s="333">
        <v>1</v>
      </c>
      <c r="K108" s="331">
        <v>3</v>
      </c>
      <c r="L108" s="332">
        <v>0</v>
      </c>
      <c r="M108" s="332">
        <v>3</v>
      </c>
      <c r="N108" s="333">
        <v>0</v>
      </c>
      <c r="O108" s="729">
        <v>5</v>
      </c>
      <c r="P108" s="332">
        <v>3</v>
      </c>
      <c r="Q108" s="332">
        <v>0</v>
      </c>
      <c r="R108" s="719">
        <v>0</v>
      </c>
      <c r="S108" s="331">
        <v>3</v>
      </c>
      <c r="T108" s="729">
        <v>5</v>
      </c>
      <c r="U108" s="332">
        <v>0</v>
      </c>
      <c r="V108" s="719">
        <v>0</v>
      </c>
      <c r="W108" s="717">
        <f t="shared" si="12"/>
        <v>33.020700000000005</v>
      </c>
      <c r="X108" s="335" t="str">
        <f>IF(ISBLANK(C108),"",IF(RANK(Z108,$Z$107:$Z$108)&lt;2,"edasi "&amp;RANK(W108,$AB$103:$AB$110),RANK(W108,$AA$103:$AA$110)+4))</f>
        <v>edasi 1</v>
      </c>
      <c r="Z108" s="88">
        <f>IF(COUNTA(C108:V108)=0,0,W108+IF(RANK(W108,$W$107:$W$108)=1,100,0))</f>
        <v>133.02070000000001</v>
      </c>
      <c r="AA108" s="85"/>
      <c r="AB108" s="85"/>
    </row>
    <row r="109" spans="1:28" ht="14.25" thickTop="1" thickBot="1" x14ac:dyDescent="0.25">
      <c r="A109" s="108">
        <v>3</v>
      </c>
      <c r="B109" s="383" t="str">
        <f t="shared" si="13"/>
        <v>Kaido Kopel</v>
      </c>
      <c r="C109" s="80">
        <v>3</v>
      </c>
      <c r="D109" s="81">
        <v>0</v>
      </c>
      <c r="E109" s="81">
        <v>0</v>
      </c>
      <c r="F109" s="366">
        <v>0</v>
      </c>
      <c r="G109" s="80">
        <v>3</v>
      </c>
      <c r="H109" s="81">
        <v>0</v>
      </c>
      <c r="I109" s="81">
        <v>0</v>
      </c>
      <c r="J109" s="366">
        <v>0</v>
      </c>
      <c r="K109" s="80">
        <v>0</v>
      </c>
      <c r="L109" s="81">
        <v>3</v>
      </c>
      <c r="M109" s="81">
        <v>1</v>
      </c>
      <c r="N109" s="720">
        <v>0</v>
      </c>
      <c r="O109" s="80">
        <v>0</v>
      </c>
      <c r="P109" s="81">
        <v>0</v>
      </c>
      <c r="Q109" s="81">
        <v>3</v>
      </c>
      <c r="R109" s="366">
        <v>0</v>
      </c>
      <c r="S109" s="80">
        <v>0</v>
      </c>
      <c r="T109" s="730">
        <v>5</v>
      </c>
      <c r="U109" s="81">
        <v>0</v>
      </c>
      <c r="V109" s="366">
        <v>0</v>
      </c>
      <c r="W109" s="717">
        <f t="shared" si="12"/>
        <v>18.010400000000001</v>
      </c>
      <c r="X109" s="83">
        <f>IF(ISBLANK(C109),"",IF(RANK(Z109,$Z$109:$Z$110)&lt;2,"edasi "&amp;RANK(W109,$AB$103:$AB$110),RANK(W109,$AA$103:$AA$110)+4))</f>
        <v>6</v>
      </c>
      <c r="Z109" s="87">
        <f>IF(COUNTA(C109:V109)=0,100,W109+IF(RANK(W109,$W$109:$W$110)=1,100,0))</f>
        <v>18.010400000000001</v>
      </c>
      <c r="AA109" s="85">
        <f>MIN(W109:W110)</f>
        <v>18.010400000000001</v>
      </c>
      <c r="AB109" s="85">
        <f>MAX(W109:W110)</f>
        <v>24.0106</v>
      </c>
    </row>
    <row r="110" spans="1:28" ht="14.25" thickTop="1" thickBot="1" x14ac:dyDescent="0.25">
      <c r="A110" s="112">
        <v>6</v>
      </c>
      <c r="B110" s="383" t="str">
        <f t="shared" si="13"/>
        <v>Aimar Poom</v>
      </c>
      <c r="C110" s="92">
        <v>3</v>
      </c>
      <c r="D110" s="93">
        <v>3</v>
      </c>
      <c r="E110" s="93">
        <v>3</v>
      </c>
      <c r="F110" s="367">
        <v>1</v>
      </c>
      <c r="G110" s="92">
        <v>0</v>
      </c>
      <c r="H110" s="93">
        <v>0</v>
      </c>
      <c r="I110" s="93">
        <v>0</v>
      </c>
      <c r="J110" s="367">
        <v>0</v>
      </c>
      <c r="K110" s="92">
        <v>0</v>
      </c>
      <c r="L110" s="93">
        <v>0</v>
      </c>
      <c r="M110" s="94">
        <v>0</v>
      </c>
      <c r="N110" s="367">
        <v>3</v>
      </c>
      <c r="O110" s="92">
        <v>0</v>
      </c>
      <c r="P110" s="93">
        <v>3</v>
      </c>
      <c r="Q110" s="93">
        <v>3</v>
      </c>
      <c r="R110" s="367">
        <v>0</v>
      </c>
      <c r="S110" s="92">
        <v>0</v>
      </c>
      <c r="T110" s="93">
        <v>0</v>
      </c>
      <c r="U110" s="93">
        <v>0</v>
      </c>
      <c r="V110" s="730">
        <v>5</v>
      </c>
      <c r="W110" s="718">
        <f t="shared" si="12"/>
        <v>24.0106</v>
      </c>
      <c r="X110" s="342" t="str">
        <f>IF(ISBLANK(C110),"",IF(RANK(Z110,$Z$109:$Z$110)&lt;2,"edasi "&amp;RANK(W110,$AB$103:$AB$110),RANK(W110,$AA$103:$AA$110)+4))</f>
        <v>edasi 2</v>
      </c>
      <c r="Z110" s="88">
        <f>IF(COUNTA(C110:V110)=0,0,W110+IF(RANK(W110,$W$109:$W$110)=1,100,0))</f>
        <v>124.0106</v>
      </c>
      <c r="AA110" s="85"/>
      <c r="AB110" s="85"/>
    </row>
    <row r="111" spans="1:28" ht="13.5" thickBot="1" x14ac:dyDescent="0.25">
      <c r="A111" s="294"/>
      <c r="B111" s="347" t="s">
        <v>214</v>
      </c>
      <c r="C111" s="164"/>
      <c r="D111" s="165"/>
      <c r="E111" s="165"/>
      <c r="F111" s="709"/>
      <c r="G111" s="164"/>
      <c r="H111" s="165"/>
      <c r="I111" s="165"/>
      <c r="J111" s="166"/>
      <c r="K111" s="164"/>
      <c r="L111" s="165"/>
      <c r="M111" s="165"/>
      <c r="N111" s="721"/>
      <c r="O111" s="164"/>
      <c r="P111" s="165"/>
      <c r="Q111" s="165"/>
      <c r="R111" s="166"/>
      <c r="S111" s="164"/>
      <c r="T111" s="165"/>
      <c r="U111" s="165"/>
      <c r="V111" s="709"/>
      <c r="W111" s="329" t="str">
        <f t="shared" si="12"/>
        <v/>
      </c>
      <c r="X111" s="167"/>
    </row>
    <row r="112" spans="1:28" ht="14.25" thickTop="1" thickBot="1" x14ac:dyDescent="0.25">
      <c r="A112" s="306">
        <v>3</v>
      </c>
      <c r="B112" s="330" t="str">
        <f>IFERROR(INDEX(B$103:B$110,MATCH("edasi "&amp;A112,X$103:X$110,0)),"")</f>
        <v>Ivar Viljaste</v>
      </c>
      <c r="C112" s="331">
        <v>0</v>
      </c>
      <c r="D112" s="729">
        <v>5</v>
      </c>
      <c r="E112" s="332">
        <v>3</v>
      </c>
      <c r="F112" s="719">
        <v>3</v>
      </c>
      <c r="G112" s="331">
        <v>0</v>
      </c>
      <c r="H112" s="332">
        <v>0</v>
      </c>
      <c r="I112" s="332">
        <v>3</v>
      </c>
      <c r="J112" s="333">
        <v>0</v>
      </c>
      <c r="K112" s="331">
        <v>1</v>
      </c>
      <c r="L112" s="332">
        <v>3</v>
      </c>
      <c r="M112" s="332">
        <v>1</v>
      </c>
      <c r="N112" s="333">
        <v>0</v>
      </c>
      <c r="O112" s="331">
        <v>0</v>
      </c>
      <c r="P112" s="332">
        <v>0</v>
      </c>
      <c r="Q112" s="332">
        <v>0</v>
      </c>
      <c r="R112" s="333">
        <v>0</v>
      </c>
      <c r="S112" s="331">
        <v>0</v>
      </c>
      <c r="T112" s="729">
        <v>5</v>
      </c>
      <c r="U112" s="332">
        <v>0</v>
      </c>
      <c r="V112" s="719">
        <v>0</v>
      </c>
      <c r="W112" s="334">
        <f t="shared" si="12"/>
        <v>24.020399999999999</v>
      </c>
      <c r="X112" s="335" t="str">
        <f>IF(COUNTA(C112:V112)=0,"",IF(W112=W113,"ümbervisk",IF(W112&gt;W113,"finaali "&amp;(IF(W112&lt;MAX(W114:W115),2,IF(W112=MAX(W114:W115),"",1))),"pronksi "&amp;(IF(W112&lt;MIN(W114:W115),2,IF(W112=MIN(W114:W115),"",1))))))</f>
        <v>finaali 2</v>
      </c>
    </row>
    <row r="113" spans="1:24" ht="14.25" thickTop="1" thickBot="1" x14ac:dyDescent="0.25">
      <c r="A113" s="306">
        <v>4</v>
      </c>
      <c r="B113" s="330" t="str">
        <f t="shared" ref="B113:B115" si="14">IFERROR(INDEX(B$103:B$110,MATCH("edasi "&amp;A113,X$103:X$110,0)),"")</f>
        <v>Allar Elerand</v>
      </c>
      <c r="C113" s="331">
        <v>3</v>
      </c>
      <c r="D113" s="332">
        <v>0</v>
      </c>
      <c r="E113" s="332">
        <v>0</v>
      </c>
      <c r="F113" s="719">
        <v>0</v>
      </c>
      <c r="G113" s="331">
        <v>0</v>
      </c>
      <c r="H113" s="332">
        <v>0</v>
      </c>
      <c r="I113" s="332">
        <v>3</v>
      </c>
      <c r="J113" s="333">
        <v>0</v>
      </c>
      <c r="K113" s="331">
        <v>1</v>
      </c>
      <c r="L113" s="332">
        <v>1</v>
      </c>
      <c r="M113" s="332">
        <v>0</v>
      </c>
      <c r="N113" s="333">
        <v>0</v>
      </c>
      <c r="O113" s="331">
        <v>0</v>
      </c>
      <c r="P113" s="332">
        <v>0</v>
      </c>
      <c r="Q113" s="332">
        <v>0</v>
      </c>
      <c r="R113" s="333">
        <v>0</v>
      </c>
      <c r="S113" s="331">
        <v>0</v>
      </c>
      <c r="T113" s="332">
        <v>3</v>
      </c>
      <c r="U113" s="332">
        <v>0</v>
      </c>
      <c r="V113" s="719">
        <v>0</v>
      </c>
      <c r="W113" s="334">
        <f t="shared" si="12"/>
        <v>11.000299999999999</v>
      </c>
      <c r="X113" s="335" t="str">
        <f>IF(COUNTA(C113:V113)=0,"",IF(W112=W113,"ümbervisk",IF(W113&gt;W112,"finaali "&amp;(IF(W113&lt;MAX(W114:W115),2,IF(W113=MAX(W114:W115),"",1))),"pronksi "&amp;(IF(W113&lt;MIN(W114:W115),2,IF(W113=MIN(W114:W115),"",1))))))</f>
        <v>pronksi 2</v>
      </c>
    </row>
    <row r="114" spans="1:24" ht="14.25" thickTop="1" thickBot="1" x14ac:dyDescent="0.25">
      <c r="A114" s="108">
        <v>1</v>
      </c>
      <c r="B114" s="383" t="str">
        <f t="shared" si="14"/>
        <v>Ülo Piik</v>
      </c>
      <c r="C114" s="80">
        <v>0</v>
      </c>
      <c r="D114" s="730">
        <v>5</v>
      </c>
      <c r="E114" s="81">
        <v>0</v>
      </c>
      <c r="F114" s="366">
        <v>0</v>
      </c>
      <c r="G114" s="80">
        <v>0</v>
      </c>
      <c r="H114" s="81">
        <v>3</v>
      </c>
      <c r="I114" s="81">
        <v>3</v>
      </c>
      <c r="J114" s="366">
        <v>0</v>
      </c>
      <c r="K114" s="80">
        <v>0</v>
      </c>
      <c r="L114" s="81">
        <v>0</v>
      </c>
      <c r="M114" s="81">
        <v>0</v>
      </c>
      <c r="N114" s="366">
        <v>1</v>
      </c>
      <c r="O114" s="80">
        <v>0</v>
      </c>
      <c r="P114" s="81">
        <v>0</v>
      </c>
      <c r="Q114" s="81">
        <v>0</v>
      </c>
      <c r="R114" s="82">
        <v>0</v>
      </c>
      <c r="S114" s="80">
        <v>0</v>
      </c>
      <c r="T114" s="81">
        <v>0</v>
      </c>
      <c r="U114" s="81">
        <v>0</v>
      </c>
      <c r="V114" s="366">
        <v>0</v>
      </c>
      <c r="W114" s="334">
        <f t="shared" si="12"/>
        <v>12.010199999999999</v>
      </c>
      <c r="X114" s="83" t="str">
        <f>IF(COUNTA(C114:V114)=0,"",IF(W114=W115,"ümbervisk",IF(W114&gt;W115,"finaali "&amp;(IF(W114&lt;MAX(W112:W113),2,IF(W114=MAX(W112:W113),"",1))),"pronksi "&amp;(IF(W114&lt;MIN(W112:W113),2,IF(W114=MIN(W112:W113),"",1))))))</f>
        <v>pronksi 1</v>
      </c>
    </row>
    <row r="115" spans="1:24" ht="14.25" thickTop="1" thickBot="1" x14ac:dyDescent="0.25">
      <c r="A115" s="112">
        <v>2</v>
      </c>
      <c r="B115" s="383" t="str">
        <f t="shared" si="14"/>
        <v>Aimar Poom</v>
      </c>
      <c r="C115" s="92">
        <v>0</v>
      </c>
      <c r="D115" s="93">
        <v>3</v>
      </c>
      <c r="E115" s="730">
        <v>5</v>
      </c>
      <c r="F115" s="367">
        <v>3</v>
      </c>
      <c r="G115" s="92">
        <v>0</v>
      </c>
      <c r="H115" s="93">
        <v>3</v>
      </c>
      <c r="I115" s="93">
        <v>0</v>
      </c>
      <c r="J115" s="367">
        <v>0</v>
      </c>
      <c r="K115" s="92">
        <v>3</v>
      </c>
      <c r="L115" s="93">
        <v>0</v>
      </c>
      <c r="M115" s="93">
        <v>0</v>
      </c>
      <c r="N115" s="367">
        <v>1</v>
      </c>
      <c r="O115" s="92">
        <v>3</v>
      </c>
      <c r="P115" s="93">
        <v>0</v>
      </c>
      <c r="Q115" s="93">
        <v>0</v>
      </c>
      <c r="R115" s="367">
        <v>0</v>
      </c>
      <c r="S115" s="730">
        <v>5</v>
      </c>
      <c r="T115" s="730">
        <v>5</v>
      </c>
      <c r="U115" s="93">
        <v>0</v>
      </c>
      <c r="V115" s="367">
        <v>0</v>
      </c>
      <c r="W115" s="341">
        <f t="shared" si="12"/>
        <v>31.0305</v>
      </c>
      <c r="X115" s="342" t="str">
        <f>IF(COUNTA(C115:V115)=0,"",IF(W114=W115,"ümbervisk",IF(W115&gt;W114,"finaali "&amp;(IF(W115&lt;MAX(W112:W113),2,IF(W115=MAX(W112:W113),"",1))),"pronksi "&amp;(IF(W115&lt;MIN(W112:W113),2,IF(W115=MIN(W112:W113),"",1))))))</f>
        <v>finaali 1</v>
      </c>
    </row>
    <row r="116" spans="1:24" x14ac:dyDescent="0.2">
      <c r="A116" s="294"/>
      <c r="B116" s="347" t="s">
        <v>215</v>
      </c>
      <c r="C116" s="164"/>
      <c r="D116" s="165"/>
      <c r="E116" s="165"/>
      <c r="F116" s="166"/>
      <c r="G116" s="164"/>
      <c r="H116" s="165"/>
      <c r="I116" s="165"/>
      <c r="J116" s="166"/>
      <c r="K116" s="164"/>
      <c r="L116" s="165"/>
      <c r="M116" s="165"/>
      <c r="N116" s="166"/>
      <c r="O116" s="164"/>
      <c r="P116" s="165"/>
      <c r="Q116" s="165"/>
      <c r="R116" s="166"/>
      <c r="S116" s="164"/>
      <c r="T116" s="165"/>
      <c r="U116" s="165"/>
      <c r="V116" s="166"/>
      <c r="W116" s="329" t="str">
        <f t="shared" si="12"/>
        <v/>
      </c>
      <c r="X116" s="167"/>
    </row>
    <row r="117" spans="1:24" ht="13.5" thickBot="1" x14ac:dyDescent="0.25">
      <c r="A117" s="108">
        <v>1</v>
      </c>
      <c r="B117" s="383" t="str">
        <f>IFERROR(INDEX(B$112:B$115,MATCH("pronksi "&amp;A117,X$112:X$115,0)),"")</f>
        <v>Ülo Piik</v>
      </c>
      <c r="C117" s="80">
        <v>3</v>
      </c>
      <c r="D117" s="81">
        <v>0</v>
      </c>
      <c r="E117" s="81">
        <v>0</v>
      </c>
      <c r="F117" s="366">
        <v>0</v>
      </c>
      <c r="G117" s="80">
        <v>3</v>
      </c>
      <c r="H117" s="81">
        <v>3</v>
      </c>
      <c r="I117" s="81">
        <v>3</v>
      </c>
      <c r="J117" s="366">
        <v>3</v>
      </c>
      <c r="K117" s="80">
        <v>0</v>
      </c>
      <c r="L117" s="81">
        <v>3</v>
      </c>
      <c r="M117" s="81">
        <v>0</v>
      </c>
      <c r="N117" s="366">
        <v>0</v>
      </c>
      <c r="O117" s="80">
        <v>0</v>
      </c>
      <c r="P117" s="81">
        <v>3</v>
      </c>
      <c r="Q117" s="81">
        <v>0</v>
      </c>
      <c r="R117" s="366">
        <v>3</v>
      </c>
      <c r="S117" s="80">
        <v>0</v>
      </c>
      <c r="T117" s="81">
        <v>0</v>
      </c>
      <c r="U117" s="723">
        <v>0</v>
      </c>
      <c r="V117" s="366">
        <v>0</v>
      </c>
      <c r="W117" s="334">
        <f t="shared" si="12"/>
        <v>24.000800000000002</v>
      </c>
      <c r="X117" s="91">
        <f ca="1">IF( INDIRECT("RC[-1]",0)=MAX(( INDIRECT("R[-1]C[-1]",0)):( INDIRECT("R[1]C[-1]",0))),3,4)</f>
        <v>3</v>
      </c>
    </row>
    <row r="118" spans="1:24" ht="14.25" thickTop="1" thickBot="1" x14ac:dyDescent="0.25">
      <c r="A118" s="112">
        <v>2</v>
      </c>
      <c r="B118" s="383" t="str">
        <f>IFERROR(INDEX(B$112:B$115,MATCH("pronksi "&amp;A118,X$112:X$115,0)),"")</f>
        <v>Allar Elerand</v>
      </c>
      <c r="C118" s="92">
        <v>3</v>
      </c>
      <c r="D118" s="93">
        <v>0</v>
      </c>
      <c r="E118" s="93">
        <v>0</v>
      </c>
      <c r="F118" s="367">
        <v>1</v>
      </c>
      <c r="G118" s="92">
        <v>0</v>
      </c>
      <c r="H118" s="93">
        <v>0</v>
      </c>
      <c r="I118" s="730">
        <v>5</v>
      </c>
      <c r="J118" s="367">
        <v>0</v>
      </c>
      <c r="K118" s="92">
        <v>1</v>
      </c>
      <c r="L118" s="93">
        <v>0</v>
      </c>
      <c r="M118" s="93">
        <v>0</v>
      </c>
      <c r="N118" s="367">
        <v>0</v>
      </c>
      <c r="O118" s="92">
        <v>0</v>
      </c>
      <c r="P118" s="93">
        <v>0</v>
      </c>
      <c r="Q118" s="93">
        <v>0</v>
      </c>
      <c r="R118" s="367">
        <v>0</v>
      </c>
      <c r="S118" s="92">
        <v>0</v>
      </c>
      <c r="T118" s="94">
        <v>0</v>
      </c>
      <c r="U118" s="730">
        <v>5</v>
      </c>
      <c r="V118" s="722">
        <v>0</v>
      </c>
      <c r="W118" s="341">
        <f t="shared" si="12"/>
        <v>15.020099999999999</v>
      </c>
      <c r="X118" s="96">
        <f ca="1">IF( INDIRECT("RC[-1]",0)=MAX(( INDIRECT("R[-1]C[-1]",0)):( INDIRECT("R[1]C[-1]",0))),3,4)</f>
        <v>4</v>
      </c>
    </row>
    <row r="119" spans="1:24" x14ac:dyDescent="0.2">
      <c r="A119" s="294"/>
      <c r="B119" s="347" t="s">
        <v>216</v>
      </c>
      <c r="C119" s="363"/>
      <c r="D119" s="364"/>
      <c r="E119" s="364"/>
      <c r="F119" s="365"/>
      <c r="G119" s="164"/>
      <c r="H119" s="165"/>
      <c r="I119" s="165"/>
      <c r="J119" s="166"/>
      <c r="K119" s="164"/>
      <c r="L119" s="165"/>
      <c r="M119" s="165"/>
      <c r="N119" s="166"/>
      <c r="O119" s="164"/>
      <c r="P119" s="165"/>
      <c r="Q119" s="165"/>
      <c r="R119" s="166"/>
      <c r="S119" s="164"/>
      <c r="T119" s="165"/>
      <c r="U119" s="724"/>
      <c r="V119" s="709"/>
      <c r="W119" s="329" t="str">
        <f t="shared" si="12"/>
        <v/>
      </c>
      <c r="X119" s="167"/>
    </row>
    <row r="120" spans="1:24" ht="13.5" thickBot="1" x14ac:dyDescent="0.25">
      <c r="A120" s="108">
        <v>1</v>
      </c>
      <c r="B120" s="383" t="str">
        <f>IFERROR(INDEX(B$112:B$115,MATCH("finaali "&amp;A120,X$112:X$115,0)),"")</f>
        <v>Aimar Poom</v>
      </c>
      <c r="C120" s="726">
        <v>0</v>
      </c>
      <c r="D120" s="723">
        <v>3</v>
      </c>
      <c r="E120" s="723">
        <v>0</v>
      </c>
      <c r="F120" s="727">
        <v>3</v>
      </c>
      <c r="G120" s="726">
        <v>0</v>
      </c>
      <c r="H120" s="723">
        <v>0</v>
      </c>
      <c r="I120" s="723">
        <v>3</v>
      </c>
      <c r="J120" s="727">
        <v>3</v>
      </c>
      <c r="K120" s="726">
        <v>3</v>
      </c>
      <c r="L120" s="723">
        <v>3</v>
      </c>
      <c r="M120" s="723">
        <v>0</v>
      </c>
      <c r="N120" s="727">
        <v>3</v>
      </c>
      <c r="O120" s="726">
        <v>0</v>
      </c>
      <c r="P120" s="723">
        <v>3</v>
      </c>
      <c r="Q120" s="723">
        <v>0</v>
      </c>
      <c r="R120" s="720">
        <v>0</v>
      </c>
      <c r="S120" s="726">
        <v>3</v>
      </c>
      <c r="T120" s="723">
        <v>0</v>
      </c>
      <c r="U120" s="723">
        <v>0</v>
      </c>
      <c r="V120" s="727">
        <v>0</v>
      </c>
      <c r="W120" s="728">
        <f>IF(COUNTA(C120:V120)=0,"",SUM(C120:V120)+COUNTIF(C120:V120,5)/100+COUNTIF(C120:V120,3)/10000)</f>
        <v>27.000900000000001</v>
      </c>
      <c r="X120" s="91">
        <f ca="1">IF( INDIRECT("RC[-1]",0)=MAX(( INDIRECT("R[-1]C[-1]",0)):( INDIRECT("R[1]C[-1]",0))),1,2)</f>
        <v>1</v>
      </c>
    </row>
    <row r="121" spans="1:24" ht="14.25" thickTop="1" thickBot="1" x14ac:dyDescent="0.25">
      <c r="A121" s="112">
        <v>2</v>
      </c>
      <c r="B121" s="725" t="str">
        <f>IFERROR(INDEX(B$112:B$115,MATCH("finaali "&amp;A121,X$112:X$115,0)),"")</f>
        <v>Ivar Viljaste</v>
      </c>
      <c r="C121" s="730">
        <v>5</v>
      </c>
      <c r="D121" s="93">
        <v>3</v>
      </c>
      <c r="E121" s="93">
        <v>0</v>
      </c>
      <c r="F121" s="367">
        <v>3</v>
      </c>
      <c r="G121" s="92">
        <v>0</v>
      </c>
      <c r="H121" s="93">
        <v>3</v>
      </c>
      <c r="I121" s="93">
        <v>0</v>
      </c>
      <c r="J121" s="367">
        <v>1</v>
      </c>
      <c r="K121" s="92">
        <v>1</v>
      </c>
      <c r="L121" s="93">
        <v>1</v>
      </c>
      <c r="M121" s="93">
        <v>0</v>
      </c>
      <c r="N121" s="367">
        <v>0</v>
      </c>
      <c r="O121" s="92">
        <v>0</v>
      </c>
      <c r="P121" s="93">
        <v>0</v>
      </c>
      <c r="Q121" s="93">
        <v>3</v>
      </c>
      <c r="R121" s="94">
        <v>0</v>
      </c>
      <c r="S121" s="92">
        <v>0</v>
      </c>
      <c r="T121" s="93">
        <v>0</v>
      </c>
      <c r="U121" s="93">
        <v>0</v>
      </c>
      <c r="V121" s="367">
        <v>0</v>
      </c>
      <c r="W121" s="341">
        <f>IF(COUNTA(C121:V121)=0,"",SUM(C121:V121)+COUNTIF(C121:V121,5)/100+COUNTIF(C121:V121,3)/10000)</f>
        <v>20.010400000000001</v>
      </c>
      <c r="X121" s="96">
        <f ca="1">IF( INDIRECT("RC[-1]",0)=MAX(( INDIRECT("R[-1]C[-1]",0)):( INDIRECT("R[1]C[-1]",0))),1,2)</f>
        <v>2</v>
      </c>
    </row>
    <row r="122" spans="1:24" ht="14.25" customHeight="1" x14ac:dyDescent="0.2">
      <c r="A122" s="349"/>
      <c r="B122" s="350"/>
      <c r="C122" s="351"/>
      <c r="D122" s="351"/>
      <c r="E122" s="351"/>
      <c r="F122" s="351"/>
      <c r="G122" s="351"/>
      <c r="H122" s="351"/>
      <c r="I122" s="351"/>
      <c r="J122" s="351"/>
      <c r="K122" s="351"/>
      <c r="L122" s="351"/>
      <c r="M122" s="351"/>
      <c r="N122" s="351"/>
      <c r="O122" s="351"/>
      <c r="P122" s="351"/>
      <c r="Q122" s="351"/>
      <c r="R122" s="351"/>
      <c r="S122" s="351"/>
      <c r="T122" s="351"/>
      <c r="U122" s="351"/>
      <c r="V122" s="351"/>
      <c r="W122" s="352"/>
      <c r="X122" s="353"/>
    </row>
    <row r="123" spans="1:24" ht="14.25" customHeight="1" x14ac:dyDescent="0.2">
      <c r="A123" s="349"/>
      <c r="B123" s="354" t="s">
        <v>569</v>
      </c>
      <c r="C123" s="80">
        <f>SUM(C9:C121)</f>
        <v>82</v>
      </c>
      <c r="D123" s="81">
        <f t="shared" ref="D123:V123" si="15">SUM(D9:D121)</f>
        <v>74</v>
      </c>
      <c r="E123" s="81">
        <f t="shared" si="15"/>
        <v>44</v>
      </c>
      <c r="F123" s="366">
        <f t="shared" si="15"/>
        <v>40</v>
      </c>
      <c r="G123" s="773">
        <f t="shared" si="15"/>
        <v>37</v>
      </c>
      <c r="H123" s="81">
        <f t="shared" si="15"/>
        <v>51</v>
      </c>
      <c r="I123" s="81">
        <f t="shared" si="15"/>
        <v>46</v>
      </c>
      <c r="J123" s="82">
        <f t="shared" si="15"/>
        <v>28</v>
      </c>
      <c r="K123" s="80">
        <f t="shared" si="15"/>
        <v>39</v>
      </c>
      <c r="L123" s="81">
        <f t="shared" si="15"/>
        <v>47</v>
      </c>
      <c r="M123" s="81">
        <f t="shared" si="15"/>
        <v>42</v>
      </c>
      <c r="N123" s="366">
        <f t="shared" si="15"/>
        <v>23</v>
      </c>
      <c r="O123" s="773">
        <f t="shared" si="15"/>
        <v>29</v>
      </c>
      <c r="P123" s="81">
        <f t="shared" si="15"/>
        <v>20</v>
      </c>
      <c r="Q123" s="81">
        <f t="shared" si="15"/>
        <v>44</v>
      </c>
      <c r="R123" s="82">
        <f t="shared" si="15"/>
        <v>19</v>
      </c>
      <c r="S123" s="80">
        <f t="shared" si="15"/>
        <v>52</v>
      </c>
      <c r="T123" s="81">
        <f t="shared" si="15"/>
        <v>56</v>
      </c>
      <c r="U123" s="81">
        <f t="shared" si="15"/>
        <v>53</v>
      </c>
      <c r="V123" s="366">
        <f t="shared" si="15"/>
        <v>34</v>
      </c>
      <c r="W123" s="352"/>
      <c r="X123" s="353"/>
    </row>
    <row r="124" spans="1:24" ht="14.25" customHeight="1" x14ac:dyDescent="0.2">
      <c r="A124" s="349"/>
      <c r="C124" s="357">
        <f>SUM(C9:C121)</f>
        <v>82</v>
      </c>
      <c r="D124" s="355">
        <f t="shared" ref="D124:V124" si="16">SUM(D9:D121)</f>
        <v>74</v>
      </c>
      <c r="E124" s="355">
        <f t="shared" si="16"/>
        <v>44</v>
      </c>
      <c r="F124" s="356">
        <f t="shared" si="16"/>
        <v>40</v>
      </c>
      <c r="G124" s="774">
        <f t="shared" si="16"/>
        <v>37</v>
      </c>
      <c r="H124" s="355">
        <f t="shared" si="16"/>
        <v>51</v>
      </c>
      <c r="I124" s="355">
        <f t="shared" si="16"/>
        <v>46</v>
      </c>
      <c r="J124" s="772">
        <f t="shared" si="16"/>
        <v>28</v>
      </c>
      <c r="K124" s="357">
        <f t="shared" si="16"/>
        <v>39</v>
      </c>
      <c r="L124" s="355">
        <f t="shared" si="16"/>
        <v>47</v>
      </c>
      <c r="M124" s="355">
        <f t="shared" si="16"/>
        <v>42</v>
      </c>
      <c r="N124" s="356">
        <f t="shared" si="16"/>
        <v>23</v>
      </c>
      <c r="O124" s="774">
        <f t="shared" si="16"/>
        <v>29</v>
      </c>
      <c r="P124" s="355">
        <f t="shared" si="16"/>
        <v>20</v>
      </c>
      <c r="Q124" s="355">
        <f t="shared" si="16"/>
        <v>44</v>
      </c>
      <c r="R124" s="772">
        <f t="shared" si="16"/>
        <v>19</v>
      </c>
      <c r="S124" s="357">
        <f t="shared" si="16"/>
        <v>52</v>
      </c>
      <c r="T124" s="355">
        <f t="shared" si="16"/>
        <v>56</v>
      </c>
      <c r="U124" s="355">
        <f t="shared" si="16"/>
        <v>53</v>
      </c>
      <c r="V124" s="356">
        <f t="shared" si="16"/>
        <v>34</v>
      </c>
      <c r="W124" s="352"/>
      <c r="X124" s="353"/>
    </row>
    <row r="125" spans="1:24" ht="14.25" customHeight="1" x14ac:dyDescent="0.2">
      <c r="A125" s="349"/>
      <c r="B125" s="350"/>
      <c r="C125" s="935">
        <f>SUM(C9:F121)</f>
        <v>240</v>
      </c>
      <c r="D125" s="936"/>
      <c r="E125" s="936"/>
      <c r="F125" s="937"/>
      <c r="G125" s="938">
        <f t="shared" ref="G125" si="17">SUM(G9:J121)</f>
        <v>162</v>
      </c>
      <c r="H125" s="939"/>
      <c r="I125" s="939"/>
      <c r="J125" s="940"/>
      <c r="K125" s="938">
        <f t="shared" ref="K125" si="18">SUM(K9:N121)</f>
        <v>151</v>
      </c>
      <c r="L125" s="939"/>
      <c r="M125" s="939"/>
      <c r="N125" s="940"/>
      <c r="O125" s="938">
        <f t="shared" ref="O125" si="19">SUM(O9:R121)</f>
        <v>112</v>
      </c>
      <c r="P125" s="939"/>
      <c r="Q125" s="939"/>
      <c r="R125" s="940"/>
      <c r="S125" s="938">
        <f t="shared" ref="S125" si="20">SUM(S9:V121)</f>
        <v>195</v>
      </c>
      <c r="T125" s="939"/>
      <c r="U125" s="939"/>
      <c r="V125" s="940"/>
      <c r="W125" s="352"/>
      <c r="X125" s="353"/>
    </row>
    <row r="126" spans="1:24" hidden="1" x14ac:dyDescent="0.2">
      <c r="A126" s="349"/>
      <c r="B126" s="350"/>
      <c r="C126" s="351"/>
      <c r="D126" s="351"/>
      <c r="E126" s="351"/>
      <c r="F126" s="351"/>
      <c r="G126" s="351"/>
      <c r="H126" s="351"/>
      <c r="I126" s="351"/>
      <c r="J126" s="351"/>
      <c r="K126" s="351"/>
      <c r="L126" s="351"/>
      <c r="M126" s="351"/>
      <c r="N126" s="351"/>
      <c r="O126" s="351"/>
      <c r="P126" s="351"/>
      <c r="Q126" s="351"/>
      <c r="R126" s="351"/>
      <c r="S126" s="351"/>
      <c r="T126" s="351"/>
      <c r="U126" s="351"/>
      <c r="V126" s="351"/>
      <c r="W126" s="352"/>
      <c r="X126" s="353"/>
    </row>
    <row r="127" spans="1:24" hidden="1" x14ac:dyDescent="0.2">
      <c r="A127" s="107"/>
      <c r="B127" s="107"/>
      <c r="C127" s="107"/>
      <c r="D127" s="107"/>
      <c r="E127" s="107"/>
      <c r="F127" s="107"/>
      <c r="G127" s="107"/>
      <c r="H127" s="107"/>
      <c r="I127" s="107"/>
      <c r="J127" s="107"/>
      <c r="K127" s="107"/>
      <c r="L127" s="107"/>
      <c r="M127" s="107"/>
      <c r="N127" s="107"/>
      <c r="O127" s="358"/>
    </row>
    <row r="128" spans="1:24" hidden="1" x14ac:dyDescent="0.2">
      <c r="C128" s="107"/>
      <c r="D128" s="107"/>
    </row>
    <row r="129" spans="3:25" hidden="1" x14ac:dyDescent="0.2">
      <c r="C129" s="107"/>
      <c r="D129" s="107"/>
    </row>
    <row r="130" spans="3:25" hidden="1" x14ac:dyDescent="0.2">
      <c r="C130" s="107"/>
      <c r="D130" s="107"/>
    </row>
    <row r="131" spans="3:25" hidden="1" x14ac:dyDescent="0.2">
      <c r="C131" s="107"/>
      <c r="D131" s="107"/>
    </row>
    <row r="132" spans="3:25" hidden="1" x14ac:dyDescent="0.2">
      <c r="C132" s="107"/>
      <c r="D132" s="107"/>
    </row>
    <row r="133" spans="3:25" hidden="1" x14ac:dyDescent="0.2">
      <c r="C133" s="107"/>
      <c r="D133" s="107"/>
    </row>
    <row r="134" spans="3:25" hidden="1" x14ac:dyDescent="0.2">
      <c r="C134" s="107"/>
      <c r="D134" s="107"/>
    </row>
    <row r="135" spans="3:25" hidden="1" x14ac:dyDescent="0.2">
      <c r="C135" s="107"/>
      <c r="D135" s="107"/>
      <c r="P135" s="107"/>
      <c r="Q135" s="107"/>
      <c r="R135" s="107"/>
      <c r="S135" s="107"/>
      <c r="T135" s="107"/>
      <c r="U135" s="107"/>
      <c r="V135" s="107"/>
      <c r="W135" s="107"/>
      <c r="X135" s="107"/>
    </row>
    <row r="136" spans="3:25" hidden="1" x14ac:dyDescent="0.2">
      <c r="C136" s="107"/>
      <c r="D136" s="107"/>
      <c r="P136" s="107"/>
      <c r="Q136" s="107"/>
      <c r="R136" s="107"/>
      <c r="S136" s="107"/>
      <c r="T136" s="107"/>
      <c r="U136" s="107"/>
      <c r="V136" s="107"/>
      <c r="W136" s="107"/>
      <c r="X136" s="107"/>
    </row>
    <row r="137" spans="3:25" hidden="1" x14ac:dyDescent="0.2">
      <c r="C137" s="107"/>
      <c r="D137" s="107"/>
      <c r="P137" s="107"/>
      <c r="Q137" s="107"/>
      <c r="R137" s="107"/>
      <c r="S137" s="107"/>
      <c r="T137" s="107"/>
      <c r="U137" s="107"/>
      <c r="V137" s="107"/>
      <c r="W137" s="107"/>
    </row>
    <row r="138" spans="3:25" hidden="1" x14ac:dyDescent="0.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107"/>
    </row>
    <row r="139" spans="3:25" hidden="1" x14ac:dyDescent="0.2">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row>
    <row r="140" spans="3:25" hidden="1" x14ac:dyDescent="0.2">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row>
    <row r="141" spans="3:25" hidden="1" x14ac:dyDescent="0.2">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row>
    <row r="142" spans="3:25" hidden="1" x14ac:dyDescent="0.2">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row>
    <row r="143" spans="3:25" hidden="1" x14ac:dyDescent="0.2">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row>
    <row r="144" spans="3:25" hidden="1" x14ac:dyDescent="0.2">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6" hidden="1" x14ac:dyDescent="0.2"/>
    <row r="290" spans="1:36" hidden="1" x14ac:dyDescent="0.2"/>
    <row r="291" spans="1:36" hidden="1" x14ac:dyDescent="0.2"/>
    <row r="292" spans="1:36" hidden="1" x14ac:dyDescent="0.2"/>
    <row r="293" spans="1:36" hidden="1" x14ac:dyDescent="0.2"/>
    <row r="294" spans="1:36" hidden="1" x14ac:dyDescent="0.2"/>
    <row r="295" spans="1:36" hidden="1" x14ac:dyDescent="0.2"/>
    <row r="296" spans="1:36" hidden="1" x14ac:dyDescent="0.2">
      <c r="AH296" s="681" t="s">
        <v>771</v>
      </c>
      <c r="AI296" s="69"/>
      <c r="AJ296" s="69"/>
    </row>
    <row r="297" spans="1:36" hidden="1" x14ac:dyDescent="0.2">
      <c r="AH297" s="667" t="s">
        <v>190</v>
      </c>
      <c r="AI297" s="625"/>
      <c r="AJ297" s="625"/>
    </row>
    <row r="298" spans="1:36" x14ac:dyDescent="0.2">
      <c r="AH298" s="667" t="s">
        <v>764</v>
      </c>
      <c r="AI298" s="670" t="s">
        <v>765</v>
      </c>
      <c r="AJ298" s="670"/>
    </row>
    <row r="299" spans="1:36" x14ac:dyDescent="0.2">
      <c r="C299" s="663" t="s">
        <v>220</v>
      </c>
      <c r="AH299" s="667" t="s">
        <v>769</v>
      </c>
      <c r="AI299" s="625"/>
      <c r="AJ299" s="625"/>
    </row>
    <row r="300" spans="1:36" x14ac:dyDescent="0.2">
      <c r="A300" s="113">
        <v>1</v>
      </c>
      <c r="B300" s="127" t="str">
        <f t="shared" ref="B300:B319" ca="1" si="21">IF(IFERROR(INDEX($B$9:$B$121,MATCH($A300,$X$9:$X$121,0)),"")=0,"",IFERROR(INDEX($B$9:$B$121,MATCH($A300,$X$9:$X$121,0)),""))</f>
        <v>Aimar Poom</v>
      </c>
      <c r="C300" s="664">
        <v>173</v>
      </c>
      <c r="AH300" s="672">
        <f ca="1">SUM(AJ300:AR300)</f>
        <v>701</v>
      </c>
      <c r="AI300" s="676" t="str">
        <f ca="1">B300</f>
        <v>Aimar Poom</v>
      </c>
      <c r="AJ300" s="675">
        <f ca="1">IFERROR(INDEX(Üldreiting!$M:$M,MATCH(AI300,Üldreiting!$H:$H,0)),"")</f>
        <v>701</v>
      </c>
    </row>
    <row r="301" spans="1:36" x14ac:dyDescent="0.2">
      <c r="A301" s="113">
        <v>2</v>
      </c>
      <c r="B301" s="114" t="str">
        <f t="shared" ca="1" si="21"/>
        <v>Ivar Viljaste</v>
      </c>
      <c r="C301" s="665">
        <v>158</v>
      </c>
      <c r="AH301" s="672">
        <f t="shared" ref="AH301:AH313" ca="1" si="22">SUM(AJ301:AR301)</f>
        <v>695</v>
      </c>
      <c r="AI301" s="676" t="str">
        <f t="shared" ref="AI301:AI333" ca="1" si="23">B301</f>
        <v>Ivar Viljaste</v>
      </c>
      <c r="AJ301" s="675">
        <f ca="1">IFERROR(INDEX(Üldreiting!$M:$M,MATCH(AI301,Üldreiting!$H:$H,0)),"")</f>
        <v>695</v>
      </c>
    </row>
    <row r="302" spans="1:36" x14ac:dyDescent="0.2">
      <c r="A302" s="113">
        <v>3</v>
      </c>
      <c r="B302" s="115" t="str">
        <f t="shared" ca="1" si="21"/>
        <v>Ülo Piik</v>
      </c>
      <c r="C302" s="665">
        <v>146</v>
      </c>
      <c r="AH302" s="672">
        <f t="shared" ca="1" si="22"/>
        <v>489</v>
      </c>
      <c r="AI302" s="676" t="str">
        <f t="shared" ca="1" si="23"/>
        <v>Ülo Piik</v>
      </c>
      <c r="AJ302" s="675">
        <f ca="1">IFERROR(INDEX(Üldreiting!$M:$M,MATCH(AI302,Üldreiting!$H:$H,0)),"")</f>
        <v>489</v>
      </c>
    </row>
    <row r="303" spans="1:36" x14ac:dyDescent="0.2">
      <c r="A303" s="113">
        <v>4</v>
      </c>
      <c r="B303" s="201" t="str">
        <f t="shared" ca="1" si="21"/>
        <v>Allar Elerand</v>
      </c>
      <c r="C303" s="665">
        <v>135</v>
      </c>
      <c r="AH303" s="672">
        <f t="shared" ca="1" si="22"/>
        <v>293</v>
      </c>
      <c r="AI303" s="676" t="str">
        <f t="shared" ca="1" si="23"/>
        <v>Allar Elerand</v>
      </c>
      <c r="AJ303" s="675">
        <f ca="1">IFERROR(INDEX(Üldreiting!$M:$M,MATCH(AI303,Üldreiting!$H:$H,0)),"")</f>
        <v>293</v>
      </c>
    </row>
    <row r="304" spans="1:36" x14ac:dyDescent="0.2">
      <c r="A304" s="113">
        <v>5</v>
      </c>
      <c r="B304" s="201" t="str">
        <f t="shared" si="21"/>
        <v>Andero Kelu</v>
      </c>
      <c r="C304" s="665">
        <v>126</v>
      </c>
      <c r="AH304" s="672">
        <f t="shared" ca="1" si="22"/>
        <v>775</v>
      </c>
      <c r="AI304" s="676" t="str">
        <f t="shared" si="23"/>
        <v>Andero Kelu</v>
      </c>
      <c r="AJ304" s="675">
        <f ca="1">IFERROR(INDEX(Üldreiting!$M:$M,MATCH(AI304,Üldreiting!$H:$H,0)),"")</f>
        <v>775</v>
      </c>
    </row>
    <row r="305" spans="1:36" x14ac:dyDescent="0.2">
      <c r="A305" s="113">
        <v>6</v>
      </c>
      <c r="B305" s="201" t="str">
        <f t="shared" si="21"/>
        <v>Kaido Kopel</v>
      </c>
      <c r="C305" s="665">
        <v>119</v>
      </c>
      <c r="AH305" s="672">
        <f t="shared" ca="1" si="22"/>
        <v>720</v>
      </c>
      <c r="AI305" s="676" t="str">
        <f t="shared" si="23"/>
        <v>Kaido Kopel</v>
      </c>
      <c r="AJ305" s="675">
        <f ca="1">IFERROR(INDEX(Üldreiting!$M:$M,MATCH(AI305,Üldreiting!$H:$H,0)),"")</f>
        <v>720</v>
      </c>
    </row>
    <row r="306" spans="1:36" x14ac:dyDescent="0.2">
      <c r="A306" s="113">
        <v>7</v>
      </c>
      <c r="B306" s="201" t="str">
        <f t="shared" si="21"/>
        <v>Janek Tarto</v>
      </c>
      <c r="C306" s="665">
        <v>111</v>
      </c>
      <c r="AH306" s="672">
        <f t="shared" ca="1" si="22"/>
        <v>181</v>
      </c>
      <c r="AI306" s="676" t="str">
        <f t="shared" si="23"/>
        <v>Janek Tarto</v>
      </c>
      <c r="AJ306" s="675">
        <f ca="1">IFERROR(INDEX(Üldreiting!$M:$M,MATCH(AI306,Üldreiting!$H:$H,0)),"")</f>
        <v>181</v>
      </c>
    </row>
    <row r="307" spans="1:36" x14ac:dyDescent="0.2">
      <c r="A307" s="113">
        <v>8</v>
      </c>
      <c r="B307" s="201" t="str">
        <f t="shared" si="21"/>
        <v>Urmo Auväärt</v>
      </c>
      <c r="C307" s="665">
        <v>104</v>
      </c>
      <c r="AH307" s="672">
        <f t="shared" ca="1" si="22"/>
        <v>1136</v>
      </c>
      <c r="AI307" s="676" t="str">
        <f t="shared" si="23"/>
        <v>Urmo Auväärt</v>
      </c>
      <c r="AJ307" s="675">
        <f ca="1">IFERROR(INDEX(Üldreiting!$M:$M,MATCH(AI307,Üldreiting!$H:$H,0)),"")</f>
        <v>1136</v>
      </c>
    </row>
    <row r="308" spans="1:36" x14ac:dyDescent="0.2">
      <c r="A308" s="113">
        <v>9</v>
      </c>
      <c r="B308" s="201" t="str">
        <f t="shared" si="21"/>
        <v>Janek Kiisk</v>
      </c>
      <c r="C308" s="665">
        <v>96</v>
      </c>
      <c r="AH308" s="672">
        <f t="shared" ca="1" si="22"/>
        <v>863.5</v>
      </c>
      <c r="AI308" s="676" t="str">
        <f t="shared" si="23"/>
        <v>Janek Kiisk</v>
      </c>
      <c r="AJ308" s="675">
        <f ca="1">IFERROR(INDEX(Üldreiting!$M:$M,MATCH(AI308,Üldreiting!$H:$H,0)),"")</f>
        <v>863.5</v>
      </c>
    </row>
    <row r="309" spans="1:36" x14ac:dyDescent="0.2">
      <c r="A309" s="113">
        <v>10</v>
      </c>
      <c r="B309" s="201" t="str">
        <f t="shared" si="21"/>
        <v>Ruudi Väärtnõu</v>
      </c>
      <c r="C309" s="665">
        <v>90</v>
      </c>
      <c r="AH309" s="672">
        <f t="shared" ca="1" si="22"/>
        <v>972</v>
      </c>
      <c r="AI309" s="676" t="str">
        <f t="shared" si="23"/>
        <v>Ruudi Väärtnõu</v>
      </c>
      <c r="AJ309" s="675">
        <f ca="1">IFERROR(INDEX(Üldreiting!$M:$M,MATCH(AI309,Üldreiting!$H:$H,0)),"")</f>
        <v>972</v>
      </c>
    </row>
    <row r="310" spans="1:36" x14ac:dyDescent="0.2">
      <c r="A310" s="113">
        <v>11</v>
      </c>
      <c r="B310" s="116" t="str">
        <f t="shared" si="21"/>
        <v>Anti Alasi</v>
      </c>
      <c r="C310" s="665">
        <v>84</v>
      </c>
      <c r="AH310" s="672">
        <f t="shared" ca="1" si="22"/>
        <v>178</v>
      </c>
      <c r="AI310" s="676" t="str">
        <f t="shared" si="23"/>
        <v>Anti Alasi</v>
      </c>
      <c r="AJ310" s="675">
        <f ca="1">IFERROR(INDEX(Üldreiting!$M:$M,MATCH(AI310,Üldreiting!$H:$H,0)),"")</f>
        <v>178</v>
      </c>
    </row>
    <row r="311" spans="1:36" x14ac:dyDescent="0.2">
      <c r="A311" s="113">
        <v>12</v>
      </c>
      <c r="B311" s="116" t="str">
        <f t="shared" si="21"/>
        <v>Silver Kingissepp</v>
      </c>
      <c r="C311" s="666">
        <v>78</v>
      </c>
      <c r="AH311" s="672">
        <f t="shared" ca="1" si="22"/>
        <v>826</v>
      </c>
      <c r="AI311" s="676" t="str">
        <f t="shared" si="23"/>
        <v>Silver Kingissepp</v>
      </c>
      <c r="AJ311" s="675">
        <f ca="1">IFERROR(INDEX(Üldreiting!$M:$M,MATCH(AI311,Üldreiting!$H:$H,0)),"")</f>
        <v>826</v>
      </c>
    </row>
    <row r="312" spans="1:36" x14ac:dyDescent="0.2">
      <c r="A312" s="113">
        <v>13</v>
      </c>
      <c r="B312" s="116" t="str">
        <f t="shared" si="21"/>
        <v>Alari Keedus</v>
      </c>
      <c r="C312" s="666">
        <v>74</v>
      </c>
      <c r="AH312" s="672">
        <f t="shared" ca="1" si="22"/>
        <v>320</v>
      </c>
      <c r="AI312" s="676" t="str">
        <f t="shared" si="23"/>
        <v>Alari Keedus</v>
      </c>
      <c r="AJ312" s="675">
        <f ca="1">IFERROR(INDEX(Üldreiting!$M:$M,MATCH(AI312,Üldreiting!$H:$H,0)),"")</f>
        <v>320</v>
      </c>
    </row>
    <row r="313" spans="1:36" x14ac:dyDescent="0.2">
      <c r="A313" s="113">
        <v>14</v>
      </c>
      <c r="B313" s="116" t="str">
        <f t="shared" si="21"/>
        <v>Valmar Pantšenko</v>
      </c>
      <c r="C313" s="666">
        <v>69</v>
      </c>
      <c r="AH313" s="672">
        <f t="shared" ca="1" si="22"/>
        <v>580</v>
      </c>
      <c r="AI313" s="676" t="str">
        <f t="shared" si="23"/>
        <v>Valmar Pantšenko</v>
      </c>
      <c r="AJ313" s="675">
        <f ca="1">IFERROR(INDEX(Üldreiting!$M:$M,MATCH(AI313,Üldreiting!$H:$H,0)),"")</f>
        <v>580</v>
      </c>
    </row>
    <row r="314" spans="1:36" x14ac:dyDescent="0.2">
      <c r="A314" s="113">
        <v>15</v>
      </c>
      <c r="B314" s="116" t="str">
        <f t="shared" si="21"/>
        <v>Marek Kolk</v>
      </c>
      <c r="C314" s="666">
        <v>65</v>
      </c>
      <c r="AH314" s="672">
        <f t="shared" ref="AH314:AH333" ca="1" si="24">SUM(AJ314:AR314)</f>
        <v>1081</v>
      </c>
      <c r="AI314" s="676" t="str">
        <f t="shared" si="23"/>
        <v>Marek Kolk</v>
      </c>
      <c r="AJ314" s="675">
        <f ca="1">IFERROR(INDEX(Üldreiting!$M:$M,MATCH(AI314,Üldreiting!$H:$H,0)),"")</f>
        <v>1081</v>
      </c>
    </row>
    <row r="315" spans="1:36" x14ac:dyDescent="0.2">
      <c r="A315" s="113">
        <v>16</v>
      </c>
      <c r="B315" s="116" t="str">
        <f t="shared" si="21"/>
        <v>Jaan Joonas</v>
      </c>
      <c r="C315" s="666">
        <v>60</v>
      </c>
      <c r="AH315" s="672">
        <f t="shared" ca="1" si="24"/>
        <v>612</v>
      </c>
      <c r="AI315" s="676" t="str">
        <f t="shared" si="23"/>
        <v>Jaan Joonas</v>
      </c>
      <c r="AJ315" s="675">
        <f ca="1">IFERROR(INDEX(Üldreiting!$M:$M,MATCH(AI315,Üldreiting!$H:$H,0)),"")</f>
        <v>612</v>
      </c>
    </row>
    <row r="316" spans="1:36" x14ac:dyDescent="0.2">
      <c r="A316" s="113">
        <v>17</v>
      </c>
      <c r="B316" s="116" t="str">
        <f t="shared" si="21"/>
        <v>Hardo Sokk</v>
      </c>
      <c r="C316" s="666">
        <v>56</v>
      </c>
      <c r="AH316" s="672">
        <f t="shared" ca="1" si="24"/>
        <v>510</v>
      </c>
      <c r="AI316" s="676" t="str">
        <f t="shared" si="23"/>
        <v>Hardo Sokk</v>
      </c>
      <c r="AJ316" s="675">
        <f ca="1">IFERROR(INDEX(Üldreiting!$M:$M,MATCH(AI316,Üldreiting!$H:$H,0)),"")</f>
        <v>510</v>
      </c>
    </row>
    <row r="317" spans="1:36" x14ac:dyDescent="0.2">
      <c r="A317" s="113">
        <v>18</v>
      </c>
      <c r="B317" s="116" t="str">
        <f t="shared" si="21"/>
        <v>Kalju Olmre</v>
      </c>
      <c r="C317" s="666">
        <v>51</v>
      </c>
      <c r="AH317" s="672">
        <f t="shared" ca="1" si="24"/>
        <v>600</v>
      </c>
      <c r="AI317" s="676" t="str">
        <f t="shared" si="23"/>
        <v>Kalju Olmre</v>
      </c>
      <c r="AJ317" s="675">
        <f ca="1">IFERROR(INDEX(Üldreiting!$M:$M,MATCH(AI317,Üldreiting!$H:$H,0)),"")</f>
        <v>600</v>
      </c>
    </row>
    <row r="318" spans="1:36" x14ac:dyDescent="0.2">
      <c r="A318" s="113">
        <v>19</v>
      </c>
      <c r="B318" s="116" t="str">
        <f t="shared" si="21"/>
        <v>Margo Peebo</v>
      </c>
      <c r="C318" s="666">
        <v>47</v>
      </c>
      <c r="AH318" s="672">
        <f t="shared" ca="1" si="24"/>
        <v>658</v>
      </c>
      <c r="AI318" s="676" t="str">
        <f t="shared" si="23"/>
        <v>Margo Peebo</v>
      </c>
      <c r="AJ318" s="675">
        <f ca="1">IFERROR(INDEX(Üldreiting!$M:$M,MATCH(AI318,Üldreiting!$H:$H,0)),"")</f>
        <v>658</v>
      </c>
    </row>
    <row r="319" spans="1:36" x14ac:dyDescent="0.2">
      <c r="A319" s="113">
        <v>20</v>
      </c>
      <c r="B319" s="116" t="str">
        <f t="shared" si="21"/>
        <v>Egert Kingissepp</v>
      </c>
      <c r="C319" s="666">
        <v>42</v>
      </c>
      <c r="AH319" s="672">
        <f t="shared" ca="1" si="24"/>
        <v>386</v>
      </c>
      <c r="AI319" s="676" t="str">
        <f t="shared" si="23"/>
        <v>Egert Kingissepp</v>
      </c>
      <c r="AJ319" s="675">
        <f ca="1">IFERROR(INDEX(Üldreiting!$M:$M,MATCH(AI319,Üldreiting!$H:$H,0)),"")</f>
        <v>386</v>
      </c>
    </row>
    <row r="320" spans="1:36" hidden="1" x14ac:dyDescent="0.2">
      <c r="C320" s="666">
        <v>38</v>
      </c>
      <c r="AH320" s="672">
        <f t="shared" si="24"/>
        <v>0</v>
      </c>
      <c r="AI320" s="676">
        <f t="shared" si="23"/>
        <v>0</v>
      </c>
      <c r="AJ320" s="675" t="str">
        <f>IFERROR(INDEX(Üldreiting!$M:$M,MATCH(AI320,Üldreiting!$H:$H,0)),"")</f>
        <v/>
      </c>
    </row>
    <row r="321" spans="3:36" hidden="1" x14ac:dyDescent="0.2">
      <c r="C321" s="666">
        <v>33</v>
      </c>
      <c r="AH321" s="672">
        <f t="shared" si="24"/>
        <v>0</v>
      </c>
      <c r="AI321" s="676">
        <f t="shared" si="23"/>
        <v>0</v>
      </c>
      <c r="AJ321" s="675" t="str">
        <f>IFERROR(INDEX(Üldreiting!$M:$M,MATCH(AI321,Üldreiting!$H:$H,0)),"")</f>
        <v/>
      </c>
    </row>
    <row r="322" spans="3:36" hidden="1" x14ac:dyDescent="0.2">
      <c r="C322" s="666">
        <v>29</v>
      </c>
      <c r="AH322" s="672">
        <f t="shared" si="24"/>
        <v>0</v>
      </c>
      <c r="AI322" s="676">
        <f t="shared" si="23"/>
        <v>0</v>
      </c>
      <c r="AJ322" s="675" t="str">
        <f>IFERROR(INDEX(Üldreiting!$M:$M,MATCH(AI322,Üldreiting!$H:$H,0)),"")</f>
        <v/>
      </c>
    </row>
    <row r="323" spans="3:36" hidden="1" x14ac:dyDescent="0.2">
      <c r="C323" s="666">
        <v>24</v>
      </c>
      <c r="AH323" s="672">
        <f t="shared" si="24"/>
        <v>0</v>
      </c>
      <c r="AI323" s="676">
        <f t="shared" si="23"/>
        <v>0</v>
      </c>
      <c r="AJ323" s="675" t="str">
        <f>IFERROR(INDEX(Üldreiting!$M:$M,MATCH(AI323,Üldreiting!$H:$H,0)),"")</f>
        <v/>
      </c>
    </row>
    <row r="324" spans="3:36" hidden="1" x14ac:dyDescent="0.2">
      <c r="C324" s="666">
        <v>21</v>
      </c>
      <c r="AH324" s="672">
        <f t="shared" si="24"/>
        <v>0</v>
      </c>
      <c r="AI324" s="676">
        <f t="shared" si="23"/>
        <v>0</v>
      </c>
      <c r="AJ324" s="675" t="str">
        <f>IFERROR(INDEX(Üldreiting!$M:$M,MATCH(AI324,Üldreiting!$H:$H,0)),"")</f>
        <v/>
      </c>
    </row>
    <row r="325" spans="3:36" hidden="1" x14ac:dyDescent="0.2">
      <c r="C325" s="666">
        <v>18</v>
      </c>
      <c r="AH325" s="672">
        <f t="shared" si="24"/>
        <v>0</v>
      </c>
      <c r="AI325" s="676">
        <f t="shared" si="23"/>
        <v>0</v>
      </c>
      <c r="AJ325" s="675" t="str">
        <f>IFERROR(INDEX(Üldreiting!$M:$M,MATCH(AI325,Üldreiting!$H:$H,0)),"")</f>
        <v/>
      </c>
    </row>
    <row r="326" spans="3:36" hidden="1" x14ac:dyDescent="0.2">
      <c r="C326" s="666">
        <v>16</v>
      </c>
      <c r="AH326" s="672">
        <f t="shared" si="24"/>
        <v>0</v>
      </c>
      <c r="AI326" s="676">
        <f t="shared" si="23"/>
        <v>0</v>
      </c>
      <c r="AJ326" s="675" t="str">
        <f>IFERROR(INDEX(Üldreiting!$M:$M,MATCH(AI326,Üldreiting!$H:$H,0)),"")</f>
        <v/>
      </c>
    </row>
    <row r="327" spans="3:36" hidden="1" x14ac:dyDescent="0.2">
      <c r="C327" s="666">
        <v>14</v>
      </c>
      <c r="AH327" s="672">
        <f t="shared" si="24"/>
        <v>0</v>
      </c>
      <c r="AI327" s="676">
        <f t="shared" si="23"/>
        <v>0</v>
      </c>
      <c r="AJ327" s="675" t="str">
        <f>IFERROR(INDEX(Üldreiting!$M:$M,MATCH(AI327,Üldreiting!$H:$H,0)),"")</f>
        <v/>
      </c>
    </row>
    <row r="328" spans="3:36" hidden="1" x14ac:dyDescent="0.2">
      <c r="C328" s="666">
        <v>12</v>
      </c>
      <c r="AH328" s="672">
        <f t="shared" si="24"/>
        <v>0</v>
      </c>
      <c r="AI328" s="676">
        <f t="shared" si="23"/>
        <v>0</v>
      </c>
      <c r="AJ328" s="675" t="str">
        <f>IFERROR(INDEX(Üldreiting!$M:$M,MATCH(AI328,Üldreiting!$H:$H,0)),"")</f>
        <v/>
      </c>
    </row>
    <row r="329" spans="3:36" hidden="1" x14ac:dyDescent="0.2">
      <c r="C329" s="666">
        <v>10</v>
      </c>
      <c r="AH329" s="672">
        <f t="shared" si="24"/>
        <v>0</v>
      </c>
      <c r="AI329" s="676">
        <f t="shared" si="23"/>
        <v>0</v>
      </c>
      <c r="AJ329" s="675" t="str">
        <f>IFERROR(INDEX(Üldreiting!$M:$M,MATCH(AI329,Üldreiting!$H:$H,0)),"")</f>
        <v/>
      </c>
    </row>
    <row r="330" spans="3:36" hidden="1" x14ac:dyDescent="0.2">
      <c r="C330" s="666">
        <v>8</v>
      </c>
      <c r="AH330" s="672">
        <f t="shared" si="24"/>
        <v>0</v>
      </c>
      <c r="AI330" s="676">
        <f t="shared" si="23"/>
        <v>0</v>
      </c>
      <c r="AJ330" s="675" t="str">
        <f>IFERROR(INDEX(Üldreiting!$M:$M,MATCH(AI330,Üldreiting!$H:$H,0)),"")</f>
        <v/>
      </c>
    </row>
    <row r="331" spans="3:36" hidden="1" x14ac:dyDescent="0.2">
      <c r="C331" s="666">
        <v>6</v>
      </c>
      <c r="AH331" s="672">
        <f t="shared" si="24"/>
        <v>0</v>
      </c>
      <c r="AI331" s="676">
        <f t="shared" si="23"/>
        <v>0</v>
      </c>
      <c r="AJ331" s="675" t="str">
        <f>IFERROR(INDEX(Üldreiting!$M:$M,MATCH(AI331,Üldreiting!$H:$H,0)),"")</f>
        <v/>
      </c>
    </row>
    <row r="332" spans="3:36" hidden="1" x14ac:dyDescent="0.2">
      <c r="C332" s="666">
        <v>3</v>
      </c>
      <c r="AH332" s="672">
        <f t="shared" si="24"/>
        <v>0</v>
      </c>
      <c r="AI332" s="676">
        <f t="shared" si="23"/>
        <v>0</v>
      </c>
      <c r="AJ332" s="675" t="str">
        <f>IFERROR(INDEX(Üldreiting!$M:$M,MATCH(AI332,Üldreiting!$H:$H,0)),"")</f>
        <v/>
      </c>
    </row>
    <row r="333" spans="3:36" hidden="1" x14ac:dyDescent="0.2">
      <c r="C333" s="666">
        <v>0</v>
      </c>
      <c r="AH333" s="672">
        <f t="shared" si="24"/>
        <v>0</v>
      </c>
      <c r="AI333" s="676">
        <f t="shared" si="23"/>
        <v>0</v>
      </c>
      <c r="AJ333" s="675" t="str">
        <f>IFERROR(INDEX(Üldreiting!$M:$M,MATCH(AI333,Üldreiting!$H:$H,0)),"")</f>
        <v/>
      </c>
    </row>
    <row r="334" spans="3:36" x14ac:dyDescent="0.2">
      <c r="C334" s="69"/>
    </row>
  </sheetData>
  <mergeCells count="5">
    <mergeCell ref="C125:F125"/>
    <mergeCell ref="G125:J125"/>
    <mergeCell ref="K125:N125"/>
    <mergeCell ref="O125:R125"/>
    <mergeCell ref="S125:V125"/>
  </mergeCells>
  <conditionalFormatting sqref="B21:B28">
    <cfRule type="duplicateValues" dxfId="1631" priority="51" stopIfTrue="1"/>
  </conditionalFormatting>
  <conditionalFormatting sqref="B18:B20">
    <cfRule type="duplicateValues" dxfId="1630" priority="50" stopIfTrue="1"/>
  </conditionalFormatting>
  <conditionalFormatting sqref="B29:B34 B10:B12">
    <cfRule type="duplicateValues" dxfId="1629" priority="54" stopIfTrue="1"/>
  </conditionalFormatting>
  <conditionalFormatting sqref="B36:B41">
    <cfRule type="duplicateValues" dxfId="1628" priority="48" stopIfTrue="1"/>
  </conditionalFormatting>
  <conditionalFormatting sqref="X36:X43 X60:X63">
    <cfRule type="duplicateValues" dxfId="1627" priority="55"/>
    <cfRule type="top10" dxfId="1626" priority="56" stopIfTrue="1" rank="100"/>
  </conditionalFormatting>
  <conditionalFormatting sqref="B42:B43 B60:B63">
    <cfRule type="duplicateValues" dxfId="1625" priority="57" stopIfTrue="1"/>
  </conditionalFormatting>
  <conditionalFormatting sqref="B52:B57">
    <cfRule type="duplicateValues" dxfId="1624" priority="44" stopIfTrue="1"/>
  </conditionalFormatting>
  <conditionalFormatting sqref="X52:X59">
    <cfRule type="duplicateValues" dxfId="1623" priority="45"/>
    <cfRule type="top10" dxfId="1622" priority="46" stopIfTrue="1" rank="100"/>
  </conditionalFormatting>
  <conditionalFormatting sqref="B58:B59">
    <cfRule type="duplicateValues" dxfId="1621" priority="47" stopIfTrue="1"/>
  </conditionalFormatting>
  <conditionalFormatting sqref="B78:B83">
    <cfRule type="duplicateValues" dxfId="1620" priority="40" stopIfTrue="1"/>
  </conditionalFormatting>
  <conditionalFormatting sqref="B84:B85 B94:B97">
    <cfRule type="duplicateValues" dxfId="1619" priority="43" stopIfTrue="1"/>
  </conditionalFormatting>
  <conditionalFormatting sqref="B86:B91">
    <cfRule type="duplicateValues" dxfId="1618" priority="36" stopIfTrue="1"/>
  </conditionalFormatting>
  <conditionalFormatting sqref="B92:B93">
    <cfRule type="duplicateValues" dxfId="1617" priority="39" stopIfTrue="1"/>
  </conditionalFormatting>
  <conditionalFormatting sqref="B98:B99">
    <cfRule type="duplicateValues" dxfId="1616" priority="32" stopIfTrue="1"/>
  </conditionalFormatting>
  <conditionalFormatting sqref="B100:B101">
    <cfRule type="duplicateValues" dxfId="1615" priority="35" stopIfTrue="1"/>
  </conditionalFormatting>
  <conditionalFormatting sqref="B64:B65">
    <cfRule type="duplicateValues" dxfId="1614" priority="31" stopIfTrue="1"/>
  </conditionalFormatting>
  <conditionalFormatting sqref="B44:B49">
    <cfRule type="duplicateValues" dxfId="1613" priority="27" stopIfTrue="1"/>
  </conditionalFormatting>
  <conditionalFormatting sqref="X44:X51">
    <cfRule type="duplicateValues" dxfId="1612" priority="28"/>
    <cfRule type="top10" dxfId="1611" priority="29" stopIfTrue="1" rank="100"/>
  </conditionalFormatting>
  <conditionalFormatting sqref="B50:B51">
    <cfRule type="duplicateValues" dxfId="1610" priority="30" stopIfTrue="1"/>
  </conditionalFormatting>
  <conditionalFormatting sqref="W36:W39">
    <cfRule type="top10" dxfId="1609" priority="25" rank="1"/>
  </conditionalFormatting>
  <conditionalFormatting sqref="W40:W43">
    <cfRule type="top10" dxfId="1608" priority="24" rank="1"/>
  </conditionalFormatting>
  <conditionalFormatting sqref="W44:W47">
    <cfRule type="top10" dxfId="1607" priority="23" rank="1"/>
  </conditionalFormatting>
  <conditionalFormatting sqref="W48:W51">
    <cfRule type="top10" dxfId="1606" priority="22" rank="1"/>
  </conditionalFormatting>
  <conditionalFormatting sqref="W52:W55">
    <cfRule type="top10" dxfId="1605" priority="21" rank="1"/>
  </conditionalFormatting>
  <conditionalFormatting sqref="W56:W59">
    <cfRule type="top10" dxfId="1604" priority="20" rank="1"/>
  </conditionalFormatting>
  <conditionalFormatting sqref="W60:W63">
    <cfRule type="top10" dxfId="1603" priority="19" rank="1"/>
  </conditionalFormatting>
  <conditionalFormatting sqref="W64:W67">
    <cfRule type="top10" dxfId="1602" priority="18" rank="1"/>
  </conditionalFormatting>
  <conditionalFormatting sqref="W103:W104">
    <cfRule type="top10" dxfId="1601" priority="58" rank="1"/>
  </conditionalFormatting>
  <conditionalFormatting sqref="W105:W106">
    <cfRule type="top10" dxfId="1600" priority="59" rank="1"/>
  </conditionalFormatting>
  <conditionalFormatting sqref="W107:W108">
    <cfRule type="top10" dxfId="1599" priority="60" rank="1"/>
  </conditionalFormatting>
  <conditionalFormatting sqref="W112:W113">
    <cfRule type="top10" dxfId="1598" priority="61" rank="1"/>
  </conditionalFormatting>
  <conditionalFormatting sqref="W114:W115">
    <cfRule type="top10" dxfId="1597" priority="62" rank="1"/>
  </conditionalFormatting>
  <conditionalFormatting sqref="W117:W118">
    <cfRule type="top10" dxfId="1596" priority="63" rank="1"/>
  </conditionalFormatting>
  <conditionalFormatting sqref="W125:W126 W120:W123">
    <cfRule type="top10" dxfId="1595" priority="64" rank="1"/>
  </conditionalFormatting>
  <conditionalFormatting sqref="X103:X110">
    <cfRule type="duplicateValues" dxfId="1594" priority="65"/>
    <cfRule type="top10" dxfId="1593" priority="66" stopIfTrue="1" rank="4"/>
  </conditionalFormatting>
  <conditionalFormatting sqref="W109:W110">
    <cfRule type="top10" dxfId="1592" priority="67" rank="1"/>
  </conditionalFormatting>
  <conditionalFormatting sqref="W125:W126 W9:W123">
    <cfRule type="top10" dxfId="1591" priority="72" rank="1"/>
  </conditionalFormatting>
  <conditionalFormatting sqref="X64:X67">
    <cfRule type="duplicateValues" dxfId="1590" priority="73"/>
    <cfRule type="top10" dxfId="1589" priority="74" stopIfTrue="1" rank="100"/>
  </conditionalFormatting>
  <conditionalFormatting sqref="B66:B67">
    <cfRule type="duplicateValues" dxfId="1588" priority="75" stopIfTrue="1"/>
  </conditionalFormatting>
  <conditionalFormatting sqref="C125:V126">
    <cfRule type="colorScale" priority="9">
      <colorScale>
        <cfvo type="min"/>
        <cfvo type="percentile" val="50"/>
        <cfvo type="max"/>
        <color rgb="FFF8696B"/>
        <color rgb="FFFFEB84"/>
        <color rgb="FF63BE7B"/>
      </colorScale>
    </cfRule>
  </conditionalFormatting>
  <conditionalFormatting sqref="W124">
    <cfRule type="top10" dxfId="1587" priority="7" rank="1"/>
  </conditionalFormatting>
  <conditionalFormatting sqref="W124">
    <cfRule type="top10" dxfId="1586" priority="8" rank="1"/>
  </conditionalFormatting>
  <conditionalFormatting sqref="C124:V124">
    <cfRule type="dataBar" priority="6">
      <dataBar>
        <cfvo type="min"/>
        <cfvo type="max"/>
        <color rgb="FF008AEF"/>
      </dataBar>
      <extLst>
        <ext xmlns:x14="http://schemas.microsoft.com/office/spreadsheetml/2009/9/main" uri="{B025F937-C7B1-47D3-B67F-A62EFF666E3E}">
          <x14:id>{CB789364-9AA2-4E76-B859-4430D3139332}</x14:id>
        </ext>
      </extLst>
    </cfRule>
  </conditionalFormatting>
  <conditionalFormatting sqref="C123:V123">
    <cfRule type="top10" dxfId="1585" priority="4" rank="1"/>
    <cfRule type="colorScale" priority="5">
      <colorScale>
        <cfvo type="min"/>
        <cfvo type="percentile" val="50"/>
        <cfvo type="max"/>
        <color rgb="FFF8696B"/>
        <color rgb="FFFFEB84"/>
        <color rgb="FF63BE7B"/>
      </colorScale>
    </cfRule>
  </conditionalFormatting>
  <conditionalFormatting sqref="C125:V125">
    <cfRule type="top10" dxfId="1584" priority="3" rank="1"/>
  </conditionalFormatting>
  <conditionalFormatting sqref="X9:X34">
    <cfRule type="duplicateValues" dxfId="1583" priority="13196"/>
    <cfRule type="top10" dxfId="1582" priority="13197" rank="100"/>
  </conditionalFormatting>
  <conditionalFormatting sqref="X69:X101">
    <cfRule type="duplicateValues" dxfId="1581" priority="13201"/>
    <cfRule type="top10" dxfId="1580" priority="13202" rank="100"/>
  </conditionalFormatting>
  <conditionalFormatting sqref="Y69:Y101">
    <cfRule type="duplicateValues" dxfId="1579" priority="13204"/>
  </conditionalFormatting>
  <conditionalFormatting sqref="AI300:AI333">
    <cfRule type="expression" dxfId="1578" priority="2">
      <formula>AND(AJ300="",COUNTIF(AI300,"*,*")=0)</formula>
    </cfRule>
  </conditionalFormatting>
  <conditionalFormatting sqref="AI9:AI28">
    <cfRule type="expression" dxfId="1577" priority="1">
      <formula>AND(AJ9="",COUNTIF(AI9,"*,*")=0)</formula>
    </cfRule>
  </conditionalFormatting>
  <pageMargins left="0.59055118110236227" right="0.27559055118110237" top="0.59055118110236227" bottom="0.39370078740157483" header="0.39370078740157483" footer="0"/>
  <pageSetup paperSize="9" fitToHeight="0" orientation="portrait" r:id="rId1"/>
  <headerFooter alignWithMargins="0">
    <oddHeader>&amp;R&amp;"Arial,Regular"&amp;9Page &amp;P of &amp;N</oddHeader>
  </headerFooter>
  <rowBreaks count="1" manualBreakCount="1">
    <brk id="101"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CB789364-9AA2-4E76-B859-4430D3139332}">
            <x14:dataBar minLength="0" maxLength="100" gradient="0">
              <x14:cfvo type="autoMin"/>
              <x14:cfvo type="autoMax"/>
              <x14:negativeFillColor rgb="FFFF0000"/>
              <x14:axisColor rgb="FF000000"/>
            </x14:dataBar>
          </x14:cfRule>
          <xm:sqref>C124:V124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AB101"/>
  <sheetViews>
    <sheetView showGridLines="0" zoomScaleNormal="100" workbookViewId="0">
      <pane ySplit="7" topLeftCell="A8" activePane="bottomLeft" state="frozen"/>
      <selection activeCell="C43" sqref="C43"/>
      <selection pane="bottomLeft" activeCell="C43" sqref="C43"/>
    </sheetView>
  </sheetViews>
  <sheetFormatPr defaultRowHeight="12.75" x14ac:dyDescent="0.2"/>
  <cols>
    <col min="1" max="1" width="3" style="78" customWidth="1"/>
    <col min="2" max="2" width="18.85546875" style="78" customWidth="1"/>
    <col min="3" max="22" width="2.7109375" style="78" customWidth="1"/>
    <col min="23" max="23" width="3" style="78" bestFit="1" customWidth="1"/>
    <col min="24" max="24" width="11.5703125" style="78" bestFit="1" customWidth="1"/>
    <col min="25" max="25" width="3" style="78" customWidth="1"/>
    <col min="26" max="27" width="4" style="78" customWidth="1"/>
    <col min="28" max="28" width="4.5703125" style="78" customWidth="1"/>
    <col min="29" max="216" width="9.140625" style="78"/>
    <col min="217" max="217" width="3" style="78" customWidth="1"/>
    <col min="218" max="218" width="18.7109375" style="78" customWidth="1"/>
    <col min="219" max="238" width="2.85546875" style="78" customWidth="1"/>
    <col min="239" max="239" width="3" style="78" bestFit="1" customWidth="1"/>
    <col min="240" max="240" width="10.5703125" style="78" customWidth="1"/>
    <col min="241" max="243" width="0" style="78" hidden="1" customWidth="1"/>
    <col min="244" max="472" width="9.140625" style="78"/>
    <col min="473" max="473" width="3" style="78" customWidth="1"/>
    <col min="474" max="474" width="18.7109375" style="78" customWidth="1"/>
    <col min="475" max="494" width="2.85546875" style="78" customWidth="1"/>
    <col min="495" max="495" width="3" style="78" bestFit="1" customWidth="1"/>
    <col min="496" max="496" width="10.5703125" style="78" customWidth="1"/>
    <col min="497" max="499" width="0" style="78" hidden="1" customWidth="1"/>
    <col min="500" max="728" width="9.140625" style="78"/>
    <col min="729" max="729" width="3" style="78" customWidth="1"/>
    <col min="730" max="730" width="18.7109375" style="78" customWidth="1"/>
    <col min="731" max="750" width="2.85546875" style="78" customWidth="1"/>
    <col min="751" max="751" width="3" style="78" bestFit="1" customWidth="1"/>
    <col min="752" max="752" width="10.5703125" style="78" customWidth="1"/>
    <col min="753" max="755" width="0" style="78" hidden="1" customWidth="1"/>
    <col min="756" max="984" width="9.140625" style="78"/>
    <col min="985" max="985" width="3" style="78" customWidth="1"/>
    <col min="986" max="986" width="18.7109375" style="78" customWidth="1"/>
    <col min="987" max="1006" width="2.85546875" style="78" customWidth="1"/>
    <col min="1007" max="1007" width="3" style="78" bestFit="1" customWidth="1"/>
    <col min="1008" max="1008" width="10.5703125" style="78" customWidth="1"/>
    <col min="1009" max="1011" width="0" style="78" hidden="1" customWidth="1"/>
    <col min="1012" max="1240" width="9.140625" style="78"/>
    <col min="1241" max="1241" width="3" style="78" customWidth="1"/>
    <col min="1242" max="1242" width="18.7109375" style="78" customWidth="1"/>
    <col min="1243" max="1262" width="2.85546875" style="78" customWidth="1"/>
    <col min="1263" max="1263" width="3" style="78" bestFit="1" customWidth="1"/>
    <col min="1264" max="1264" width="10.5703125" style="78" customWidth="1"/>
    <col min="1265" max="1267" width="0" style="78" hidden="1" customWidth="1"/>
    <col min="1268" max="1496" width="9.140625" style="78"/>
    <col min="1497" max="1497" width="3" style="78" customWidth="1"/>
    <col min="1498" max="1498" width="18.7109375" style="78" customWidth="1"/>
    <col min="1499" max="1518" width="2.85546875" style="78" customWidth="1"/>
    <col min="1519" max="1519" width="3" style="78" bestFit="1" customWidth="1"/>
    <col min="1520" max="1520" width="10.5703125" style="78" customWidth="1"/>
    <col min="1521" max="1523" width="0" style="78" hidden="1" customWidth="1"/>
    <col min="1524" max="1752" width="9.140625" style="78"/>
    <col min="1753" max="1753" width="3" style="78" customWidth="1"/>
    <col min="1754" max="1754" width="18.7109375" style="78" customWidth="1"/>
    <col min="1755" max="1774" width="2.85546875" style="78" customWidth="1"/>
    <col min="1775" max="1775" width="3" style="78" bestFit="1" customWidth="1"/>
    <col min="1776" max="1776" width="10.5703125" style="78" customWidth="1"/>
    <col min="1777" max="1779" width="0" style="78" hidden="1" customWidth="1"/>
    <col min="1780" max="2008" width="9.140625" style="78"/>
    <col min="2009" max="2009" width="3" style="78" customWidth="1"/>
    <col min="2010" max="2010" width="18.7109375" style="78" customWidth="1"/>
    <col min="2011" max="2030" width="2.85546875" style="78" customWidth="1"/>
    <col min="2031" max="2031" width="3" style="78" bestFit="1" customWidth="1"/>
    <col min="2032" max="2032" width="10.5703125" style="78" customWidth="1"/>
    <col min="2033" max="2035" width="0" style="78" hidden="1" customWidth="1"/>
    <col min="2036" max="2264" width="9.140625" style="78"/>
    <col min="2265" max="2265" width="3" style="78" customWidth="1"/>
    <col min="2266" max="2266" width="18.7109375" style="78" customWidth="1"/>
    <col min="2267" max="2286" width="2.85546875" style="78" customWidth="1"/>
    <col min="2287" max="2287" width="3" style="78" bestFit="1" customWidth="1"/>
    <col min="2288" max="2288" width="10.5703125" style="78" customWidth="1"/>
    <col min="2289" max="2291" width="0" style="78" hidden="1" customWidth="1"/>
    <col min="2292" max="2520" width="9.140625" style="78"/>
    <col min="2521" max="2521" width="3" style="78" customWidth="1"/>
    <col min="2522" max="2522" width="18.7109375" style="78" customWidth="1"/>
    <col min="2523" max="2542" width="2.85546875" style="78" customWidth="1"/>
    <col min="2543" max="2543" width="3" style="78" bestFit="1" customWidth="1"/>
    <col min="2544" max="2544" width="10.5703125" style="78" customWidth="1"/>
    <col min="2545" max="2547" width="0" style="78" hidden="1" customWidth="1"/>
    <col min="2548" max="2776" width="9.140625" style="78"/>
    <col min="2777" max="2777" width="3" style="78" customWidth="1"/>
    <col min="2778" max="2778" width="18.7109375" style="78" customWidth="1"/>
    <col min="2779" max="2798" width="2.85546875" style="78" customWidth="1"/>
    <col min="2799" max="2799" width="3" style="78" bestFit="1" customWidth="1"/>
    <col min="2800" max="2800" width="10.5703125" style="78" customWidth="1"/>
    <col min="2801" max="2803" width="0" style="78" hidden="1" customWidth="1"/>
    <col min="2804" max="3032" width="9.140625" style="78"/>
    <col min="3033" max="3033" width="3" style="78" customWidth="1"/>
    <col min="3034" max="3034" width="18.7109375" style="78" customWidth="1"/>
    <col min="3035" max="3054" width="2.85546875" style="78" customWidth="1"/>
    <col min="3055" max="3055" width="3" style="78" bestFit="1" customWidth="1"/>
    <col min="3056" max="3056" width="10.5703125" style="78" customWidth="1"/>
    <col min="3057" max="3059" width="0" style="78" hidden="1" customWidth="1"/>
    <col min="3060" max="3288" width="9.140625" style="78"/>
    <col min="3289" max="3289" width="3" style="78" customWidth="1"/>
    <col min="3290" max="3290" width="18.7109375" style="78" customWidth="1"/>
    <col min="3291" max="3310" width="2.85546875" style="78" customWidth="1"/>
    <col min="3311" max="3311" width="3" style="78" bestFit="1" customWidth="1"/>
    <col min="3312" max="3312" width="10.5703125" style="78" customWidth="1"/>
    <col min="3313" max="3315" width="0" style="78" hidden="1" customWidth="1"/>
    <col min="3316" max="3544" width="9.140625" style="78"/>
    <col min="3545" max="3545" width="3" style="78" customWidth="1"/>
    <col min="3546" max="3546" width="18.7109375" style="78" customWidth="1"/>
    <col min="3547" max="3566" width="2.85546875" style="78" customWidth="1"/>
    <col min="3567" max="3567" width="3" style="78" bestFit="1" customWidth="1"/>
    <col min="3568" max="3568" width="10.5703125" style="78" customWidth="1"/>
    <col min="3569" max="3571" width="0" style="78" hidden="1" customWidth="1"/>
    <col min="3572" max="3800" width="9.140625" style="78"/>
    <col min="3801" max="3801" width="3" style="78" customWidth="1"/>
    <col min="3802" max="3802" width="18.7109375" style="78" customWidth="1"/>
    <col min="3803" max="3822" width="2.85546875" style="78" customWidth="1"/>
    <col min="3823" max="3823" width="3" style="78" bestFit="1" customWidth="1"/>
    <col min="3824" max="3824" width="10.5703125" style="78" customWidth="1"/>
    <col min="3825" max="3827" width="0" style="78" hidden="1" customWidth="1"/>
    <col min="3828" max="4056" width="9.140625" style="78"/>
    <col min="4057" max="4057" width="3" style="78" customWidth="1"/>
    <col min="4058" max="4058" width="18.7109375" style="78" customWidth="1"/>
    <col min="4059" max="4078" width="2.85546875" style="78" customWidth="1"/>
    <col min="4079" max="4079" width="3" style="78" bestFit="1" customWidth="1"/>
    <col min="4080" max="4080" width="10.5703125" style="78" customWidth="1"/>
    <col min="4081" max="4083" width="0" style="78" hidden="1" customWidth="1"/>
    <col min="4084" max="4312" width="9.140625" style="78"/>
    <col min="4313" max="4313" width="3" style="78" customWidth="1"/>
    <col min="4314" max="4314" width="18.7109375" style="78" customWidth="1"/>
    <col min="4315" max="4334" width="2.85546875" style="78" customWidth="1"/>
    <col min="4335" max="4335" width="3" style="78" bestFit="1" customWidth="1"/>
    <col min="4336" max="4336" width="10.5703125" style="78" customWidth="1"/>
    <col min="4337" max="4339" width="0" style="78" hidden="1" customWidth="1"/>
    <col min="4340" max="4568" width="9.140625" style="78"/>
    <col min="4569" max="4569" width="3" style="78" customWidth="1"/>
    <col min="4570" max="4570" width="18.7109375" style="78" customWidth="1"/>
    <col min="4571" max="4590" width="2.85546875" style="78" customWidth="1"/>
    <col min="4591" max="4591" width="3" style="78" bestFit="1" customWidth="1"/>
    <col min="4592" max="4592" width="10.5703125" style="78" customWidth="1"/>
    <col min="4593" max="4595" width="0" style="78" hidden="1" customWidth="1"/>
    <col min="4596" max="4824" width="9.140625" style="78"/>
    <col min="4825" max="4825" width="3" style="78" customWidth="1"/>
    <col min="4826" max="4826" width="18.7109375" style="78" customWidth="1"/>
    <col min="4827" max="4846" width="2.85546875" style="78" customWidth="1"/>
    <col min="4847" max="4847" width="3" style="78" bestFit="1" customWidth="1"/>
    <col min="4848" max="4848" width="10.5703125" style="78" customWidth="1"/>
    <col min="4849" max="4851" width="0" style="78" hidden="1" customWidth="1"/>
    <col min="4852" max="5080" width="9.140625" style="78"/>
    <col min="5081" max="5081" width="3" style="78" customWidth="1"/>
    <col min="5082" max="5082" width="18.7109375" style="78" customWidth="1"/>
    <col min="5083" max="5102" width="2.85546875" style="78" customWidth="1"/>
    <col min="5103" max="5103" width="3" style="78" bestFit="1" customWidth="1"/>
    <col min="5104" max="5104" width="10.5703125" style="78" customWidth="1"/>
    <col min="5105" max="5107" width="0" style="78" hidden="1" customWidth="1"/>
    <col min="5108" max="5336" width="9.140625" style="78"/>
    <col min="5337" max="5337" width="3" style="78" customWidth="1"/>
    <col min="5338" max="5338" width="18.7109375" style="78" customWidth="1"/>
    <col min="5339" max="5358" width="2.85546875" style="78" customWidth="1"/>
    <col min="5359" max="5359" width="3" style="78" bestFit="1" customWidth="1"/>
    <col min="5360" max="5360" width="10.5703125" style="78" customWidth="1"/>
    <col min="5361" max="5363" width="0" style="78" hidden="1" customWidth="1"/>
    <col min="5364" max="5592" width="9.140625" style="78"/>
    <col min="5593" max="5593" width="3" style="78" customWidth="1"/>
    <col min="5594" max="5594" width="18.7109375" style="78" customWidth="1"/>
    <col min="5595" max="5614" width="2.85546875" style="78" customWidth="1"/>
    <col min="5615" max="5615" width="3" style="78" bestFit="1" customWidth="1"/>
    <col min="5616" max="5616" width="10.5703125" style="78" customWidth="1"/>
    <col min="5617" max="5619" width="0" style="78" hidden="1" customWidth="1"/>
    <col min="5620" max="5848" width="9.140625" style="78"/>
    <col min="5849" max="5849" width="3" style="78" customWidth="1"/>
    <col min="5850" max="5850" width="18.7109375" style="78" customWidth="1"/>
    <col min="5851" max="5870" width="2.85546875" style="78" customWidth="1"/>
    <col min="5871" max="5871" width="3" style="78" bestFit="1" customWidth="1"/>
    <col min="5872" max="5872" width="10.5703125" style="78" customWidth="1"/>
    <col min="5873" max="5875" width="0" style="78" hidden="1" customWidth="1"/>
    <col min="5876" max="6104" width="9.140625" style="78"/>
    <col min="6105" max="6105" width="3" style="78" customWidth="1"/>
    <col min="6106" max="6106" width="18.7109375" style="78" customWidth="1"/>
    <col min="6107" max="6126" width="2.85546875" style="78" customWidth="1"/>
    <col min="6127" max="6127" width="3" style="78" bestFit="1" customWidth="1"/>
    <col min="6128" max="6128" width="10.5703125" style="78" customWidth="1"/>
    <col min="6129" max="6131" width="0" style="78" hidden="1" customWidth="1"/>
    <col min="6132" max="6360" width="9.140625" style="78"/>
    <col min="6361" max="6361" width="3" style="78" customWidth="1"/>
    <col min="6362" max="6362" width="18.7109375" style="78" customWidth="1"/>
    <col min="6363" max="6382" width="2.85546875" style="78" customWidth="1"/>
    <col min="6383" max="6383" width="3" style="78" bestFit="1" customWidth="1"/>
    <col min="6384" max="6384" width="10.5703125" style="78" customWidth="1"/>
    <col min="6385" max="6387" width="0" style="78" hidden="1" customWidth="1"/>
    <col min="6388" max="6616" width="9.140625" style="78"/>
    <col min="6617" max="6617" width="3" style="78" customWidth="1"/>
    <col min="6618" max="6618" width="18.7109375" style="78" customWidth="1"/>
    <col min="6619" max="6638" width="2.85546875" style="78" customWidth="1"/>
    <col min="6639" max="6639" width="3" style="78" bestFit="1" customWidth="1"/>
    <col min="6640" max="6640" width="10.5703125" style="78" customWidth="1"/>
    <col min="6641" max="6643" width="0" style="78" hidden="1" customWidth="1"/>
    <col min="6644" max="6872" width="9.140625" style="78"/>
    <col min="6873" max="6873" width="3" style="78" customWidth="1"/>
    <col min="6874" max="6874" width="18.7109375" style="78" customWidth="1"/>
    <col min="6875" max="6894" width="2.85546875" style="78" customWidth="1"/>
    <col min="6895" max="6895" width="3" style="78" bestFit="1" customWidth="1"/>
    <col min="6896" max="6896" width="10.5703125" style="78" customWidth="1"/>
    <col min="6897" max="6899" width="0" style="78" hidden="1" customWidth="1"/>
    <col min="6900" max="7128" width="9.140625" style="78"/>
    <col min="7129" max="7129" width="3" style="78" customWidth="1"/>
    <col min="7130" max="7130" width="18.7109375" style="78" customWidth="1"/>
    <col min="7131" max="7150" width="2.85546875" style="78" customWidth="1"/>
    <col min="7151" max="7151" width="3" style="78" bestFit="1" customWidth="1"/>
    <col min="7152" max="7152" width="10.5703125" style="78" customWidth="1"/>
    <col min="7153" max="7155" width="0" style="78" hidden="1" customWidth="1"/>
    <col min="7156" max="7384" width="9.140625" style="78"/>
    <col min="7385" max="7385" width="3" style="78" customWidth="1"/>
    <col min="7386" max="7386" width="18.7109375" style="78" customWidth="1"/>
    <col min="7387" max="7406" width="2.85546875" style="78" customWidth="1"/>
    <col min="7407" max="7407" width="3" style="78" bestFit="1" customWidth="1"/>
    <col min="7408" max="7408" width="10.5703125" style="78" customWidth="1"/>
    <col min="7409" max="7411" width="0" style="78" hidden="1" customWidth="1"/>
    <col min="7412" max="7640" width="9.140625" style="78"/>
    <col min="7641" max="7641" width="3" style="78" customWidth="1"/>
    <col min="7642" max="7642" width="18.7109375" style="78" customWidth="1"/>
    <col min="7643" max="7662" width="2.85546875" style="78" customWidth="1"/>
    <col min="7663" max="7663" width="3" style="78" bestFit="1" customWidth="1"/>
    <col min="7664" max="7664" width="10.5703125" style="78" customWidth="1"/>
    <col min="7665" max="7667" width="0" style="78" hidden="1" customWidth="1"/>
    <col min="7668" max="7896" width="9.140625" style="78"/>
    <col min="7897" max="7897" width="3" style="78" customWidth="1"/>
    <col min="7898" max="7898" width="18.7109375" style="78" customWidth="1"/>
    <col min="7899" max="7918" width="2.85546875" style="78" customWidth="1"/>
    <col min="7919" max="7919" width="3" style="78" bestFit="1" customWidth="1"/>
    <col min="7920" max="7920" width="10.5703125" style="78" customWidth="1"/>
    <col min="7921" max="7923" width="0" style="78" hidden="1" customWidth="1"/>
    <col min="7924" max="8152" width="9.140625" style="78"/>
    <col min="8153" max="8153" width="3" style="78" customWidth="1"/>
    <col min="8154" max="8154" width="18.7109375" style="78" customWidth="1"/>
    <col min="8155" max="8174" width="2.85546875" style="78" customWidth="1"/>
    <col min="8175" max="8175" width="3" style="78" bestFit="1" customWidth="1"/>
    <col min="8176" max="8176" width="10.5703125" style="78" customWidth="1"/>
    <col min="8177" max="8179" width="0" style="78" hidden="1" customWidth="1"/>
    <col min="8180" max="8408" width="9.140625" style="78"/>
    <col min="8409" max="8409" width="3" style="78" customWidth="1"/>
    <col min="8410" max="8410" width="18.7109375" style="78" customWidth="1"/>
    <col min="8411" max="8430" width="2.85546875" style="78" customWidth="1"/>
    <col min="8431" max="8431" width="3" style="78" bestFit="1" customWidth="1"/>
    <col min="8432" max="8432" width="10.5703125" style="78" customWidth="1"/>
    <col min="8433" max="8435" width="0" style="78" hidden="1" customWidth="1"/>
    <col min="8436" max="8664" width="9.140625" style="78"/>
    <col min="8665" max="8665" width="3" style="78" customWidth="1"/>
    <col min="8666" max="8666" width="18.7109375" style="78" customWidth="1"/>
    <col min="8667" max="8686" width="2.85546875" style="78" customWidth="1"/>
    <col min="8687" max="8687" width="3" style="78" bestFit="1" customWidth="1"/>
    <col min="8688" max="8688" width="10.5703125" style="78" customWidth="1"/>
    <col min="8689" max="8691" width="0" style="78" hidden="1" customWidth="1"/>
    <col min="8692" max="8920" width="9.140625" style="78"/>
    <col min="8921" max="8921" width="3" style="78" customWidth="1"/>
    <col min="8922" max="8922" width="18.7109375" style="78" customWidth="1"/>
    <col min="8923" max="8942" width="2.85546875" style="78" customWidth="1"/>
    <col min="8943" max="8943" width="3" style="78" bestFit="1" customWidth="1"/>
    <col min="8944" max="8944" width="10.5703125" style="78" customWidth="1"/>
    <col min="8945" max="8947" width="0" style="78" hidden="1" customWidth="1"/>
    <col min="8948" max="9176" width="9.140625" style="78"/>
    <col min="9177" max="9177" width="3" style="78" customWidth="1"/>
    <col min="9178" max="9178" width="18.7109375" style="78" customWidth="1"/>
    <col min="9179" max="9198" width="2.85546875" style="78" customWidth="1"/>
    <col min="9199" max="9199" width="3" style="78" bestFit="1" customWidth="1"/>
    <col min="9200" max="9200" width="10.5703125" style="78" customWidth="1"/>
    <col min="9201" max="9203" width="0" style="78" hidden="1" customWidth="1"/>
    <col min="9204" max="9432" width="9.140625" style="78"/>
    <col min="9433" max="9433" width="3" style="78" customWidth="1"/>
    <col min="9434" max="9434" width="18.7109375" style="78" customWidth="1"/>
    <col min="9435" max="9454" width="2.85546875" style="78" customWidth="1"/>
    <col min="9455" max="9455" width="3" style="78" bestFit="1" customWidth="1"/>
    <col min="9456" max="9456" width="10.5703125" style="78" customWidth="1"/>
    <col min="9457" max="9459" width="0" style="78" hidden="1" customWidth="1"/>
    <col min="9460" max="9688" width="9.140625" style="78"/>
    <col min="9689" max="9689" width="3" style="78" customWidth="1"/>
    <col min="9690" max="9690" width="18.7109375" style="78" customWidth="1"/>
    <col min="9691" max="9710" width="2.85546875" style="78" customWidth="1"/>
    <col min="9711" max="9711" width="3" style="78" bestFit="1" customWidth="1"/>
    <col min="9712" max="9712" width="10.5703125" style="78" customWidth="1"/>
    <col min="9713" max="9715" width="0" style="78" hidden="1" customWidth="1"/>
    <col min="9716" max="9944" width="9.140625" style="78"/>
    <col min="9945" max="9945" width="3" style="78" customWidth="1"/>
    <col min="9946" max="9946" width="18.7109375" style="78" customWidth="1"/>
    <col min="9947" max="9966" width="2.85546875" style="78" customWidth="1"/>
    <col min="9967" max="9967" width="3" style="78" bestFit="1" customWidth="1"/>
    <col min="9968" max="9968" width="10.5703125" style="78" customWidth="1"/>
    <col min="9969" max="9971" width="0" style="78" hidden="1" customWidth="1"/>
    <col min="9972" max="10200" width="9.140625" style="78"/>
    <col min="10201" max="10201" width="3" style="78" customWidth="1"/>
    <col min="10202" max="10202" width="18.7109375" style="78" customWidth="1"/>
    <col min="10203" max="10222" width="2.85546875" style="78" customWidth="1"/>
    <col min="10223" max="10223" width="3" style="78" bestFit="1" customWidth="1"/>
    <col min="10224" max="10224" width="10.5703125" style="78" customWidth="1"/>
    <col min="10225" max="10227" width="0" style="78" hidden="1" customWidth="1"/>
    <col min="10228" max="10456" width="9.140625" style="78"/>
    <col min="10457" max="10457" width="3" style="78" customWidth="1"/>
    <col min="10458" max="10458" width="18.7109375" style="78" customWidth="1"/>
    <col min="10459" max="10478" width="2.85546875" style="78" customWidth="1"/>
    <col min="10479" max="10479" width="3" style="78" bestFit="1" customWidth="1"/>
    <col min="10480" max="10480" width="10.5703125" style="78" customWidth="1"/>
    <col min="10481" max="10483" width="0" style="78" hidden="1" customWidth="1"/>
    <col min="10484" max="10712" width="9.140625" style="78"/>
    <col min="10713" max="10713" width="3" style="78" customWidth="1"/>
    <col min="10714" max="10714" width="18.7109375" style="78" customWidth="1"/>
    <col min="10715" max="10734" width="2.85546875" style="78" customWidth="1"/>
    <col min="10735" max="10735" width="3" style="78" bestFit="1" customWidth="1"/>
    <col min="10736" max="10736" width="10.5703125" style="78" customWidth="1"/>
    <col min="10737" max="10739" width="0" style="78" hidden="1" customWidth="1"/>
    <col min="10740" max="10968" width="9.140625" style="78"/>
    <col min="10969" max="10969" width="3" style="78" customWidth="1"/>
    <col min="10970" max="10970" width="18.7109375" style="78" customWidth="1"/>
    <col min="10971" max="10990" width="2.85546875" style="78" customWidth="1"/>
    <col min="10991" max="10991" width="3" style="78" bestFit="1" customWidth="1"/>
    <col min="10992" max="10992" width="10.5703125" style="78" customWidth="1"/>
    <col min="10993" max="10995" width="0" style="78" hidden="1" customWidth="1"/>
    <col min="10996" max="11224" width="9.140625" style="78"/>
    <col min="11225" max="11225" width="3" style="78" customWidth="1"/>
    <col min="11226" max="11226" width="18.7109375" style="78" customWidth="1"/>
    <col min="11227" max="11246" width="2.85546875" style="78" customWidth="1"/>
    <col min="11247" max="11247" width="3" style="78" bestFit="1" customWidth="1"/>
    <col min="11248" max="11248" width="10.5703125" style="78" customWidth="1"/>
    <col min="11249" max="11251" width="0" style="78" hidden="1" customWidth="1"/>
    <col min="11252" max="11480" width="9.140625" style="78"/>
    <col min="11481" max="11481" width="3" style="78" customWidth="1"/>
    <col min="11482" max="11482" width="18.7109375" style="78" customWidth="1"/>
    <col min="11483" max="11502" width="2.85546875" style="78" customWidth="1"/>
    <col min="11503" max="11503" width="3" style="78" bestFit="1" customWidth="1"/>
    <col min="11504" max="11504" width="10.5703125" style="78" customWidth="1"/>
    <col min="11505" max="11507" width="0" style="78" hidden="1" customWidth="1"/>
    <col min="11508" max="11736" width="9.140625" style="78"/>
    <col min="11737" max="11737" width="3" style="78" customWidth="1"/>
    <col min="11738" max="11738" width="18.7109375" style="78" customWidth="1"/>
    <col min="11739" max="11758" width="2.85546875" style="78" customWidth="1"/>
    <col min="11759" max="11759" width="3" style="78" bestFit="1" customWidth="1"/>
    <col min="11760" max="11760" width="10.5703125" style="78" customWidth="1"/>
    <col min="11761" max="11763" width="0" style="78" hidden="1" customWidth="1"/>
    <col min="11764" max="11992" width="9.140625" style="78"/>
    <col min="11993" max="11993" width="3" style="78" customWidth="1"/>
    <col min="11994" max="11994" width="18.7109375" style="78" customWidth="1"/>
    <col min="11995" max="12014" width="2.85546875" style="78" customWidth="1"/>
    <col min="12015" max="12015" width="3" style="78" bestFit="1" customWidth="1"/>
    <col min="12016" max="12016" width="10.5703125" style="78" customWidth="1"/>
    <col min="12017" max="12019" width="0" style="78" hidden="1" customWidth="1"/>
    <col min="12020" max="12248" width="9.140625" style="78"/>
    <col min="12249" max="12249" width="3" style="78" customWidth="1"/>
    <col min="12250" max="12250" width="18.7109375" style="78" customWidth="1"/>
    <col min="12251" max="12270" width="2.85546875" style="78" customWidth="1"/>
    <col min="12271" max="12271" width="3" style="78" bestFit="1" customWidth="1"/>
    <col min="12272" max="12272" width="10.5703125" style="78" customWidth="1"/>
    <col min="12273" max="12275" width="0" style="78" hidden="1" customWidth="1"/>
    <col min="12276" max="12504" width="9.140625" style="78"/>
    <col min="12505" max="12505" width="3" style="78" customWidth="1"/>
    <col min="12506" max="12506" width="18.7109375" style="78" customWidth="1"/>
    <col min="12507" max="12526" width="2.85546875" style="78" customWidth="1"/>
    <col min="12527" max="12527" width="3" style="78" bestFit="1" customWidth="1"/>
    <col min="12528" max="12528" width="10.5703125" style="78" customWidth="1"/>
    <col min="12529" max="12531" width="0" style="78" hidden="1" customWidth="1"/>
    <col min="12532" max="12760" width="9.140625" style="78"/>
    <col min="12761" max="12761" width="3" style="78" customWidth="1"/>
    <col min="12762" max="12762" width="18.7109375" style="78" customWidth="1"/>
    <col min="12763" max="12782" width="2.85546875" style="78" customWidth="1"/>
    <col min="12783" max="12783" width="3" style="78" bestFit="1" customWidth="1"/>
    <col min="12784" max="12784" width="10.5703125" style="78" customWidth="1"/>
    <col min="12785" max="12787" width="0" style="78" hidden="1" customWidth="1"/>
    <col min="12788" max="13016" width="9.140625" style="78"/>
    <col min="13017" max="13017" width="3" style="78" customWidth="1"/>
    <col min="13018" max="13018" width="18.7109375" style="78" customWidth="1"/>
    <col min="13019" max="13038" width="2.85546875" style="78" customWidth="1"/>
    <col min="13039" max="13039" width="3" style="78" bestFit="1" customWidth="1"/>
    <col min="13040" max="13040" width="10.5703125" style="78" customWidth="1"/>
    <col min="13041" max="13043" width="0" style="78" hidden="1" customWidth="1"/>
    <col min="13044" max="13272" width="9.140625" style="78"/>
    <col min="13273" max="13273" width="3" style="78" customWidth="1"/>
    <col min="13274" max="13274" width="18.7109375" style="78" customWidth="1"/>
    <col min="13275" max="13294" width="2.85546875" style="78" customWidth="1"/>
    <col min="13295" max="13295" width="3" style="78" bestFit="1" customWidth="1"/>
    <col min="13296" max="13296" width="10.5703125" style="78" customWidth="1"/>
    <col min="13297" max="13299" width="0" style="78" hidden="1" customWidth="1"/>
    <col min="13300" max="13528" width="9.140625" style="78"/>
    <col min="13529" max="13529" width="3" style="78" customWidth="1"/>
    <col min="13530" max="13530" width="18.7109375" style="78" customWidth="1"/>
    <col min="13531" max="13550" width="2.85546875" style="78" customWidth="1"/>
    <col min="13551" max="13551" width="3" style="78" bestFit="1" customWidth="1"/>
    <col min="13552" max="13552" width="10.5703125" style="78" customWidth="1"/>
    <col min="13553" max="13555" width="0" style="78" hidden="1" customWidth="1"/>
    <col min="13556" max="13784" width="9.140625" style="78"/>
    <col min="13785" max="13785" width="3" style="78" customWidth="1"/>
    <col min="13786" max="13786" width="18.7109375" style="78" customWidth="1"/>
    <col min="13787" max="13806" width="2.85546875" style="78" customWidth="1"/>
    <col min="13807" max="13807" width="3" style="78" bestFit="1" customWidth="1"/>
    <col min="13808" max="13808" width="10.5703125" style="78" customWidth="1"/>
    <col min="13809" max="13811" width="0" style="78" hidden="1" customWidth="1"/>
    <col min="13812" max="14040" width="9.140625" style="78"/>
    <col min="14041" max="14041" width="3" style="78" customWidth="1"/>
    <col min="14042" max="14042" width="18.7109375" style="78" customWidth="1"/>
    <col min="14043" max="14062" width="2.85546875" style="78" customWidth="1"/>
    <col min="14063" max="14063" width="3" style="78" bestFit="1" customWidth="1"/>
    <col min="14064" max="14064" width="10.5703125" style="78" customWidth="1"/>
    <col min="14065" max="14067" width="0" style="78" hidden="1" customWidth="1"/>
    <col min="14068" max="14296" width="9.140625" style="78"/>
    <col min="14297" max="14297" width="3" style="78" customWidth="1"/>
    <col min="14298" max="14298" width="18.7109375" style="78" customWidth="1"/>
    <col min="14299" max="14318" width="2.85546875" style="78" customWidth="1"/>
    <col min="14319" max="14319" width="3" style="78" bestFit="1" customWidth="1"/>
    <col min="14320" max="14320" width="10.5703125" style="78" customWidth="1"/>
    <col min="14321" max="14323" width="0" style="78" hidden="1" customWidth="1"/>
    <col min="14324" max="14552" width="9.140625" style="78"/>
    <col min="14553" max="14553" width="3" style="78" customWidth="1"/>
    <col min="14554" max="14554" width="18.7109375" style="78" customWidth="1"/>
    <col min="14555" max="14574" width="2.85546875" style="78" customWidth="1"/>
    <col min="14575" max="14575" width="3" style="78" bestFit="1" customWidth="1"/>
    <col min="14576" max="14576" width="10.5703125" style="78" customWidth="1"/>
    <col min="14577" max="14579" width="0" style="78" hidden="1" customWidth="1"/>
    <col min="14580" max="14808" width="9.140625" style="78"/>
    <col min="14809" max="14809" width="3" style="78" customWidth="1"/>
    <col min="14810" max="14810" width="18.7109375" style="78" customWidth="1"/>
    <col min="14811" max="14830" width="2.85546875" style="78" customWidth="1"/>
    <col min="14831" max="14831" width="3" style="78" bestFit="1" customWidth="1"/>
    <col min="14832" max="14832" width="10.5703125" style="78" customWidth="1"/>
    <col min="14833" max="14835" width="0" style="78" hidden="1" customWidth="1"/>
    <col min="14836" max="15064" width="9.140625" style="78"/>
    <col min="15065" max="15065" width="3" style="78" customWidth="1"/>
    <col min="15066" max="15066" width="18.7109375" style="78" customWidth="1"/>
    <col min="15067" max="15086" width="2.85546875" style="78" customWidth="1"/>
    <col min="15087" max="15087" width="3" style="78" bestFit="1" customWidth="1"/>
    <col min="15088" max="15088" width="10.5703125" style="78" customWidth="1"/>
    <col min="15089" max="15091" width="0" style="78" hidden="1" customWidth="1"/>
    <col min="15092" max="15320" width="9.140625" style="78"/>
    <col min="15321" max="15321" width="3" style="78" customWidth="1"/>
    <col min="15322" max="15322" width="18.7109375" style="78" customWidth="1"/>
    <col min="15323" max="15342" width="2.85546875" style="78" customWidth="1"/>
    <col min="15343" max="15343" width="3" style="78" bestFit="1" customWidth="1"/>
    <col min="15344" max="15344" width="10.5703125" style="78" customWidth="1"/>
    <col min="15345" max="15347" width="0" style="78" hidden="1" customWidth="1"/>
    <col min="15348" max="15576" width="9.140625" style="78"/>
    <col min="15577" max="15577" width="3" style="78" customWidth="1"/>
    <col min="15578" max="15578" width="18.7109375" style="78" customWidth="1"/>
    <col min="15579" max="15598" width="2.85546875" style="78" customWidth="1"/>
    <col min="15599" max="15599" width="3" style="78" bestFit="1" customWidth="1"/>
    <col min="15600" max="15600" width="10.5703125" style="78" customWidth="1"/>
    <col min="15601" max="15603" width="0" style="78" hidden="1" customWidth="1"/>
    <col min="15604" max="15832" width="9.140625" style="78"/>
    <col min="15833" max="15833" width="3" style="78" customWidth="1"/>
    <col min="15834" max="15834" width="18.7109375" style="78" customWidth="1"/>
    <col min="15835" max="15854" width="2.85546875" style="78" customWidth="1"/>
    <col min="15855" max="15855" width="3" style="78" bestFit="1" customWidth="1"/>
    <col min="15856" max="15856" width="10.5703125" style="78" customWidth="1"/>
    <col min="15857" max="15859" width="0" style="78" hidden="1" customWidth="1"/>
    <col min="15860" max="16088" width="9.140625" style="78"/>
    <col min="16089" max="16089" width="3" style="78" customWidth="1"/>
    <col min="16090" max="16090" width="18.7109375" style="78" customWidth="1"/>
    <col min="16091" max="16110" width="2.85546875" style="78" customWidth="1"/>
    <col min="16111" max="16111" width="3" style="78" bestFit="1" customWidth="1"/>
    <col min="16112" max="16112" width="10.5703125" style="78" customWidth="1"/>
    <col min="16113" max="16115" width="0" style="78" hidden="1" customWidth="1"/>
    <col min="16116" max="16384" width="9.140625" style="78"/>
  </cols>
  <sheetData>
    <row r="1" spans="1:28" s="74" customFormat="1" x14ac:dyDescent="0.2">
      <c r="A1" s="605" t="str">
        <f>UPPER((Kalend!E14)&amp;" - "&amp;(Kalend!C14)&amp;" - "&amp;(Kalend!D14))</f>
        <v>3M - 18. EESTI MV - TULISTAMINE</v>
      </c>
      <c r="B1" s="130"/>
      <c r="C1" s="130"/>
      <c r="D1" s="130"/>
      <c r="E1" s="130"/>
      <c r="I1" s="128" t="s">
        <v>166</v>
      </c>
      <c r="Q1" s="46" t="str">
        <f>HYPERLINK("#Üldreiting!I1","Reiting")</f>
        <v>Reiting</v>
      </c>
      <c r="R1" s="130"/>
      <c r="S1" s="130"/>
      <c r="T1" s="130"/>
      <c r="U1" s="130"/>
    </row>
    <row r="2" spans="1:28" s="74" customFormat="1" x14ac:dyDescent="0.2">
      <c r="A2" s="67" t="str">
        <f>"Toimumisaeg: "&amp;(Kalend!A14)&amp;" kell "&amp;(Kalend!B14)</f>
        <v>Toimumisaeg: L, 30.06.2018 kell 10:00</v>
      </c>
      <c r="B2" s="130"/>
      <c r="C2" s="130"/>
      <c r="D2" s="130"/>
      <c r="E2" s="130"/>
      <c r="O2" s="130"/>
      <c r="P2" s="130"/>
      <c r="Q2" s="130"/>
      <c r="R2" s="130"/>
      <c r="S2" s="130"/>
      <c r="T2" s="130"/>
    </row>
    <row r="3" spans="1:28" s="74" customFormat="1" x14ac:dyDescent="0.2">
      <c r="A3" s="67" t="str">
        <f>"Toimumiskoht: "&amp;(Kalend!H14)</f>
        <v>Toimumiskoht: Tartu</v>
      </c>
      <c r="B3" s="130"/>
      <c r="C3" s="130"/>
      <c r="D3" s="130"/>
      <c r="E3" s="130"/>
      <c r="O3" s="130"/>
      <c r="P3" s="130"/>
      <c r="Q3" s="130"/>
      <c r="R3" s="130"/>
      <c r="S3" s="130"/>
      <c r="T3" s="130"/>
    </row>
    <row r="4" spans="1:28" s="74" customFormat="1" x14ac:dyDescent="0.2">
      <c r="A4" s="67" t="str">
        <f>"Korraldaja: "&amp;(Kalend!I14)</f>
        <v xml:space="preserve">Korraldaja: </v>
      </c>
      <c r="B4" s="130"/>
      <c r="C4" s="130"/>
      <c r="D4" s="130"/>
      <c r="E4" s="130"/>
      <c r="O4" s="130"/>
      <c r="P4" s="130"/>
      <c r="Q4" s="130"/>
      <c r="R4" s="130"/>
      <c r="S4" s="130"/>
      <c r="T4" s="130"/>
    </row>
    <row r="5" spans="1:28" s="74" customFormat="1" ht="13.5" thickBot="1" x14ac:dyDescent="0.25">
      <c r="A5" s="130"/>
      <c r="B5" s="130"/>
      <c r="C5" s="130"/>
      <c r="D5" s="130"/>
      <c r="E5" s="130"/>
      <c r="F5" s="130"/>
      <c r="G5" s="130"/>
      <c r="H5" s="130"/>
      <c r="I5" s="130"/>
      <c r="J5" s="130"/>
      <c r="K5" s="130"/>
    </row>
    <row r="6" spans="1:28" ht="58.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row>
    <row r="7" spans="1:28" s="79" customFormat="1" ht="13.5" thickBot="1" x14ac:dyDescent="0.25">
      <c r="A7" s="269"/>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373" t="s">
        <v>153</v>
      </c>
      <c r="X7" s="161" t="s">
        <v>219</v>
      </c>
      <c r="Y7" s="161" t="s">
        <v>564</v>
      </c>
    </row>
    <row r="8" spans="1:28" x14ac:dyDescent="0.2">
      <c r="A8" s="270" t="s">
        <v>567</v>
      </c>
      <c r="B8" s="163" t="s">
        <v>218</v>
      </c>
      <c r="C8" s="164"/>
      <c r="D8" s="165"/>
      <c r="E8" s="165"/>
      <c r="F8" s="166"/>
      <c r="G8" s="164"/>
      <c r="H8" s="165"/>
      <c r="I8" s="165"/>
      <c r="J8" s="166"/>
      <c r="K8" s="164"/>
      <c r="L8" s="165"/>
      <c r="M8" s="165"/>
      <c r="N8" s="166"/>
      <c r="O8" s="164"/>
      <c r="P8" s="165"/>
      <c r="Q8" s="165"/>
      <c r="R8" s="166"/>
      <c r="S8" s="164"/>
      <c r="T8" s="165"/>
      <c r="U8" s="165"/>
      <c r="V8" s="166"/>
      <c r="W8" s="374"/>
      <c r="X8" s="167"/>
      <c r="Y8" s="271"/>
    </row>
    <row r="9" spans="1:28" x14ac:dyDescent="0.2">
      <c r="A9" s="296">
        <v>1</v>
      </c>
      <c r="B9" s="375" t="s">
        <v>570</v>
      </c>
      <c r="C9" s="298">
        <v>0</v>
      </c>
      <c r="D9" s="300">
        <v>0</v>
      </c>
      <c r="E9" s="300">
        <v>0</v>
      </c>
      <c r="F9" s="301">
        <v>0</v>
      </c>
      <c r="G9" s="298">
        <v>0</v>
      </c>
      <c r="H9" s="300">
        <v>0</v>
      </c>
      <c r="I9" s="300">
        <v>0</v>
      </c>
      <c r="J9" s="301">
        <v>0</v>
      </c>
      <c r="K9" s="298">
        <v>0</v>
      </c>
      <c r="L9" s="300">
        <v>0</v>
      </c>
      <c r="M9" s="300">
        <v>0</v>
      </c>
      <c r="N9" s="301">
        <v>0</v>
      </c>
      <c r="O9" s="298">
        <v>0</v>
      </c>
      <c r="P9" s="300">
        <v>0</v>
      </c>
      <c r="Q9" s="300">
        <v>0</v>
      </c>
      <c r="R9" s="301">
        <v>0</v>
      </c>
      <c r="S9" s="298">
        <v>0</v>
      </c>
      <c r="T9" s="300">
        <v>0</v>
      </c>
      <c r="U9" s="300">
        <v>0</v>
      </c>
      <c r="V9" s="301">
        <v>0</v>
      </c>
      <c r="W9" s="376">
        <f>SUM(C9:V9)+COUNTIF(C9:V9,5)/100+COUNTIF(C9:V9,3)/10000</f>
        <v>0</v>
      </c>
      <c r="X9" s="426" t="s">
        <v>602</v>
      </c>
    </row>
    <row r="10" spans="1:28" x14ac:dyDescent="0.2">
      <c r="A10" s="296">
        <v>2</v>
      </c>
      <c r="B10" s="377" t="s">
        <v>49</v>
      </c>
      <c r="C10" s="298">
        <v>0</v>
      </c>
      <c r="D10" s="300">
        <v>3</v>
      </c>
      <c r="E10" s="300">
        <v>0</v>
      </c>
      <c r="F10" s="301">
        <v>0</v>
      </c>
      <c r="G10" s="298">
        <v>0</v>
      </c>
      <c r="H10" s="300">
        <v>0</v>
      </c>
      <c r="I10" s="300">
        <v>0</v>
      </c>
      <c r="J10" s="301">
        <v>0</v>
      </c>
      <c r="K10" s="298">
        <v>0</v>
      </c>
      <c r="L10" s="300">
        <v>1</v>
      </c>
      <c r="M10" s="300">
        <v>0</v>
      </c>
      <c r="N10" s="301">
        <v>0</v>
      </c>
      <c r="O10" s="298">
        <v>0</v>
      </c>
      <c r="P10" s="300">
        <v>3</v>
      </c>
      <c r="Q10" s="300">
        <v>0</v>
      </c>
      <c r="R10" s="301">
        <v>1</v>
      </c>
      <c r="S10" s="298">
        <v>0</v>
      </c>
      <c r="T10" s="300">
        <v>0</v>
      </c>
      <c r="U10" s="300">
        <v>0</v>
      </c>
      <c r="V10" s="301">
        <v>0</v>
      </c>
      <c r="W10" s="376">
        <f t="shared" ref="W10:W14" si="0">SUM(C10:V10)+COUNTIF(C10:V10,5)/100+COUNTIF(C10:V10,3)/10000</f>
        <v>8.0001999999999995</v>
      </c>
      <c r="X10" s="302" t="s">
        <v>603</v>
      </c>
    </row>
    <row r="11" spans="1:28" x14ac:dyDescent="0.2">
      <c r="A11" s="105">
        <v>3</v>
      </c>
      <c r="B11" s="378" t="s">
        <v>535</v>
      </c>
      <c r="C11" s="102">
        <v>3</v>
      </c>
      <c r="D11" s="103">
        <v>3</v>
      </c>
      <c r="E11" s="103">
        <v>0</v>
      </c>
      <c r="F11" s="104">
        <v>0</v>
      </c>
      <c r="G11" s="102">
        <v>0</v>
      </c>
      <c r="H11" s="103">
        <v>0</v>
      </c>
      <c r="I11" s="103">
        <v>0</v>
      </c>
      <c r="J11" s="104">
        <v>0</v>
      </c>
      <c r="K11" s="102">
        <v>1</v>
      </c>
      <c r="L11" s="103">
        <v>0</v>
      </c>
      <c r="M11" s="103">
        <v>0</v>
      </c>
      <c r="N11" s="104">
        <v>0</v>
      </c>
      <c r="O11" s="102">
        <v>0</v>
      </c>
      <c r="P11" s="103">
        <v>0</v>
      </c>
      <c r="Q11" s="103">
        <v>0</v>
      </c>
      <c r="R11" s="104">
        <v>0</v>
      </c>
      <c r="S11" s="102">
        <v>0</v>
      </c>
      <c r="T11" s="103">
        <v>0</v>
      </c>
      <c r="U11" s="103">
        <v>0</v>
      </c>
      <c r="V11" s="104">
        <v>0</v>
      </c>
      <c r="W11" s="376">
        <f t="shared" si="0"/>
        <v>7.0002000000000004</v>
      </c>
      <c r="X11" s="86" t="s">
        <v>599</v>
      </c>
    </row>
    <row r="12" spans="1:28" x14ac:dyDescent="0.2">
      <c r="A12" s="105">
        <v>4</v>
      </c>
      <c r="B12" s="378" t="s">
        <v>51</v>
      </c>
      <c r="C12" s="102">
        <v>0</v>
      </c>
      <c r="D12" s="103">
        <v>0</v>
      </c>
      <c r="E12" s="103">
        <v>1</v>
      </c>
      <c r="F12" s="104">
        <v>0</v>
      </c>
      <c r="G12" s="102">
        <v>0</v>
      </c>
      <c r="H12" s="103">
        <v>3</v>
      </c>
      <c r="I12" s="103">
        <v>0</v>
      </c>
      <c r="J12" s="104">
        <v>0</v>
      </c>
      <c r="K12" s="102">
        <v>0</v>
      </c>
      <c r="L12" s="103">
        <v>0</v>
      </c>
      <c r="M12" s="103">
        <v>0</v>
      </c>
      <c r="N12" s="104">
        <v>0</v>
      </c>
      <c r="O12" s="102">
        <v>0</v>
      </c>
      <c r="P12" s="103">
        <v>0</v>
      </c>
      <c r="Q12" s="103">
        <v>0</v>
      </c>
      <c r="R12" s="104">
        <v>0</v>
      </c>
      <c r="S12" s="102">
        <v>0</v>
      </c>
      <c r="T12" s="103">
        <v>0</v>
      </c>
      <c r="U12" s="103">
        <v>0</v>
      </c>
      <c r="V12" s="104">
        <v>0</v>
      </c>
      <c r="W12" s="376">
        <f t="shared" si="0"/>
        <v>4.0000999999999998</v>
      </c>
      <c r="X12" s="86" t="s">
        <v>600</v>
      </c>
    </row>
    <row r="13" spans="1:28" x14ac:dyDescent="0.2">
      <c r="A13" s="296">
        <v>5</v>
      </c>
      <c r="B13" s="375" t="s">
        <v>35</v>
      </c>
      <c r="C13" s="298">
        <v>0</v>
      </c>
      <c r="D13" s="300">
        <v>0</v>
      </c>
      <c r="E13" s="300">
        <v>0</v>
      </c>
      <c r="F13" s="301">
        <v>0</v>
      </c>
      <c r="G13" s="298">
        <v>0</v>
      </c>
      <c r="H13" s="300">
        <v>0</v>
      </c>
      <c r="I13" s="300">
        <v>0</v>
      </c>
      <c r="J13" s="301">
        <v>0</v>
      </c>
      <c r="K13" s="298">
        <v>0</v>
      </c>
      <c r="L13" s="300">
        <v>0</v>
      </c>
      <c r="M13" s="300">
        <v>0</v>
      </c>
      <c r="N13" s="301">
        <v>0</v>
      </c>
      <c r="O13" s="298">
        <v>0</v>
      </c>
      <c r="P13" s="300">
        <v>0</v>
      </c>
      <c r="Q13" s="300">
        <v>0</v>
      </c>
      <c r="R13" s="301">
        <v>0</v>
      </c>
      <c r="S13" s="298">
        <v>3</v>
      </c>
      <c r="T13" s="300">
        <v>0</v>
      </c>
      <c r="U13" s="300">
        <v>0</v>
      </c>
      <c r="V13" s="301">
        <v>0</v>
      </c>
      <c r="W13" s="376">
        <f t="shared" si="0"/>
        <v>3.0001000000000002</v>
      </c>
      <c r="X13" s="302" t="s">
        <v>601</v>
      </c>
    </row>
    <row r="14" spans="1:28" ht="13.5" thickBot="1" x14ac:dyDescent="0.25">
      <c r="A14" s="296">
        <v>6</v>
      </c>
      <c r="B14" s="380" t="s">
        <v>41</v>
      </c>
      <c r="C14" s="298">
        <v>0</v>
      </c>
      <c r="D14" s="300">
        <v>0</v>
      </c>
      <c r="E14" s="300">
        <v>3</v>
      </c>
      <c r="F14" s="301">
        <v>0</v>
      </c>
      <c r="G14" s="298">
        <v>5</v>
      </c>
      <c r="H14" s="300">
        <v>3</v>
      </c>
      <c r="I14" s="300">
        <v>3</v>
      </c>
      <c r="J14" s="301">
        <v>0</v>
      </c>
      <c r="K14" s="298">
        <v>1</v>
      </c>
      <c r="L14" s="300">
        <v>3</v>
      </c>
      <c r="M14" s="300">
        <v>1</v>
      </c>
      <c r="N14" s="301">
        <v>0</v>
      </c>
      <c r="O14" s="298">
        <v>3</v>
      </c>
      <c r="P14" s="300">
        <v>0</v>
      </c>
      <c r="Q14" s="300">
        <v>3</v>
      </c>
      <c r="R14" s="301">
        <v>3</v>
      </c>
      <c r="S14" s="298">
        <v>0</v>
      </c>
      <c r="T14" s="300">
        <v>0</v>
      </c>
      <c r="U14" s="300">
        <v>0</v>
      </c>
      <c r="V14" s="301">
        <v>0</v>
      </c>
      <c r="W14" s="334">
        <f t="shared" si="0"/>
        <v>28.0107</v>
      </c>
      <c r="X14" s="302" t="s">
        <v>604</v>
      </c>
    </row>
    <row r="15" spans="1:28" ht="13.5" hidden="1" thickBot="1" x14ac:dyDescent="0.25">
      <c r="A15" s="294"/>
      <c r="B15" s="295" t="s">
        <v>568</v>
      </c>
      <c r="C15" s="80"/>
      <c r="D15" s="81"/>
      <c r="E15" s="81"/>
      <c r="F15" s="82"/>
      <c r="G15" s="80"/>
      <c r="H15" s="81"/>
      <c r="I15" s="81"/>
      <c r="J15" s="82"/>
      <c r="K15" s="80"/>
      <c r="L15" s="81"/>
      <c r="M15" s="81"/>
      <c r="N15" s="82"/>
      <c r="O15" s="80"/>
      <c r="P15" s="81"/>
      <c r="Q15" s="81"/>
      <c r="R15" s="82"/>
      <c r="S15" s="80"/>
      <c r="T15" s="81"/>
      <c r="U15" s="81"/>
      <c r="V15" s="82"/>
      <c r="W15" s="400"/>
      <c r="X15" s="167"/>
      <c r="Z15" s="84"/>
      <c r="AA15" s="85" t="s">
        <v>212</v>
      </c>
      <c r="AB15" s="85" t="s">
        <v>213</v>
      </c>
    </row>
    <row r="16" spans="1:28" ht="13.5" hidden="1" thickBot="1" x14ac:dyDescent="0.25">
      <c r="A16" s="296"/>
      <c r="B16" s="297"/>
      <c r="C16" s="298"/>
      <c r="D16" s="299"/>
      <c r="E16" s="300"/>
      <c r="F16" s="301"/>
      <c r="G16" s="298"/>
      <c r="H16" s="299"/>
      <c r="I16" s="300"/>
      <c r="J16" s="301"/>
      <c r="K16" s="298"/>
      <c r="L16" s="299"/>
      <c r="M16" s="300"/>
      <c r="N16" s="301"/>
      <c r="O16" s="298"/>
      <c r="P16" s="299"/>
      <c r="Q16" s="300"/>
      <c r="R16" s="301"/>
      <c r="S16" s="298"/>
      <c r="T16" s="299"/>
      <c r="U16" s="300"/>
      <c r="V16" s="301"/>
      <c r="W16" s="334" t="str">
        <f t="shared" ref="W16:W88" si="1">IF(COUNTA(C16:V16)=0,"",SUM(C16:V16)+COUNTIF(C16:V16,5)/100+COUNTIF(C16:V16,3)/10000)</f>
        <v/>
      </c>
      <c r="X16" s="302"/>
    </row>
    <row r="17" spans="1:24" ht="13.5" hidden="1" thickBot="1" x14ac:dyDescent="0.25">
      <c r="A17" s="296"/>
      <c r="B17" s="297"/>
      <c r="C17" s="298"/>
      <c r="D17" s="299"/>
      <c r="E17" s="300"/>
      <c r="F17" s="301"/>
      <c r="G17" s="298"/>
      <c r="H17" s="299"/>
      <c r="I17" s="300"/>
      <c r="J17" s="301"/>
      <c r="K17" s="298"/>
      <c r="L17" s="299"/>
      <c r="M17" s="300"/>
      <c r="N17" s="301"/>
      <c r="O17" s="298"/>
      <c r="P17" s="299"/>
      <c r="Q17" s="300"/>
      <c r="R17" s="301"/>
      <c r="S17" s="298"/>
      <c r="T17" s="299"/>
      <c r="U17" s="300"/>
      <c r="V17" s="301"/>
      <c r="W17" s="334" t="str">
        <f t="shared" si="1"/>
        <v/>
      </c>
      <c r="X17" s="302"/>
    </row>
    <row r="18" spans="1:24" ht="13.5" hidden="1" thickBot="1" x14ac:dyDescent="0.25">
      <c r="A18" s="296"/>
      <c r="B18" s="303"/>
      <c r="C18" s="298"/>
      <c r="D18" s="299"/>
      <c r="E18" s="300"/>
      <c r="F18" s="301"/>
      <c r="G18" s="298"/>
      <c r="H18" s="299"/>
      <c r="I18" s="300"/>
      <c r="J18" s="301"/>
      <c r="K18" s="298"/>
      <c r="L18" s="299"/>
      <c r="M18" s="300"/>
      <c r="N18" s="301"/>
      <c r="O18" s="298"/>
      <c r="P18" s="299"/>
      <c r="Q18" s="300"/>
      <c r="R18" s="301"/>
      <c r="S18" s="298"/>
      <c r="T18" s="299"/>
      <c r="U18" s="300"/>
      <c r="V18" s="301"/>
      <c r="W18" s="334" t="str">
        <f t="shared" si="1"/>
        <v/>
      </c>
      <c r="X18" s="302"/>
    </row>
    <row r="19" spans="1:24" ht="13.5" hidden="1" thickBot="1" x14ac:dyDescent="0.25">
      <c r="A19" s="296"/>
      <c r="B19" s="297"/>
      <c r="C19" s="298"/>
      <c r="D19" s="299"/>
      <c r="E19" s="300"/>
      <c r="F19" s="301"/>
      <c r="G19" s="298"/>
      <c r="H19" s="299"/>
      <c r="I19" s="300"/>
      <c r="J19" s="301"/>
      <c r="K19" s="298"/>
      <c r="L19" s="299"/>
      <c r="M19" s="300"/>
      <c r="N19" s="301"/>
      <c r="O19" s="298"/>
      <c r="P19" s="299"/>
      <c r="Q19" s="300"/>
      <c r="R19" s="301"/>
      <c r="S19" s="298"/>
      <c r="T19" s="299"/>
      <c r="U19" s="300"/>
      <c r="V19" s="301"/>
      <c r="W19" s="334" t="str">
        <f t="shared" si="1"/>
        <v/>
      </c>
      <c r="X19" s="302"/>
    </row>
    <row r="20" spans="1:24" ht="13.5" hidden="1" thickBot="1" x14ac:dyDescent="0.25">
      <c r="A20" s="105"/>
      <c r="B20" s="304"/>
      <c r="C20" s="102"/>
      <c r="D20" s="99"/>
      <c r="E20" s="103"/>
      <c r="F20" s="104"/>
      <c r="G20" s="102"/>
      <c r="H20" s="99"/>
      <c r="I20" s="103"/>
      <c r="J20" s="104"/>
      <c r="K20" s="102"/>
      <c r="L20" s="99"/>
      <c r="M20" s="103"/>
      <c r="N20" s="104"/>
      <c r="O20" s="102"/>
      <c r="P20" s="99"/>
      <c r="Q20" s="103"/>
      <c r="R20" s="104"/>
      <c r="S20" s="102"/>
      <c r="T20" s="99"/>
      <c r="U20" s="103"/>
      <c r="V20" s="104"/>
      <c r="W20" s="334" t="str">
        <f t="shared" si="1"/>
        <v/>
      </c>
      <c r="X20" s="86"/>
    </row>
    <row r="21" spans="1:24" ht="13.5" hidden="1" thickBot="1" x14ac:dyDescent="0.25">
      <c r="A21" s="105"/>
      <c r="B21" s="175"/>
      <c r="C21" s="102"/>
      <c r="D21" s="99"/>
      <c r="E21" s="103"/>
      <c r="F21" s="104"/>
      <c r="G21" s="102"/>
      <c r="H21" s="99"/>
      <c r="I21" s="103"/>
      <c r="J21" s="104"/>
      <c r="K21" s="102"/>
      <c r="L21" s="99"/>
      <c r="M21" s="103"/>
      <c r="N21" s="104"/>
      <c r="O21" s="102"/>
      <c r="P21" s="99"/>
      <c r="Q21" s="103"/>
      <c r="R21" s="104"/>
      <c r="S21" s="102"/>
      <c r="T21" s="99"/>
      <c r="U21" s="103"/>
      <c r="V21" s="104"/>
      <c r="W21" s="334" t="str">
        <f t="shared" si="1"/>
        <v/>
      </c>
      <c r="X21" s="86"/>
    </row>
    <row r="22" spans="1:24" ht="13.5" hidden="1" thickBot="1" x14ac:dyDescent="0.25">
      <c r="A22" s="305"/>
      <c r="B22" s="124"/>
      <c r="C22" s="102"/>
      <c r="D22" s="99"/>
      <c r="E22" s="103"/>
      <c r="F22" s="104"/>
      <c r="G22" s="102"/>
      <c r="H22" s="99"/>
      <c r="I22" s="103"/>
      <c r="J22" s="104"/>
      <c r="K22" s="102"/>
      <c r="L22" s="99"/>
      <c r="M22" s="103"/>
      <c r="N22" s="104"/>
      <c r="O22" s="102"/>
      <c r="P22" s="99"/>
      <c r="Q22" s="103"/>
      <c r="R22" s="104"/>
      <c r="S22" s="102"/>
      <c r="T22" s="99"/>
      <c r="U22" s="103"/>
      <c r="V22" s="104"/>
      <c r="W22" s="334" t="str">
        <f t="shared" ref="W22:W47" si="2">IF(COUNTA(C22:V22)=0,"",SUM(C22:V22)+COUNTIF(C22:V22,5)/100+COUNTIF(C22:V22,3)/10000)</f>
        <v/>
      </c>
      <c r="X22" s="86"/>
    </row>
    <row r="23" spans="1:24" ht="13.5" hidden="1" thickBot="1" x14ac:dyDescent="0.25">
      <c r="A23" s="305"/>
      <c r="B23" s="124"/>
      <c r="C23" s="102"/>
      <c r="D23" s="99"/>
      <c r="E23" s="103"/>
      <c r="F23" s="104"/>
      <c r="G23" s="102"/>
      <c r="H23" s="99"/>
      <c r="I23" s="103"/>
      <c r="J23" s="104"/>
      <c r="K23" s="102"/>
      <c r="L23" s="99"/>
      <c r="M23" s="103"/>
      <c r="N23" s="104"/>
      <c r="O23" s="102"/>
      <c r="P23" s="99"/>
      <c r="Q23" s="103"/>
      <c r="R23" s="104"/>
      <c r="S23" s="102"/>
      <c r="T23" s="99"/>
      <c r="U23" s="103"/>
      <c r="V23" s="104"/>
      <c r="W23" s="334" t="str">
        <f t="shared" si="2"/>
        <v/>
      </c>
      <c r="X23" s="86"/>
    </row>
    <row r="24" spans="1:24" ht="13.5" hidden="1" thickBot="1" x14ac:dyDescent="0.25">
      <c r="A24" s="296"/>
      <c r="B24" s="297"/>
      <c r="C24" s="298"/>
      <c r="D24" s="299"/>
      <c r="E24" s="300"/>
      <c r="F24" s="301"/>
      <c r="G24" s="298"/>
      <c r="H24" s="299"/>
      <c r="I24" s="300"/>
      <c r="J24" s="301"/>
      <c r="K24" s="298"/>
      <c r="L24" s="299"/>
      <c r="M24" s="300"/>
      <c r="N24" s="301"/>
      <c r="O24" s="298"/>
      <c r="P24" s="299"/>
      <c r="Q24" s="300"/>
      <c r="R24" s="301"/>
      <c r="S24" s="298"/>
      <c r="T24" s="299"/>
      <c r="U24" s="300"/>
      <c r="V24" s="301"/>
      <c r="W24" s="334" t="str">
        <f t="shared" si="2"/>
        <v/>
      </c>
      <c r="X24" s="302"/>
    </row>
    <row r="25" spans="1:24" ht="13.5" hidden="1" thickBot="1" x14ac:dyDescent="0.25">
      <c r="A25" s="296"/>
      <c r="B25" s="297"/>
      <c r="C25" s="298"/>
      <c r="D25" s="299"/>
      <c r="E25" s="300"/>
      <c r="F25" s="301"/>
      <c r="G25" s="298"/>
      <c r="H25" s="299"/>
      <c r="I25" s="300"/>
      <c r="J25" s="301"/>
      <c r="K25" s="298"/>
      <c r="L25" s="299"/>
      <c r="M25" s="300"/>
      <c r="N25" s="301"/>
      <c r="O25" s="298"/>
      <c r="P25" s="299"/>
      <c r="Q25" s="300"/>
      <c r="R25" s="301"/>
      <c r="S25" s="298"/>
      <c r="T25" s="299"/>
      <c r="U25" s="300"/>
      <c r="V25" s="301"/>
      <c r="W25" s="334" t="str">
        <f t="shared" si="2"/>
        <v/>
      </c>
      <c r="X25" s="302"/>
    </row>
    <row r="26" spans="1:24" ht="13.5" hidden="1" thickBot="1" x14ac:dyDescent="0.25">
      <c r="A26" s="296"/>
      <c r="B26" s="303"/>
      <c r="C26" s="298"/>
      <c r="D26" s="299"/>
      <c r="E26" s="300"/>
      <c r="F26" s="301"/>
      <c r="G26" s="298"/>
      <c r="H26" s="299"/>
      <c r="I26" s="300"/>
      <c r="J26" s="301"/>
      <c r="K26" s="298"/>
      <c r="L26" s="299"/>
      <c r="M26" s="300"/>
      <c r="N26" s="301"/>
      <c r="O26" s="298"/>
      <c r="P26" s="299"/>
      <c r="Q26" s="300"/>
      <c r="R26" s="301"/>
      <c r="S26" s="298"/>
      <c r="T26" s="299"/>
      <c r="U26" s="300"/>
      <c r="V26" s="301"/>
      <c r="W26" s="334" t="str">
        <f t="shared" si="2"/>
        <v/>
      </c>
      <c r="X26" s="302"/>
    </row>
    <row r="27" spans="1:24" ht="13.5" hidden="1" thickBot="1" x14ac:dyDescent="0.25">
      <c r="A27" s="296"/>
      <c r="B27" s="297"/>
      <c r="C27" s="298"/>
      <c r="D27" s="299"/>
      <c r="E27" s="300"/>
      <c r="F27" s="301"/>
      <c r="G27" s="298"/>
      <c r="H27" s="299"/>
      <c r="I27" s="300"/>
      <c r="J27" s="301"/>
      <c r="K27" s="298"/>
      <c r="L27" s="299"/>
      <c r="M27" s="300"/>
      <c r="N27" s="301"/>
      <c r="O27" s="298"/>
      <c r="P27" s="299"/>
      <c r="Q27" s="300"/>
      <c r="R27" s="301"/>
      <c r="S27" s="298"/>
      <c r="T27" s="299"/>
      <c r="U27" s="300"/>
      <c r="V27" s="301"/>
      <c r="W27" s="334" t="str">
        <f t="shared" si="2"/>
        <v/>
      </c>
      <c r="X27" s="302"/>
    </row>
    <row r="28" spans="1:24" ht="13.5" hidden="1" thickBot="1" x14ac:dyDescent="0.25">
      <c r="A28" s="105"/>
      <c r="B28" s="304"/>
      <c r="C28" s="102"/>
      <c r="D28" s="99"/>
      <c r="E28" s="103"/>
      <c r="F28" s="104"/>
      <c r="G28" s="102"/>
      <c r="H28" s="99"/>
      <c r="I28" s="103"/>
      <c r="J28" s="104"/>
      <c r="K28" s="102"/>
      <c r="L28" s="99"/>
      <c r="M28" s="103"/>
      <c r="N28" s="104"/>
      <c r="O28" s="102"/>
      <c r="P28" s="99"/>
      <c r="Q28" s="103"/>
      <c r="R28" s="104"/>
      <c r="S28" s="102"/>
      <c r="T28" s="99"/>
      <c r="U28" s="103"/>
      <c r="V28" s="104"/>
      <c r="W28" s="334" t="str">
        <f t="shared" si="2"/>
        <v/>
      </c>
      <c r="X28" s="86"/>
    </row>
    <row r="29" spans="1:24" ht="13.5" hidden="1" thickBot="1" x14ac:dyDescent="0.25">
      <c r="A29" s="105"/>
      <c r="B29" s="175"/>
      <c r="C29" s="102"/>
      <c r="D29" s="99"/>
      <c r="E29" s="103"/>
      <c r="F29" s="104"/>
      <c r="G29" s="102"/>
      <c r="H29" s="99"/>
      <c r="I29" s="103"/>
      <c r="J29" s="104"/>
      <c r="K29" s="102"/>
      <c r="L29" s="99"/>
      <c r="M29" s="103"/>
      <c r="N29" s="104"/>
      <c r="O29" s="102"/>
      <c r="P29" s="99"/>
      <c r="Q29" s="103"/>
      <c r="R29" s="104"/>
      <c r="S29" s="102"/>
      <c r="T29" s="99"/>
      <c r="U29" s="103"/>
      <c r="V29" s="104"/>
      <c r="W29" s="334" t="str">
        <f t="shared" si="2"/>
        <v/>
      </c>
      <c r="X29" s="86"/>
    </row>
    <row r="30" spans="1:24" ht="13.5" hidden="1" thickBot="1" x14ac:dyDescent="0.25">
      <c r="A30" s="305"/>
      <c r="B30" s="124"/>
      <c r="C30" s="102"/>
      <c r="D30" s="99"/>
      <c r="E30" s="103"/>
      <c r="F30" s="104"/>
      <c r="G30" s="102"/>
      <c r="H30" s="99"/>
      <c r="I30" s="103"/>
      <c r="J30" s="104"/>
      <c r="K30" s="102"/>
      <c r="L30" s="99"/>
      <c r="M30" s="103"/>
      <c r="N30" s="104"/>
      <c r="O30" s="102"/>
      <c r="P30" s="99"/>
      <c r="Q30" s="103"/>
      <c r="R30" s="104"/>
      <c r="S30" s="102"/>
      <c r="T30" s="99"/>
      <c r="U30" s="103"/>
      <c r="V30" s="104"/>
      <c r="W30" s="334" t="str">
        <f t="shared" si="2"/>
        <v/>
      </c>
      <c r="X30" s="86"/>
    </row>
    <row r="31" spans="1:24" ht="13.5" hidden="1" thickBot="1" x14ac:dyDescent="0.25">
      <c r="A31" s="305"/>
      <c r="B31" s="124"/>
      <c r="C31" s="102"/>
      <c r="D31" s="99"/>
      <c r="E31" s="103"/>
      <c r="F31" s="104"/>
      <c r="G31" s="102"/>
      <c r="H31" s="99"/>
      <c r="I31" s="103"/>
      <c r="J31" s="104"/>
      <c r="K31" s="102"/>
      <c r="L31" s="99"/>
      <c r="M31" s="103"/>
      <c r="N31" s="104"/>
      <c r="O31" s="102"/>
      <c r="P31" s="99"/>
      <c r="Q31" s="103"/>
      <c r="R31" s="104"/>
      <c r="S31" s="102"/>
      <c r="T31" s="99"/>
      <c r="U31" s="103"/>
      <c r="V31" s="104"/>
      <c r="W31" s="334" t="str">
        <f t="shared" si="2"/>
        <v/>
      </c>
      <c r="X31" s="86"/>
    </row>
    <row r="32" spans="1:24" ht="13.5" hidden="1" thickBot="1" x14ac:dyDescent="0.25">
      <c r="A32" s="296"/>
      <c r="B32" s="297"/>
      <c r="C32" s="298"/>
      <c r="D32" s="299"/>
      <c r="E32" s="300"/>
      <c r="F32" s="301"/>
      <c r="G32" s="298"/>
      <c r="H32" s="299"/>
      <c r="I32" s="300"/>
      <c r="J32" s="301"/>
      <c r="K32" s="298"/>
      <c r="L32" s="299"/>
      <c r="M32" s="300"/>
      <c r="N32" s="301"/>
      <c r="O32" s="298"/>
      <c r="P32" s="299"/>
      <c r="Q32" s="300"/>
      <c r="R32" s="301"/>
      <c r="S32" s="298"/>
      <c r="T32" s="299"/>
      <c r="U32" s="300"/>
      <c r="V32" s="301"/>
      <c r="W32" s="334" t="str">
        <f t="shared" si="2"/>
        <v/>
      </c>
      <c r="X32" s="302"/>
    </row>
    <row r="33" spans="1:28" ht="13.5" hidden="1" thickBot="1" x14ac:dyDescent="0.25">
      <c r="A33" s="296"/>
      <c r="B33" s="297"/>
      <c r="C33" s="298"/>
      <c r="D33" s="299"/>
      <c r="E33" s="300"/>
      <c r="F33" s="301"/>
      <c r="G33" s="298"/>
      <c r="H33" s="299"/>
      <c r="I33" s="300"/>
      <c r="J33" s="301"/>
      <c r="K33" s="298"/>
      <c r="L33" s="299"/>
      <c r="M33" s="300"/>
      <c r="N33" s="301"/>
      <c r="O33" s="298"/>
      <c r="P33" s="299"/>
      <c r="Q33" s="300"/>
      <c r="R33" s="301"/>
      <c r="S33" s="298"/>
      <c r="T33" s="299"/>
      <c r="U33" s="300"/>
      <c r="V33" s="301"/>
      <c r="W33" s="334" t="str">
        <f t="shared" si="2"/>
        <v/>
      </c>
      <c r="X33" s="302"/>
    </row>
    <row r="34" spans="1:28" ht="13.5" hidden="1" thickBot="1" x14ac:dyDescent="0.25">
      <c r="A34" s="296"/>
      <c r="B34" s="303"/>
      <c r="C34" s="298"/>
      <c r="D34" s="299"/>
      <c r="E34" s="300"/>
      <c r="F34" s="301"/>
      <c r="G34" s="298"/>
      <c r="H34" s="299"/>
      <c r="I34" s="300"/>
      <c r="J34" s="301"/>
      <c r="K34" s="298"/>
      <c r="L34" s="299"/>
      <c r="M34" s="300"/>
      <c r="N34" s="301"/>
      <c r="O34" s="298"/>
      <c r="P34" s="299"/>
      <c r="Q34" s="300"/>
      <c r="R34" s="301"/>
      <c r="S34" s="298"/>
      <c r="T34" s="299"/>
      <c r="U34" s="300"/>
      <c r="V34" s="301"/>
      <c r="W34" s="334" t="str">
        <f t="shared" si="2"/>
        <v/>
      </c>
      <c r="X34" s="302"/>
    </row>
    <row r="35" spans="1:28" ht="13.5" hidden="1" thickBot="1" x14ac:dyDescent="0.25">
      <c r="A35" s="296"/>
      <c r="B35" s="297"/>
      <c r="C35" s="298"/>
      <c r="D35" s="299"/>
      <c r="E35" s="300"/>
      <c r="F35" s="301"/>
      <c r="G35" s="298"/>
      <c r="H35" s="299"/>
      <c r="I35" s="300"/>
      <c r="J35" s="301"/>
      <c r="K35" s="298"/>
      <c r="L35" s="299"/>
      <c r="M35" s="300"/>
      <c r="N35" s="301"/>
      <c r="O35" s="298"/>
      <c r="P35" s="299"/>
      <c r="Q35" s="300"/>
      <c r="R35" s="301"/>
      <c r="S35" s="298"/>
      <c r="T35" s="299"/>
      <c r="U35" s="300"/>
      <c r="V35" s="301"/>
      <c r="W35" s="334" t="str">
        <f t="shared" si="2"/>
        <v/>
      </c>
      <c r="X35" s="302"/>
    </row>
    <row r="36" spans="1:28" ht="13.5" hidden="1" thickBot="1" x14ac:dyDescent="0.25">
      <c r="A36" s="105"/>
      <c r="B36" s="304"/>
      <c r="C36" s="102"/>
      <c r="D36" s="99"/>
      <c r="E36" s="103"/>
      <c r="F36" s="104"/>
      <c r="G36" s="102"/>
      <c r="H36" s="99"/>
      <c r="I36" s="103"/>
      <c r="J36" s="104"/>
      <c r="K36" s="102"/>
      <c r="L36" s="99"/>
      <c r="M36" s="103"/>
      <c r="N36" s="104"/>
      <c r="O36" s="102"/>
      <c r="P36" s="99"/>
      <c r="Q36" s="103"/>
      <c r="R36" s="104"/>
      <c r="S36" s="102"/>
      <c r="T36" s="99"/>
      <c r="U36" s="103"/>
      <c r="V36" s="104"/>
      <c r="W36" s="334" t="str">
        <f t="shared" si="2"/>
        <v/>
      </c>
      <c r="X36" s="86"/>
    </row>
    <row r="37" spans="1:28" ht="13.5" hidden="1" thickBot="1" x14ac:dyDescent="0.25">
      <c r="A37" s="105"/>
      <c r="B37" s="175"/>
      <c r="C37" s="102"/>
      <c r="D37" s="99"/>
      <c r="E37" s="103"/>
      <c r="F37" s="104"/>
      <c r="G37" s="102"/>
      <c r="H37" s="99"/>
      <c r="I37" s="103"/>
      <c r="J37" s="104"/>
      <c r="K37" s="102"/>
      <c r="L37" s="99"/>
      <c r="M37" s="103"/>
      <c r="N37" s="104"/>
      <c r="O37" s="102"/>
      <c r="P37" s="99"/>
      <c r="Q37" s="103"/>
      <c r="R37" s="104"/>
      <c r="S37" s="102"/>
      <c r="T37" s="99"/>
      <c r="U37" s="103"/>
      <c r="V37" s="104"/>
      <c r="W37" s="334" t="str">
        <f t="shared" si="2"/>
        <v/>
      </c>
      <c r="X37" s="86"/>
    </row>
    <row r="38" spans="1:28" ht="13.5" hidden="1" thickBot="1" x14ac:dyDescent="0.25">
      <c r="A38" s="305"/>
      <c r="B38" s="124"/>
      <c r="C38" s="102"/>
      <c r="D38" s="99"/>
      <c r="E38" s="103"/>
      <c r="F38" s="104"/>
      <c r="G38" s="102"/>
      <c r="H38" s="99"/>
      <c r="I38" s="103"/>
      <c r="J38" s="104"/>
      <c r="K38" s="102"/>
      <c r="L38" s="99"/>
      <c r="M38" s="103"/>
      <c r="N38" s="104"/>
      <c r="O38" s="102"/>
      <c r="P38" s="99"/>
      <c r="Q38" s="103"/>
      <c r="R38" s="104"/>
      <c r="S38" s="102"/>
      <c r="T38" s="99"/>
      <c r="U38" s="103"/>
      <c r="V38" s="104"/>
      <c r="W38" s="334" t="str">
        <f t="shared" si="2"/>
        <v/>
      </c>
      <c r="X38" s="86"/>
    </row>
    <row r="39" spans="1:28" ht="13.5" hidden="1" thickBot="1" x14ac:dyDescent="0.25">
      <c r="A39" s="305"/>
      <c r="B39" s="124"/>
      <c r="C39" s="102"/>
      <c r="D39" s="99"/>
      <c r="E39" s="103"/>
      <c r="F39" s="104"/>
      <c r="G39" s="102"/>
      <c r="H39" s="99"/>
      <c r="I39" s="103"/>
      <c r="J39" s="104"/>
      <c r="K39" s="102"/>
      <c r="L39" s="99"/>
      <c r="M39" s="103"/>
      <c r="N39" s="104"/>
      <c r="O39" s="102"/>
      <c r="P39" s="99"/>
      <c r="Q39" s="103"/>
      <c r="R39" s="104"/>
      <c r="S39" s="102"/>
      <c r="T39" s="99"/>
      <c r="U39" s="103"/>
      <c r="V39" s="104"/>
      <c r="W39" s="334" t="str">
        <f t="shared" si="2"/>
        <v/>
      </c>
      <c r="X39" s="86"/>
    </row>
    <row r="40" spans="1:28" ht="13.5" hidden="1" thickBot="1" x14ac:dyDescent="0.25">
      <c r="A40" s="296"/>
      <c r="B40" s="303"/>
      <c r="C40" s="298"/>
      <c r="D40" s="299"/>
      <c r="E40" s="300"/>
      <c r="F40" s="301"/>
      <c r="G40" s="298"/>
      <c r="H40" s="299"/>
      <c r="I40" s="300"/>
      <c r="J40" s="301"/>
      <c r="K40" s="298"/>
      <c r="L40" s="299"/>
      <c r="M40" s="300"/>
      <c r="N40" s="301"/>
      <c r="O40" s="298"/>
      <c r="P40" s="299"/>
      <c r="Q40" s="300"/>
      <c r="R40" s="301"/>
      <c r="S40" s="298"/>
      <c r="T40" s="299"/>
      <c r="U40" s="300"/>
      <c r="V40" s="301"/>
      <c r="W40" s="334" t="str">
        <f t="shared" si="2"/>
        <v/>
      </c>
      <c r="X40" s="302"/>
    </row>
    <row r="41" spans="1:28" ht="13.5" hidden="1" thickBot="1" x14ac:dyDescent="0.25">
      <c r="A41" s="296"/>
      <c r="B41" s="303"/>
      <c r="C41" s="298"/>
      <c r="D41" s="299"/>
      <c r="E41" s="300"/>
      <c r="F41" s="301"/>
      <c r="G41" s="298"/>
      <c r="H41" s="299"/>
      <c r="I41" s="300"/>
      <c r="J41" s="301"/>
      <c r="K41" s="298"/>
      <c r="L41" s="299"/>
      <c r="M41" s="300"/>
      <c r="N41" s="301"/>
      <c r="O41" s="298"/>
      <c r="P41" s="299"/>
      <c r="Q41" s="300"/>
      <c r="R41" s="301"/>
      <c r="S41" s="298"/>
      <c r="T41" s="299"/>
      <c r="U41" s="300"/>
      <c r="V41" s="301"/>
      <c r="W41" s="334" t="str">
        <f t="shared" si="2"/>
        <v/>
      </c>
      <c r="X41" s="302"/>
    </row>
    <row r="42" spans="1:28" ht="13.5" hidden="1" thickBot="1" x14ac:dyDescent="0.25">
      <c r="A42" s="296"/>
      <c r="B42" s="297"/>
      <c r="C42" s="298"/>
      <c r="D42" s="299"/>
      <c r="E42" s="300"/>
      <c r="F42" s="301"/>
      <c r="G42" s="298"/>
      <c r="H42" s="299"/>
      <c r="I42" s="300"/>
      <c r="J42" s="301"/>
      <c r="K42" s="298"/>
      <c r="L42" s="299"/>
      <c r="M42" s="300"/>
      <c r="N42" s="301"/>
      <c r="O42" s="298"/>
      <c r="P42" s="299"/>
      <c r="Q42" s="300"/>
      <c r="R42" s="301"/>
      <c r="S42" s="298"/>
      <c r="T42" s="299"/>
      <c r="U42" s="300"/>
      <c r="V42" s="301"/>
      <c r="W42" s="334" t="str">
        <f t="shared" si="2"/>
        <v/>
      </c>
      <c r="X42" s="302"/>
    </row>
    <row r="43" spans="1:28" ht="13.5" hidden="1" thickBot="1" x14ac:dyDescent="0.25">
      <c r="A43" s="296"/>
      <c r="B43" s="306"/>
      <c r="C43" s="298"/>
      <c r="D43" s="299"/>
      <c r="E43" s="300"/>
      <c r="F43" s="301"/>
      <c r="G43" s="298"/>
      <c r="H43" s="299"/>
      <c r="I43" s="300"/>
      <c r="J43" s="301"/>
      <c r="K43" s="298"/>
      <c r="L43" s="299"/>
      <c r="M43" s="300"/>
      <c r="N43" s="301"/>
      <c r="O43" s="298"/>
      <c r="P43" s="299"/>
      <c r="Q43" s="300"/>
      <c r="R43" s="301"/>
      <c r="S43" s="298"/>
      <c r="T43" s="299"/>
      <c r="U43" s="300"/>
      <c r="V43" s="301"/>
      <c r="W43" s="334" t="str">
        <f t="shared" si="2"/>
        <v/>
      </c>
      <c r="X43" s="302"/>
    </row>
    <row r="44" spans="1:28" ht="13.5" hidden="1" thickBot="1" x14ac:dyDescent="0.25">
      <c r="A44" s="105"/>
      <c r="B44" s="304"/>
      <c r="C44" s="102"/>
      <c r="D44" s="99"/>
      <c r="E44" s="103"/>
      <c r="F44" s="104"/>
      <c r="G44" s="102"/>
      <c r="H44" s="99"/>
      <c r="I44" s="103"/>
      <c r="J44" s="104"/>
      <c r="K44" s="102"/>
      <c r="L44" s="99"/>
      <c r="M44" s="103"/>
      <c r="N44" s="104"/>
      <c r="O44" s="102"/>
      <c r="P44" s="99"/>
      <c r="Q44" s="103"/>
      <c r="R44" s="104"/>
      <c r="S44" s="102"/>
      <c r="T44" s="99"/>
      <c r="U44" s="103"/>
      <c r="V44" s="104"/>
      <c r="W44" s="334" t="str">
        <f t="shared" si="2"/>
        <v/>
      </c>
      <c r="X44" s="86"/>
    </row>
    <row r="45" spans="1:28" ht="13.5" hidden="1" thickBot="1" x14ac:dyDescent="0.25">
      <c r="A45" s="105"/>
      <c r="B45" s="175"/>
      <c r="C45" s="102"/>
      <c r="D45" s="99"/>
      <c r="E45" s="103"/>
      <c r="F45" s="104"/>
      <c r="G45" s="102"/>
      <c r="H45" s="99"/>
      <c r="I45" s="103"/>
      <c r="J45" s="104"/>
      <c r="K45" s="102"/>
      <c r="L45" s="99"/>
      <c r="M45" s="103"/>
      <c r="N45" s="104"/>
      <c r="O45" s="102"/>
      <c r="P45" s="99"/>
      <c r="Q45" s="103"/>
      <c r="R45" s="104"/>
      <c r="S45" s="102"/>
      <c r="T45" s="99"/>
      <c r="U45" s="103"/>
      <c r="V45" s="104"/>
      <c r="W45" s="334" t="str">
        <f t="shared" si="2"/>
        <v/>
      </c>
      <c r="X45" s="86"/>
    </row>
    <row r="46" spans="1:28" ht="13.5" hidden="1" thickBot="1" x14ac:dyDescent="0.25">
      <c r="A46" s="305"/>
      <c r="B46" s="124"/>
      <c r="C46" s="102"/>
      <c r="D46" s="99"/>
      <c r="E46" s="103"/>
      <c r="F46" s="104"/>
      <c r="G46" s="102"/>
      <c r="H46" s="99"/>
      <c r="I46" s="103"/>
      <c r="J46" s="104"/>
      <c r="K46" s="102"/>
      <c r="L46" s="99"/>
      <c r="M46" s="103"/>
      <c r="N46" s="104"/>
      <c r="O46" s="102"/>
      <c r="P46" s="99"/>
      <c r="Q46" s="103"/>
      <c r="R46" s="104"/>
      <c r="S46" s="102"/>
      <c r="T46" s="99"/>
      <c r="U46" s="103"/>
      <c r="V46" s="104"/>
      <c r="W46" s="334" t="str">
        <f t="shared" si="2"/>
        <v/>
      </c>
      <c r="X46" s="86"/>
    </row>
    <row r="47" spans="1:28" ht="13.5" hidden="1" thickBot="1" x14ac:dyDescent="0.25">
      <c r="A47" s="307"/>
      <c r="B47" s="308"/>
      <c r="C47" s="309"/>
      <c r="D47" s="118"/>
      <c r="E47" s="310"/>
      <c r="F47" s="311"/>
      <c r="G47" s="309"/>
      <c r="H47" s="118"/>
      <c r="I47" s="310"/>
      <c r="J47" s="311"/>
      <c r="K47" s="309"/>
      <c r="L47" s="118"/>
      <c r="M47" s="310"/>
      <c r="N47" s="311"/>
      <c r="O47" s="309"/>
      <c r="P47" s="118"/>
      <c r="Q47" s="310"/>
      <c r="R47" s="311"/>
      <c r="S47" s="309"/>
      <c r="T47" s="118"/>
      <c r="U47" s="310"/>
      <c r="V47" s="311"/>
      <c r="W47" s="341" t="str">
        <f t="shared" si="2"/>
        <v/>
      </c>
      <c r="X47" s="95"/>
      <c r="Y47" s="90"/>
    </row>
    <row r="48" spans="1:28" x14ac:dyDescent="0.2">
      <c r="A48" s="312"/>
      <c r="B48" s="295" t="s">
        <v>217</v>
      </c>
      <c r="C48" s="164"/>
      <c r="D48" s="165"/>
      <c r="E48" s="165"/>
      <c r="F48" s="166"/>
      <c r="G48" s="164"/>
      <c r="H48" s="165"/>
      <c r="I48" s="165"/>
      <c r="J48" s="166"/>
      <c r="K48" s="164"/>
      <c r="L48" s="165"/>
      <c r="M48" s="165"/>
      <c r="N48" s="166"/>
      <c r="O48" s="164"/>
      <c r="P48" s="165"/>
      <c r="Q48" s="165"/>
      <c r="R48" s="166"/>
      <c r="S48" s="164"/>
      <c r="T48" s="165"/>
      <c r="U48" s="165"/>
      <c r="V48" s="166"/>
      <c r="W48" s="400"/>
      <c r="X48" s="167"/>
      <c r="Y48" s="313" t="s">
        <v>564</v>
      </c>
      <c r="Z48" s="84"/>
      <c r="AA48" s="85" t="s">
        <v>212</v>
      </c>
      <c r="AB48" s="85" t="s">
        <v>213</v>
      </c>
    </row>
    <row r="49" spans="1:28" x14ac:dyDescent="0.2">
      <c r="A49" s="306">
        <v>4</v>
      </c>
      <c r="B49" s="427" t="s">
        <v>570</v>
      </c>
      <c r="C49" s="331">
        <v>0</v>
      </c>
      <c r="D49" s="332">
        <v>0</v>
      </c>
      <c r="E49" s="332">
        <v>0</v>
      </c>
      <c r="F49" s="333">
        <v>3</v>
      </c>
      <c r="G49" s="331">
        <v>0</v>
      </c>
      <c r="H49" s="332">
        <v>0</v>
      </c>
      <c r="I49" s="332">
        <v>0</v>
      </c>
      <c r="J49" s="333">
        <v>0</v>
      </c>
      <c r="K49" s="331">
        <v>3</v>
      </c>
      <c r="L49" s="332">
        <v>3</v>
      </c>
      <c r="M49" s="332">
        <v>3</v>
      </c>
      <c r="N49" s="333">
        <v>0</v>
      </c>
      <c r="O49" s="331">
        <v>0</v>
      </c>
      <c r="P49" s="332">
        <v>0</v>
      </c>
      <c r="Q49" s="332">
        <v>0</v>
      </c>
      <c r="R49" s="333">
        <v>0</v>
      </c>
      <c r="S49" s="331">
        <v>0</v>
      </c>
      <c r="T49" s="332">
        <v>0</v>
      </c>
      <c r="U49" s="332">
        <v>0</v>
      </c>
      <c r="V49" s="333">
        <v>0</v>
      </c>
      <c r="W49" s="334">
        <f>SUM(C49:V49)+COUNTIF(C49:V49,5)/100+COUNTIF(C49:V49,3)/10000</f>
        <v>12.000400000000001</v>
      </c>
      <c r="X49" s="302">
        <v>6</v>
      </c>
      <c r="Y49" s="334">
        <f>W49+IFERROR(INDEX(W$9:W$14,MATCH(B49,B$9:B$14,0)),0)</f>
        <v>12.000400000000001</v>
      </c>
      <c r="Z49" s="87" t="e">
        <f>IF(COUNTA(C49:V49)=0,100,W49+IF(RANK(W49,#REF!)=1,100,0))</f>
        <v>#REF!</v>
      </c>
      <c r="AA49" s="85">
        <f>MIN(W49:W50)</f>
        <v>12.000400000000001</v>
      </c>
      <c r="AB49" s="85">
        <f>MAX(W49:W50)</f>
        <v>23.0106</v>
      </c>
    </row>
    <row r="50" spans="1:28" x14ac:dyDescent="0.2">
      <c r="A50" s="306">
        <v>3</v>
      </c>
      <c r="B50" s="427" t="s">
        <v>35</v>
      </c>
      <c r="C50" s="331">
        <v>3</v>
      </c>
      <c r="D50" s="332">
        <v>3</v>
      </c>
      <c r="E50" s="332">
        <v>5</v>
      </c>
      <c r="F50" s="333">
        <v>0</v>
      </c>
      <c r="G50" s="331">
        <v>3</v>
      </c>
      <c r="H50" s="332">
        <v>0</v>
      </c>
      <c r="I50" s="332">
        <v>3</v>
      </c>
      <c r="J50" s="333">
        <v>0</v>
      </c>
      <c r="K50" s="331">
        <v>0</v>
      </c>
      <c r="L50" s="332">
        <v>0</v>
      </c>
      <c r="M50" s="332">
        <v>0</v>
      </c>
      <c r="N50" s="333">
        <v>3</v>
      </c>
      <c r="O50" s="331">
        <v>0</v>
      </c>
      <c r="P50" s="332">
        <v>0</v>
      </c>
      <c r="Q50" s="332">
        <v>0</v>
      </c>
      <c r="R50" s="333">
        <v>0</v>
      </c>
      <c r="S50" s="331">
        <v>0</v>
      </c>
      <c r="T50" s="332">
        <v>3</v>
      </c>
      <c r="U50" s="332">
        <v>0</v>
      </c>
      <c r="V50" s="333">
        <v>0</v>
      </c>
      <c r="W50" s="334">
        <f t="shared" ref="W50" si="3">SUM(C50:V50)+COUNTIF(C50:V50,5)/100+COUNTIF(C50:V50,3)/10000</f>
        <v>23.0106</v>
      </c>
      <c r="X50" s="302" t="s">
        <v>605</v>
      </c>
      <c r="Y50" s="376">
        <f>W50+IFERROR(INDEX(W$9:W$14,MATCH(B50,B$9:B$14,0)),0)</f>
        <v>26.0107</v>
      </c>
      <c r="Z50" s="87"/>
      <c r="AA50" s="85"/>
      <c r="AB50" s="85"/>
    </row>
    <row r="51" spans="1:28" x14ac:dyDescent="0.2">
      <c r="A51" s="108">
        <v>2</v>
      </c>
      <c r="B51" s="378" t="s">
        <v>51</v>
      </c>
      <c r="C51" s="80">
        <v>3</v>
      </c>
      <c r="D51" s="81">
        <v>3</v>
      </c>
      <c r="E51" s="81">
        <v>3</v>
      </c>
      <c r="F51" s="82">
        <v>0</v>
      </c>
      <c r="G51" s="80">
        <v>0</v>
      </c>
      <c r="H51" s="81">
        <v>0</v>
      </c>
      <c r="I51" s="81">
        <v>0</v>
      </c>
      <c r="J51" s="82">
        <v>0</v>
      </c>
      <c r="K51" s="80">
        <v>0</v>
      </c>
      <c r="L51" s="81">
        <v>0</v>
      </c>
      <c r="M51" s="81">
        <v>1</v>
      </c>
      <c r="N51" s="82">
        <v>0</v>
      </c>
      <c r="O51" s="80">
        <v>0</v>
      </c>
      <c r="P51" s="81">
        <v>3</v>
      </c>
      <c r="Q51" s="81">
        <v>0</v>
      </c>
      <c r="R51" s="82">
        <v>0</v>
      </c>
      <c r="S51" s="80">
        <v>0</v>
      </c>
      <c r="T51" s="81">
        <v>0</v>
      </c>
      <c r="U51" s="81">
        <v>0</v>
      </c>
      <c r="V51" s="82">
        <v>0</v>
      </c>
      <c r="W51" s="334">
        <f>SUM(C51:V51)+COUNTIF(C51:V51,5)/100+COUNTIF(C51:V51,3)/10000</f>
        <v>13.000400000000001</v>
      </c>
      <c r="X51" s="86">
        <v>5</v>
      </c>
      <c r="Y51" s="334">
        <f>W51+IFERROR(INDEX(W$9:W$14,MATCH(B51,B$9:B$14,0)),0)</f>
        <v>17.000500000000002</v>
      </c>
      <c r="Z51" s="88" t="e">
        <f>IF(COUNTA(C51:V51)=0,0,W51+IF(RANK(W51,#REF!)=1,100,0))</f>
        <v>#REF!</v>
      </c>
      <c r="AA51" s="85"/>
      <c r="AB51" s="85"/>
    </row>
    <row r="52" spans="1:28" ht="13.5" thickBot="1" x14ac:dyDescent="0.25">
      <c r="A52" s="108">
        <v>1</v>
      </c>
      <c r="B52" s="378" t="s">
        <v>535</v>
      </c>
      <c r="C52" s="80">
        <v>5</v>
      </c>
      <c r="D52" s="81">
        <v>0</v>
      </c>
      <c r="E52" s="81">
        <v>0</v>
      </c>
      <c r="F52" s="82">
        <v>0</v>
      </c>
      <c r="G52" s="80">
        <v>3</v>
      </c>
      <c r="H52" s="81">
        <v>0</v>
      </c>
      <c r="I52" s="81">
        <v>5</v>
      </c>
      <c r="J52" s="82">
        <v>0</v>
      </c>
      <c r="K52" s="80">
        <v>1</v>
      </c>
      <c r="L52" s="81">
        <v>0</v>
      </c>
      <c r="M52" s="81">
        <v>0</v>
      </c>
      <c r="N52" s="82">
        <v>3</v>
      </c>
      <c r="O52" s="80">
        <v>0</v>
      </c>
      <c r="P52" s="81">
        <v>0</v>
      </c>
      <c r="Q52" s="81">
        <v>0</v>
      </c>
      <c r="R52" s="82">
        <v>0</v>
      </c>
      <c r="S52" s="80">
        <v>0</v>
      </c>
      <c r="T52" s="81">
        <v>0</v>
      </c>
      <c r="U52" s="81">
        <v>0</v>
      </c>
      <c r="V52" s="82">
        <v>0</v>
      </c>
      <c r="W52" s="334">
        <f t="shared" ref="W52" si="4">SUM(C52:V52)+COUNTIF(C52:V52,5)/100+COUNTIF(C52:V52,3)/10000</f>
        <v>17.020199999999999</v>
      </c>
      <c r="X52" s="428" t="s">
        <v>606</v>
      </c>
      <c r="Y52" s="376">
        <f>W52+IFERROR(INDEX(W$9:W$14,MATCH(B52,B$9:B$14,0)),0)</f>
        <v>24.020399999999999</v>
      </c>
      <c r="Z52" s="87" t="e">
        <f>IF(COUNTA(C52:V52)=0,100,W52+IF(RANK(W52,#REF!)=1,100,0))</f>
        <v>#REF!</v>
      </c>
      <c r="AA52" s="85">
        <f>MIN(W52:W52)</f>
        <v>17.020199999999999</v>
      </c>
      <c r="AB52" s="85">
        <f>MAX(W52:W52)</f>
        <v>17.020199999999999</v>
      </c>
    </row>
    <row r="53" spans="1:28" ht="13.5" hidden="1" thickBot="1" x14ac:dyDescent="0.25">
      <c r="A53" s="294"/>
      <c r="B53" s="295" t="s">
        <v>568</v>
      </c>
      <c r="C53" s="80"/>
      <c r="D53" s="81"/>
      <c r="E53" s="81"/>
      <c r="F53" s="82"/>
      <c r="G53" s="80"/>
      <c r="H53" s="81"/>
      <c r="I53" s="81"/>
      <c r="J53" s="82"/>
      <c r="K53" s="80"/>
      <c r="L53" s="81"/>
      <c r="M53" s="81"/>
      <c r="N53" s="82"/>
      <c r="O53" s="80"/>
      <c r="P53" s="81"/>
      <c r="Q53" s="81"/>
      <c r="R53" s="82"/>
      <c r="S53" s="80"/>
      <c r="T53" s="81"/>
      <c r="U53" s="81"/>
      <c r="V53" s="82"/>
      <c r="W53" s="400"/>
      <c r="X53" s="167"/>
      <c r="Z53" s="84"/>
      <c r="AA53" s="85" t="s">
        <v>212</v>
      </c>
      <c r="AB53" s="85" t="s">
        <v>213</v>
      </c>
    </row>
    <row r="54" spans="1:28" ht="13.5" hidden="1" thickBot="1" x14ac:dyDescent="0.25">
      <c r="A54" s="296"/>
      <c r="B54" s="297"/>
      <c r="C54" s="298"/>
      <c r="D54" s="299"/>
      <c r="E54" s="300"/>
      <c r="F54" s="301"/>
      <c r="G54" s="298"/>
      <c r="H54" s="299"/>
      <c r="I54" s="300"/>
      <c r="J54" s="301"/>
      <c r="K54" s="298"/>
      <c r="L54" s="299"/>
      <c r="M54" s="300"/>
      <c r="N54" s="301"/>
      <c r="O54" s="298"/>
      <c r="P54" s="299"/>
      <c r="Q54" s="300"/>
      <c r="R54" s="301"/>
      <c r="S54" s="298"/>
      <c r="T54" s="299"/>
      <c r="U54" s="300"/>
      <c r="V54" s="301"/>
      <c r="W54" s="334" t="str">
        <f t="shared" ref="W54:W73" si="5">IF(COUNTA(C54:V54)=0,"",SUM(C54:V54)+COUNTIF(C54:V54,5)/100+COUNTIF(C54:V54,3)/10000)</f>
        <v/>
      </c>
      <c r="X54" s="302"/>
    </row>
    <row r="55" spans="1:28" ht="13.5" hidden="1" thickBot="1" x14ac:dyDescent="0.25">
      <c r="A55" s="296"/>
      <c r="B55" s="297"/>
      <c r="C55" s="298"/>
      <c r="D55" s="299"/>
      <c r="E55" s="300"/>
      <c r="F55" s="301"/>
      <c r="G55" s="298"/>
      <c r="H55" s="299"/>
      <c r="I55" s="300"/>
      <c r="J55" s="301"/>
      <c r="K55" s="298"/>
      <c r="L55" s="299"/>
      <c r="M55" s="300"/>
      <c r="N55" s="301"/>
      <c r="O55" s="298"/>
      <c r="P55" s="299"/>
      <c r="Q55" s="300"/>
      <c r="R55" s="301"/>
      <c r="S55" s="298"/>
      <c r="T55" s="299"/>
      <c r="U55" s="300"/>
      <c r="V55" s="301"/>
      <c r="W55" s="334" t="str">
        <f t="shared" si="5"/>
        <v/>
      </c>
      <c r="X55" s="302"/>
    </row>
    <row r="56" spans="1:28" ht="13.5" hidden="1" thickBot="1" x14ac:dyDescent="0.25">
      <c r="A56" s="296"/>
      <c r="B56" s="303"/>
      <c r="C56" s="298"/>
      <c r="D56" s="299"/>
      <c r="E56" s="300"/>
      <c r="F56" s="301"/>
      <c r="G56" s="298"/>
      <c r="H56" s="299"/>
      <c r="I56" s="300"/>
      <c r="J56" s="301"/>
      <c r="K56" s="298"/>
      <c r="L56" s="299"/>
      <c r="M56" s="300"/>
      <c r="N56" s="301"/>
      <c r="O56" s="298"/>
      <c r="P56" s="299"/>
      <c r="Q56" s="300"/>
      <c r="R56" s="301"/>
      <c r="S56" s="298"/>
      <c r="T56" s="299"/>
      <c r="U56" s="300"/>
      <c r="V56" s="301"/>
      <c r="W56" s="334" t="str">
        <f t="shared" si="5"/>
        <v/>
      </c>
      <c r="X56" s="302"/>
    </row>
    <row r="57" spans="1:28" ht="13.5" hidden="1" thickBot="1" x14ac:dyDescent="0.25">
      <c r="A57" s="296"/>
      <c r="B57" s="297"/>
      <c r="C57" s="298"/>
      <c r="D57" s="299"/>
      <c r="E57" s="300"/>
      <c r="F57" s="301"/>
      <c r="G57" s="298"/>
      <c r="H57" s="299"/>
      <c r="I57" s="300"/>
      <c r="J57" s="301"/>
      <c r="K57" s="298"/>
      <c r="L57" s="299"/>
      <c r="M57" s="300"/>
      <c r="N57" s="301"/>
      <c r="O57" s="298"/>
      <c r="P57" s="299"/>
      <c r="Q57" s="300"/>
      <c r="R57" s="301"/>
      <c r="S57" s="298"/>
      <c r="T57" s="299"/>
      <c r="U57" s="300"/>
      <c r="V57" s="301"/>
      <c r="W57" s="334" t="str">
        <f t="shared" si="5"/>
        <v/>
      </c>
      <c r="X57" s="302"/>
    </row>
    <row r="58" spans="1:28" ht="13.5" hidden="1" thickBot="1" x14ac:dyDescent="0.25">
      <c r="A58" s="105"/>
      <c r="B58" s="304"/>
      <c r="C58" s="102"/>
      <c r="D58" s="99"/>
      <c r="E58" s="103"/>
      <c r="F58" s="104"/>
      <c r="G58" s="102"/>
      <c r="H58" s="99"/>
      <c r="I58" s="103"/>
      <c r="J58" s="104"/>
      <c r="K58" s="102"/>
      <c r="L58" s="99"/>
      <c r="M58" s="103"/>
      <c r="N58" s="104"/>
      <c r="O58" s="102"/>
      <c r="P58" s="99"/>
      <c r="Q58" s="103"/>
      <c r="R58" s="104"/>
      <c r="S58" s="102"/>
      <c r="T58" s="99"/>
      <c r="U58" s="103"/>
      <c r="V58" s="104"/>
      <c r="W58" s="334" t="str">
        <f t="shared" si="5"/>
        <v/>
      </c>
      <c r="X58" s="86"/>
    </row>
    <row r="59" spans="1:28" ht="13.5" hidden="1" thickBot="1" x14ac:dyDescent="0.25">
      <c r="A59" s="105"/>
      <c r="B59" s="175"/>
      <c r="C59" s="102"/>
      <c r="D59" s="99"/>
      <c r="E59" s="103"/>
      <c r="F59" s="104"/>
      <c r="G59" s="102"/>
      <c r="H59" s="99"/>
      <c r="I59" s="103"/>
      <c r="J59" s="104"/>
      <c r="K59" s="102"/>
      <c r="L59" s="99"/>
      <c r="M59" s="103"/>
      <c r="N59" s="104"/>
      <c r="O59" s="102"/>
      <c r="P59" s="99"/>
      <c r="Q59" s="103"/>
      <c r="R59" s="104"/>
      <c r="S59" s="102"/>
      <c r="T59" s="99"/>
      <c r="U59" s="103"/>
      <c r="V59" s="104"/>
      <c r="W59" s="334" t="str">
        <f t="shared" si="5"/>
        <v/>
      </c>
      <c r="X59" s="86"/>
    </row>
    <row r="60" spans="1:28" ht="13.5" hidden="1" thickBot="1" x14ac:dyDescent="0.25">
      <c r="A60" s="305"/>
      <c r="B60" s="124"/>
      <c r="C60" s="102"/>
      <c r="D60" s="99"/>
      <c r="E60" s="103"/>
      <c r="F60" s="104"/>
      <c r="G60" s="102"/>
      <c r="H60" s="99"/>
      <c r="I60" s="103"/>
      <c r="J60" s="104"/>
      <c r="K60" s="102"/>
      <c r="L60" s="99"/>
      <c r="M60" s="103"/>
      <c r="N60" s="104"/>
      <c r="O60" s="102"/>
      <c r="P60" s="99"/>
      <c r="Q60" s="103"/>
      <c r="R60" s="104"/>
      <c r="S60" s="102"/>
      <c r="T60" s="99"/>
      <c r="U60" s="103"/>
      <c r="V60" s="104"/>
      <c r="W60" s="334" t="str">
        <f t="shared" si="5"/>
        <v/>
      </c>
      <c r="X60" s="86"/>
    </row>
    <row r="61" spans="1:28" ht="13.5" hidden="1" thickBot="1" x14ac:dyDescent="0.25">
      <c r="A61" s="305"/>
      <c r="B61" s="124"/>
      <c r="C61" s="102"/>
      <c r="D61" s="99"/>
      <c r="E61" s="103"/>
      <c r="F61" s="104"/>
      <c r="G61" s="102"/>
      <c r="H61" s="99"/>
      <c r="I61" s="103"/>
      <c r="J61" s="104"/>
      <c r="K61" s="102"/>
      <c r="L61" s="99"/>
      <c r="M61" s="103"/>
      <c r="N61" s="104"/>
      <c r="O61" s="102"/>
      <c r="P61" s="99"/>
      <c r="Q61" s="103"/>
      <c r="R61" s="104"/>
      <c r="S61" s="102"/>
      <c r="T61" s="99"/>
      <c r="U61" s="103"/>
      <c r="V61" s="104"/>
      <c r="W61" s="334" t="str">
        <f t="shared" si="5"/>
        <v/>
      </c>
      <c r="X61" s="86"/>
    </row>
    <row r="62" spans="1:28" ht="13.5" hidden="1" thickBot="1" x14ac:dyDescent="0.25">
      <c r="A62" s="296"/>
      <c r="B62" s="297"/>
      <c r="C62" s="298"/>
      <c r="D62" s="299"/>
      <c r="E62" s="300"/>
      <c r="F62" s="301"/>
      <c r="G62" s="298"/>
      <c r="H62" s="299"/>
      <c r="I62" s="300"/>
      <c r="J62" s="301"/>
      <c r="K62" s="298"/>
      <c r="L62" s="299"/>
      <c r="M62" s="300"/>
      <c r="N62" s="301"/>
      <c r="O62" s="298"/>
      <c r="P62" s="299"/>
      <c r="Q62" s="300"/>
      <c r="R62" s="301"/>
      <c r="S62" s="298"/>
      <c r="T62" s="299"/>
      <c r="U62" s="300"/>
      <c r="V62" s="301"/>
      <c r="W62" s="334" t="str">
        <f t="shared" si="5"/>
        <v/>
      </c>
      <c r="X62" s="302"/>
    </row>
    <row r="63" spans="1:28" ht="13.5" hidden="1" thickBot="1" x14ac:dyDescent="0.25">
      <c r="A63" s="296"/>
      <c r="B63" s="297"/>
      <c r="C63" s="298"/>
      <c r="D63" s="299"/>
      <c r="E63" s="300"/>
      <c r="F63" s="301"/>
      <c r="G63" s="298"/>
      <c r="H63" s="299"/>
      <c r="I63" s="300"/>
      <c r="J63" s="301"/>
      <c r="K63" s="298"/>
      <c r="L63" s="299"/>
      <c r="M63" s="300"/>
      <c r="N63" s="301"/>
      <c r="O63" s="298"/>
      <c r="P63" s="299"/>
      <c r="Q63" s="300"/>
      <c r="R63" s="301"/>
      <c r="S63" s="298"/>
      <c r="T63" s="299"/>
      <c r="U63" s="300"/>
      <c r="V63" s="301"/>
      <c r="W63" s="334" t="str">
        <f t="shared" si="5"/>
        <v/>
      </c>
      <c r="X63" s="302"/>
    </row>
    <row r="64" spans="1:28" ht="13.5" hidden="1" thickBot="1" x14ac:dyDescent="0.25">
      <c r="A64" s="296"/>
      <c r="B64" s="303"/>
      <c r="C64" s="298"/>
      <c r="D64" s="299"/>
      <c r="E64" s="300"/>
      <c r="F64" s="301"/>
      <c r="G64" s="298"/>
      <c r="H64" s="299"/>
      <c r="I64" s="300"/>
      <c r="J64" s="301"/>
      <c r="K64" s="298"/>
      <c r="L64" s="299"/>
      <c r="M64" s="300"/>
      <c r="N64" s="301"/>
      <c r="O64" s="298"/>
      <c r="P64" s="299"/>
      <c r="Q64" s="300"/>
      <c r="R64" s="301"/>
      <c r="S64" s="298"/>
      <c r="T64" s="299"/>
      <c r="U64" s="300"/>
      <c r="V64" s="301"/>
      <c r="W64" s="334" t="str">
        <f t="shared" si="5"/>
        <v/>
      </c>
      <c r="X64" s="302"/>
    </row>
    <row r="65" spans="1:24" ht="13.5" hidden="1" thickBot="1" x14ac:dyDescent="0.25">
      <c r="A65" s="296"/>
      <c r="B65" s="297"/>
      <c r="C65" s="298"/>
      <c r="D65" s="299"/>
      <c r="E65" s="300"/>
      <c r="F65" s="301"/>
      <c r="G65" s="298"/>
      <c r="H65" s="299"/>
      <c r="I65" s="300"/>
      <c r="J65" s="301"/>
      <c r="K65" s="298"/>
      <c r="L65" s="299"/>
      <c r="M65" s="300"/>
      <c r="N65" s="301"/>
      <c r="O65" s="298"/>
      <c r="P65" s="299"/>
      <c r="Q65" s="300"/>
      <c r="R65" s="301"/>
      <c r="S65" s="298"/>
      <c r="T65" s="299"/>
      <c r="U65" s="300"/>
      <c r="V65" s="301"/>
      <c r="W65" s="334" t="str">
        <f t="shared" si="5"/>
        <v/>
      </c>
      <c r="X65" s="302"/>
    </row>
    <row r="66" spans="1:24" ht="13.5" hidden="1" thickBot="1" x14ac:dyDescent="0.25">
      <c r="A66" s="105"/>
      <c r="B66" s="304"/>
      <c r="C66" s="102"/>
      <c r="D66" s="99"/>
      <c r="E66" s="103"/>
      <c r="F66" s="104"/>
      <c r="G66" s="102"/>
      <c r="H66" s="99"/>
      <c r="I66" s="103"/>
      <c r="J66" s="104"/>
      <c r="K66" s="102"/>
      <c r="L66" s="99"/>
      <c r="M66" s="103"/>
      <c r="N66" s="104"/>
      <c r="O66" s="102"/>
      <c r="P66" s="99"/>
      <c r="Q66" s="103"/>
      <c r="R66" s="104"/>
      <c r="S66" s="102"/>
      <c r="T66" s="99"/>
      <c r="U66" s="103"/>
      <c r="V66" s="104"/>
      <c r="W66" s="334" t="str">
        <f t="shared" si="5"/>
        <v/>
      </c>
      <c r="X66" s="86"/>
    </row>
    <row r="67" spans="1:24" ht="13.5" hidden="1" thickBot="1" x14ac:dyDescent="0.25">
      <c r="A67" s="105"/>
      <c r="B67" s="175"/>
      <c r="C67" s="102"/>
      <c r="D67" s="99"/>
      <c r="E67" s="103"/>
      <c r="F67" s="104"/>
      <c r="G67" s="102"/>
      <c r="H67" s="99"/>
      <c r="I67" s="103"/>
      <c r="J67" s="104"/>
      <c r="K67" s="102"/>
      <c r="L67" s="99"/>
      <c r="M67" s="103"/>
      <c r="N67" s="104"/>
      <c r="O67" s="102"/>
      <c r="P67" s="99"/>
      <c r="Q67" s="103"/>
      <c r="R67" s="104"/>
      <c r="S67" s="102"/>
      <c r="T67" s="99"/>
      <c r="U67" s="103"/>
      <c r="V67" s="104"/>
      <c r="W67" s="334" t="str">
        <f t="shared" si="5"/>
        <v/>
      </c>
      <c r="X67" s="86"/>
    </row>
    <row r="68" spans="1:24" ht="13.5" hidden="1" thickBot="1" x14ac:dyDescent="0.25">
      <c r="A68" s="305"/>
      <c r="B68" s="124"/>
      <c r="C68" s="102"/>
      <c r="D68" s="99"/>
      <c r="E68" s="103"/>
      <c r="F68" s="104"/>
      <c r="G68" s="102"/>
      <c r="H68" s="99"/>
      <c r="I68" s="103"/>
      <c r="J68" s="104"/>
      <c r="K68" s="102"/>
      <c r="L68" s="99"/>
      <c r="M68" s="103"/>
      <c r="N68" s="104"/>
      <c r="O68" s="102"/>
      <c r="P68" s="99"/>
      <c r="Q68" s="103"/>
      <c r="R68" s="104"/>
      <c r="S68" s="102"/>
      <c r="T68" s="99"/>
      <c r="U68" s="103"/>
      <c r="V68" s="104"/>
      <c r="W68" s="334" t="str">
        <f t="shared" si="5"/>
        <v/>
      </c>
      <c r="X68" s="86"/>
    </row>
    <row r="69" spans="1:24" ht="13.5" hidden="1" thickBot="1" x14ac:dyDescent="0.25">
      <c r="A69" s="305"/>
      <c r="B69" s="124"/>
      <c r="C69" s="102"/>
      <c r="D69" s="99"/>
      <c r="E69" s="103"/>
      <c r="F69" s="104"/>
      <c r="G69" s="102"/>
      <c r="H69" s="99"/>
      <c r="I69" s="103"/>
      <c r="J69" s="104"/>
      <c r="K69" s="102"/>
      <c r="L69" s="99"/>
      <c r="M69" s="103"/>
      <c r="N69" s="104"/>
      <c r="O69" s="102"/>
      <c r="P69" s="99"/>
      <c r="Q69" s="103"/>
      <c r="R69" s="104"/>
      <c r="S69" s="102"/>
      <c r="T69" s="99"/>
      <c r="U69" s="103"/>
      <c r="V69" s="104"/>
      <c r="W69" s="334" t="str">
        <f t="shared" si="5"/>
        <v/>
      </c>
      <c r="X69" s="86"/>
    </row>
    <row r="70" spans="1:24" ht="13.5" hidden="1" thickBot="1" x14ac:dyDescent="0.25">
      <c r="A70" s="296"/>
      <c r="B70" s="303"/>
      <c r="C70" s="298"/>
      <c r="D70" s="299"/>
      <c r="E70" s="300"/>
      <c r="F70" s="301"/>
      <c r="G70" s="298"/>
      <c r="H70" s="299"/>
      <c r="I70" s="300"/>
      <c r="J70" s="301"/>
      <c r="K70" s="298"/>
      <c r="L70" s="299"/>
      <c r="M70" s="300"/>
      <c r="N70" s="301"/>
      <c r="O70" s="298"/>
      <c r="P70" s="299"/>
      <c r="Q70" s="300"/>
      <c r="R70" s="301"/>
      <c r="S70" s="298"/>
      <c r="T70" s="299"/>
      <c r="U70" s="300"/>
      <c r="V70" s="301"/>
      <c r="W70" s="334" t="str">
        <f t="shared" si="5"/>
        <v/>
      </c>
      <c r="X70" s="302"/>
    </row>
    <row r="71" spans="1:24" ht="13.5" hidden="1" thickBot="1" x14ac:dyDescent="0.25">
      <c r="A71" s="296"/>
      <c r="B71" s="303"/>
      <c r="C71" s="298"/>
      <c r="D71" s="299"/>
      <c r="E71" s="300"/>
      <c r="F71" s="301"/>
      <c r="G71" s="298"/>
      <c r="H71" s="299"/>
      <c r="I71" s="300"/>
      <c r="J71" s="301"/>
      <c r="K71" s="298"/>
      <c r="L71" s="299"/>
      <c r="M71" s="300"/>
      <c r="N71" s="301"/>
      <c r="O71" s="298"/>
      <c r="P71" s="299"/>
      <c r="Q71" s="300"/>
      <c r="R71" s="301"/>
      <c r="S71" s="298"/>
      <c r="T71" s="299"/>
      <c r="U71" s="300"/>
      <c r="V71" s="301"/>
      <c r="W71" s="334" t="str">
        <f t="shared" si="5"/>
        <v/>
      </c>
      <c r="X71" s="302"/>
    </row>
    <row r="72" spans="1:24" ht="13.5" hidden="1" thickBot="1" x14ac:dyDescent="0.25">
      <c r="A72" s="296"/>
      <c r="B72" s="297"/>
      <c r="C72" s="298"/>
      <c r="D72" s="299"/>
      <c r="E72" s="300"/>
      <c r="F72" s="301"/>
      <c r="G72" s="298"/>
      <c r="H72" s="299"/>
      <c r="I72" s="300"/>
      <c r="J72" s="301"/>
      <c r="K72" s="298"/>
      <c r="L72" s="299"/>
      <c r="M72" s="300"/>
      <c r="N72" s="301"/>
      <c r="O72" s="298"/>
      <c r="P72" s="299"/>
      <c r="Q72" s="300"/>
      <c r="R72" s="301"/>
      <c r="S72" s="298"/>
      <c r="T72" s="299"/>
      <c r="U72" s="300"/>
      <c r="V72" s="301"/>
      <c r="W72" s="334" t="str">
        <f t="shared" si="5"/>
        <v/>
      </c>
      <c r="X72" s="302"/>
    </row>
    <row r="73" spans="1:24" ht="13.5" hidden="1" thickBot="1" x14ac:dyDescent="0.25">
      <c r="A73" s="296"/>
      <c r="B73" s="306"/>
      <c r="C73" s="298"/>
      <c r="D73" s="299"/>
      <c r="E73" s="300"/>
      <c r="F73" s="301"/>
      <c r="G73" s="298"/>
      <c r="H73" s="299"/>
      <c r="I73" s="300"/>
      <c r="J73" s="301"/>
      <c r="K73" s="298"/>
      <c r="L73" s="299"/>
      <c r="M73" s="300"/>
      <c r="N73" s="301"/>
      <c r="O73" s="298"/>
      <c r="P73" s="299"/>
      <c r="Q73" s="300"/>
      <c r="R73" s="301"/>
      <c r="S73" s="298"/>
      <c r="T73" s="299"/>
      <c r="U73" s="300"/>
      <c r="V73" s="301"/>
      <c r="W73" s="334" t="str">
        <f t="shared" si="5"/>
        <v/>
      </c>
      <c r="X73" s="302"/>
    </row>
    <row r="74" spans="1:24" ht="13.5" hidden="1" thickBot="1" x14ac:dyDescent="0.25">
      <c r="A74" s="105"/>
      <c r="B74" s="304"/>
      <c r="C74" s="102"/>
      <c r="D74" s="99"/>
      <c r="E74" s="103"/>
      <c r="F74" s="104"/>
      <c r="G74" s="102"/>
      <c r="H74" s="99"/>
      <c r="I74" s="103"/>
      <c r="J74" s="104"/>
      <c r="K74" s="102"/>
      <c r="L74" s="99"/>
      <c r="M74" s="103"/>
      <c r="N74" s="104"/>
      <c r="O74" s="102"/>
      <c r="P74" s="99"/>
      <c r="Q74" s="103"/>
      <c r="R74" s="104"/>
      <c r="S74" s="102"/>
      <c r="T74" s="99"/>
      <c r="U74" s="103"/>
      <c r="V74" s="104"/>
      <c r="W74" s="334" t="str">
        <f t="shared" ref="W74:W77" si="6">IF(COUNTA(C74:V74)=0,"",SUM(C74:V74)+COUNTIF(C74:V74,5)/100+COUNTIF(C74:V74,3)/10000)</f>
        <v/>
      </c>
      <c r="X74" s="86"/>
    </row>
    <row r="75" spans="1:24" ht="13.5" hidden="1" thickBot="1" x14ac:dyDescent="0.25">
      <c r="A75" s="105"/>
      <c r="B75" s="175"/>
      <c r="C75" s="102"/>
      <c r="D75" s="99"/>
      <c r="E75" s="103"/>
      <c r="F75" s="104"/>
      <c r="G75" s="102"/>
      <c r="H75" s="99"/>
      <c r="I75" s="103"/>
      <c r="J75" s="104"/>
      <c r="K75" s="102"/>
      <c r="L75" s="99"/>
      <c r="M75" s="103"/>
      <c r="N75" s="104"/>
      <c r="O75" s="102"/>
      <c r="P75" s="99"/>
      <c r="Q75" s="103"/>
      <c r="R75" s="104"/>
      <c r="S75" s="102"/>
      <c r="T75" s="99"/>
      <c r="U75" s="103"/>
      <c r="V75" s="104"/>
      <c r="W75" s="334" t="str">
        <f t="shared" si="6"/>
        <v/>
      </c>
      <c r="X75" s="86"/>
    </row>
    <row r="76" spans="1:24" ht="13.5" hidden="1" thickBot="1" x14ac:dyDescent="0.25">
      <c r="A76" s="305"/>
      <c r="B76" s="124"/>
      <c r="C76" s="102"/>
      <c r="D76" s="99"/>
      <c r="E76" s="103"/>
      <c r="F76" s="104"/>
      <c r="G76" s="102"/>
      <c r="H76" s="99"/>
      <c r="I76" s="103"/>
      <c r="J76" s="104"/>
      <c r="K76" s="102"/>
      <c r="L76" s="99"/>
      <c r="M76" s="103"/>
      <c r="N76" s="104"/>
      <c r="O76" s="102"/>
      <c r="P76" s="99"/>
      <c r="Q76" s="103"/>
      <c r="R76" s="104"/>
      <c r="S76" s="102"/>
      <c r="T76" s="99"/>
      <c r="U76" s="103"/>
      <c r="V76" s="104"/>
      <c r="W76" s="334" t="str">
        <f t="shared" si="6"/>
        <v/>
      </c>
      <c r="X76" s="86"/>
    </row>
    <row r="77" spans="1:24" ht="13.5" hidden="1" thickBot="1" x14ac:dyDescent="0.25">
      <c r="A77" s="307"/>
      <c r="B77" s="308"/>
      <c r="C77" s="309"/>
      <c r="D77" s="118"/>
      <c r="E77" s="310"/>
      <c r="F77" s="311"/>
      <c r="G77" s="309"/>
      <c r="H77" s="118"/>
      <c r="I77" s="310"/>
      <c r="J77" s="311"/>
      <c r="K77" s="309"/>
      <c r="L77" s="118"/>
      <c r="M77" s="310"/>
      <c r="N77" s="311"/>
      <c r="O77" s="309"/>
      <c r="P77" s="118"/>
      <c r="Q77" s="310"/>
      <c r="R77" s="311"/>
      <c r="S77" s="309"/>
      <c r="T77" s="118"/>
      <c r="U77" s="310"/>
      <c r="V77" s="311"/>
      <c r="W77" s="341" t="str">
        <f t="shared" si="6"/>
        <v/>
      </c>
      <c r="X77" s="95"/>
    </row>
    <row r="78" spans="1:24" x14ac:dyDescent="0.2">
      <c r="A78" s="294"/>
      <c r="B78" s="163" t="s">
        <v>214</v>
      </c>
      <c r="C78" s="164"/>
      <c r="D78" s="165"/>
      <c r="E78" s="165"/>
      <c r="F78" s="166"/>
      <c r="G78" s="164"/>
      <c r="H78" s="165"/>
      <c r="I78" s="165"/>
      <c r="J78" s="166"/>
      <c r="K78" s="164"/>
      <c r="L78" s="165"/>
      <c r="M78" s="165"/>
      <c r="N78" s="166"/>
      <c r="O78" s="164"/>
      <c r="P78" s="165"/>
      <c r="Q78" s="165"/>
      <c r="R78" s="166"/>
      <c r="S78" s="164"/>
      <c r="T78" s="165"/>
      <c r="U78" s="165"/>
      <c r="V78" s="166"/>
      <c r="W78" s="412" t="str">
        <f t="shared" si="1"/>
        <v/>
      </c>
      <c r="X78" s="167"/>
    </row>
    <row r="79" spans="1:24" x14ac:dyDescent="0.2">
      <c r="A79" s="306">
        <v>1</v>
      </c>
      <c r="B79" s="380" t="s">
        <v>41</v>
      </c>
      <c r="C79" s="331">
        <v>3</v>
      </c>
      <c r="D79" s="332">
        <v>3</v>
      </c>
      <c r="E79" s="332">
        <v>0</v>
      </c>
      <c r="F79" s="333">
        <v>3</v>
      </c>
      <c r="G79" s="331">
        <v>0</v>
      </c>
      <c r="H79" s="332">
        <v>1</v>
      </c>
      <c r="I79" s="332">
        <v>5</v>
      </c>
      <c r="J79" s="333">
        <v>3</v>
      </c>
      <c r="K79" s="331">
        <v>0</v>
      </c>
      <c r="L79" s="332">
        <v>5</v>
      </c>
      <c r="M79" s="332">
        <v>0</v>
      </c>
      <c r="N79" s="333">
        <v>3</v>
      </c>
      <c r="O79" s="331">
        <v>0</v>
      </c>
      <c r="P79" s="332">
        <v>0</v>
      </c>
      <c r="Q79" s="332">
        <v>0</v>
      </c>
      <c r="R79" s="333">
        <v>0</v>
      </c>
      <c r="S79" s="331">
        <v>0</v>
      </c>
      <c r="T79" s="332">
        <v>0</v>
      </c>
      <c r="U79" s="332">
        <v>0</v>
      </c>
      <c r="V79" s="333">
        <v>0</v>
      </c>
      <c r="W79" s="334">
        <f t="shared" si="1"/>
        <v>26.020499999999998</v>
      </c>
      <c r="X79" s="335" t="str">
        <f>IF(COUNTA(C79:V79)=0,"",IF(W79=W80,"ümbervisk",IF(W79&gt;W80,"finaali "&amp;(IF(W79&lt;MAX(W81:W82),2,IF(W79=MAX(W81:W82),"",1))),"pronksi "&amp;(IF(W79&lt;MIN(W81:W82),2,IF(W79=MIN(W81:W82),"",1))))))</f>
        <v>finaali 1</v>
      </c>
    </row>
    <row r="80" spans="1:24" x14ac:dyDescent="0.2">
      <c r="A80" s="306">
        <v>4</v>
      </c>
      <c r="B80" s="336" t="s">
        <v>535</v>
      </c>
      <c r="C80" s="331">
        <v>1</v>
      </c>
      <c r="D80" s="332">
        <v>3</v>
      </c>
      <c r="E80" s="332">
        <v>0</v>
      </c>
      <c r="F80" s="333">
        <v>0</v>
      </c>
      <c r="G80" s="331">
        <v>1</v>
      </c>
      <c r="H80" s="332">
        <v>0</v>
      </c>
      <c r="I80" s="332">
        <v>0</v>
      </c>
      <c r="J80" s="333">
        <v>0</v>
      </c>
      <c r="K80" s="331">
        <v>0</v>
      </c>
      <c r="L80" s="332">
        <v>0</v>
      </c>
      <c r="M80" s="332">
        <v>0</v>
      </c>
      <c r="N80" s="333">
        <v>0</v>
      </c>
      <c r="O80" s="331">
        <v>0</v>
      </c>
      <c r="P80" s="332">
        <v>0</v>
      </c>
      <c r="Q80" s="332">
        <v>0</v>
      </c>
      <c r="R80" s="333">
        <v>0</v>
      </c>
      <c r="S80" s="331">
        <v>0</v>
      </c>
      <c r="T80" s="332">
        <v>0</v>
      </c>
      <c r="U80" s="332">
        <v>3</v>
      </c>
      <c r="V80" s="333">
        <v>0</v>
      </c>
      <c r="W80" s="334">
        <f t="shared" si="1"/>
        <v>8.0001999999999995</v>
      </c>
      <c r="X80" s="335" t="str">
        <f>IF(COUNTA(C80:V80)=0,"",IF(W79=W80,"ümbervisk",IF(W80&gt;W79,"finaali "&amp;(IF(W80&lt;MAX(W81:W82),2,IF(W80=MAX(W81:W82),"",1))),"pronksi "&amp;(IF(W80&lt;MIN(W81:W82),2,IF(W80=MIN(W81:W82),"",1))))))</f>
        <v>pronksi 2</v>
      </c>
    </row>
    <row r="81" spans="1:25" x14ac:dyDescent="0.2">
      <c r="A81" s="108">
        <v>2</v>
      </c>
      <c r="B81" s="339" t="s">
        <v>49</v>
      </c>
      <c r="C81" s="80">
        <v>0</v>
      </c>
      <c r="D81" s="81">
        <v>3</v>
      </c>
      <c r="E81" s="81">
        <v>1</v>
      </c>
      <c r="F81" s="82">
        <v>0</v>
      </c>
      <c r="G81" s="80">
        <v>0</v>
      </c>
      <c r="H81" s="81">
        <v>0</v>
      </c>
      <c r="I81" s="81">
        <v>0</v>
      </c>
      <c r="J81" s="82">
        <v>0</v>
      </c>
      <c r="K81" s="80">
        <v>0</v>
      </c>
      <c r="L81" s="81">
        <v>0</v>
      </c>
      <c r="M81" s="81">
        <v>0</v>
      </c>
      <c r="N81" s="82">
        <v>0</v>
      </c>
      <c r="O81" s="80">
        <v>0</v>
      </c>
      <c r="P81" s="81">
        <v>3</v>
      </c>
      <c r="Q81" s="81">
        <v>0</v>
      </c>
      <c r="R81" s="82">
        <v>0</v>
      </c>
      <c r="S81" s="80">
        <v>5</v>
      </c>
      <c r="T81" s="81">
        <v>0</v>
      </c>
      <c r="U81" s="81">
        <v>0</v>
      </c>
      <c r="V81" s="82">
        <v>0</v>
      </c>
      <c r="W81" s="334">
        <f t="shared" si="1"/>
        <v>12.010199999999999</v>
      </c>
      <c r="X81" s="83" t="str">
        <f>IF(COUNTA(C81:V81)=0,"",IF(W81=W82,"ümbervisk",IF(W81&gt;W82,"finaali "&amp;(IF(W81&lt;MAX(W79:W80),2,IF(W81=MAX(W79:W80),"",1))),"pronksi "&amp;(IF(W81&lt;MIN(W79:W80),2,IF(W81=MIN(W79:W80),"",1))))))</f>
        <v>finaali 2</v>
      </c>
    </row>
    <row r="82" spans="1:25" ht="13.5" thickBot="1" x14ac:dyDescent="0.25">
      <c r="A82" s="112">
        <v>3</v>
      </c>
      <c r="B82" s="388" t="s">
        <v>35</v>
      </c>
      <c r="C82" s="92">
        <v>0</v>
      </c>
      <c r="D82" s="93">
        <v>0</v>
      </c>
      <c r="E82" s="93">
        <v>0</v>
      </c>
      <c r="F82" s="94">
        <v>0</v>
      </c>
      <c r="G82" s="92">
        <v>0</v>
      </c>
      <c r="H82" s="93">
        <v>0</v>
      </c>
      <c r="I82" s="93">
        <v>0</v>
      </c>
      <c r="J82" s="94">
        <v>0</v>
      </c>
      <c r="K82" s="92">
        <v>3</v>
      </c>
      <c r="L82" s="93">
        <v>0</v>
      </c>
      <c r="M82" s="93">
        <v>0</v>
      </c>
      <c r="N82" s="94">
        <v>3</v>
      </c>
      <c r="O82" s="92">
        <v>0</v>
      </c>
      <c r="P82" s="93">
        <v>0</v>
      </c>
      <c r="Q82" s="93">
        <v>3</v>
      </c>
      <c r="R82" s="94">
        <v>0</v>
      </c>
      <c r="S82" s="92">
        <v>0</v>
      </c>
      <c r="T82" s="93">
        <v>0</v>
      </c>
      <c r="U82" s="93">
        <v>0</v>
      </c>
      <c r="V82" s="94">
        <v>0</v>
      </c>
      <c r="W82" s="341">
        <f t="shared" si="1"/>
        <v>9.0002999999999993</v>
      </c>
      <c r="X82" s="342" t="str">
        <f>IF(COUNTA(C82:V82)=0,"",IF(W81=W82,"ümbervisk",IF(W82&gt;W81,"finaali "&amp;(IF(W82&lt;MAX(W79:W80),2,IF(W82=MAX(W79:W80),"",1))),"pronksi "&amp;(IF(W82&lt;MIN(W79:W80),2,IF(W82=MIN(W79:W80),"",1))))))</f>
        <v>pronksi 1</v>
      </c>
    </row>
    <row r="83" spans="1:25" x14ac:dyDescent="0.2">
      <c r="A83" s="294"/>
      <c r="B83" s="347" t="s">
        <v>215</v>
      </c>
      <c r="C83" s="164"/>
      <c r="D83" s="165"/>
      <c r="E83" s="165"/>
      <c r="F83" s="166"/>
      <c r="G83" s="164"/>
      <c r="H83" s="165"/>
      <c r="I83" s="165"/>
      <c r="J83" s="166"/>
      <c r="K83" s="164"/>
      <c r="L83" s="165"/>
      <c r="M83" s="165"/>
      <c r="N83" s="166"/>
      <c r="O83" s="164"/>
      <c r="P83" s="165"/>
      <c r="Q83" s="165"/>
      <c r="R83" s="166"/>
      <c r="S83" s="164"/>
      <c r="T83" s="165"/>
      <c r="U83" s="165"/>
      <c r="V83" s="166"/>
      <c r="W83" s="412" t="str">
        <f t="shared" si="1"/>
        <v/>
      </c>
      <c r="X83" s="167"/>
    </row>
    <row r="84" spans="1:25" x14ac:dyDescent="0.2">
      <c r="A84" s="108"/>
      <c r="B84" s="121" t="s">
        <v>35</v>
      </c>
      <c r="C84" s="80">
        <v>0</v>
      </c>
      <c r="D84" s="81">
        <v>1</v>
      </c>
      <c r="E84" s="81">
        <v>0</v>
      </c>
      <c r="F84" s="82">
        <v>0</v>
      </c>
      <c r="G84" s="80">
        <v>0</v>
      </c>
      <c r="H84" s="81">
        <v>3</v>
      </c>
      <c r="I84" s="81">
        <v>0</v>
      </c>
      <c r="J84" s="82">
        <v>0</v>
      </c>
      <c r="K84" s="80">
        <v>3</v>
      </c>
      <c r="L84" s="81">
        <v>3</v>
      </c>
      <c r="M84" s="81">
        <v>0</v>
      </c>
      <c r="N84" s="82">
        <v>0</v>
      </c>
      <c r="O84" s="80">
        <v>0</v>
      </c>
      <c r="P84" s="81">
        <v>0</v>
      </c>
      <c r="Q84" s="81">
        <v>0</v>
      </c>
      <c r="R84" s="82">
        <v>0</v>
      </c>
      <c r="S84" s="80">
        <v>0</v>
      </c>
      <c r="T84" s="81">
        <v>3</v>
      </c>
      <c r="U84" s="81">
        <v>0</v>
      </c>
      <c r="V84" s="82">
        <v>0</v>
      </c>
      <c r="W84" s="334">
        <f t="shared" si="1"/>
        <v>13.000400000000001</v>
      </c>
      <c r="X84" s="91">
        <f ca="1">IF( INDIRECT("RC[-1]",0)=MAX(( INDIRECT("R[-1]C[-1]",0)):( INDIRECT("R[1]C[-1]",0))),3,4)</f>
        <v>3</v>
      </c>
    </row>
    <row r="85" spans="1:25" ht="13.5" thickBot="1" x14ac:dyDescent="0.25">
      <c r="A85" s="112"/>
      <c r="B85" s="348" t="s">
        <v>535</v>
      </c>
      <c r="C85" s="92">
        <v>1</v>
      </c>
      <c r="D85" s="93">
        <v>0</v>
      </c>
      <c r="E85" s="93">
        <v>0</v>
      </c>
      <c r="F85" s="94">
        <v>0</v>
      </c>
      <c r="G85" s="92">
        <v>1</v>
      </c>
      <c r="H85" s="93">
        <v>3</v>
      </c>
      <c r="I85" s="93">
        <v>0</v>
      </c>
      <c r="J85" s="410">
        <v>0</v>
      </c>
      <c r="K85" s="92">
        <v>0</v>
      </c>
      <c r="L85" s="93">
        <v>0</v>
      </c>
      <c r="M85" s="93">
        <v>0</v>
      </c>
      <c r="N85" s="94">
        <v>0</v>
      </c>
      <c r="O85" s="92">
        <v>0</v>
      </c>
      <c r="P85" s="93">
        <v>0</v>
      </c>
      <c r="Q85" s="93">
        <v>0</v>
      </c>
      <c r="R85" s="94">
        <v>0</v>
      </c>
      <c r="S85" s="92">
        <v>0</v>
      </c>
      <c r="T85" s="93">
        <v>0</v>
      </c>
      <c r="U85" s="93">
        <v>0</v>
      </c>
      <c r="V85" s="94">
        <v>0</v>
      </c>
      <c r="W85" s="341">
        <f t="shared" si="1"/>
        <v>5.0000999999999998</v>
      </c>
      <c r="X85" s="96">
        <f ca="1">IF( INDIRECT("RC[-1]",0)=MAX(( INDIRECT("R[-1]C[-1]",0)):( INDIRECT("R[1]C[-1]",0))),3,4)</f>
        <v>4</v>
      </c>
    </row>
    <row r="86" spans="1:25" x14ac:dyDescent="0.2">
      <c r="A86" s="294"/>
      <c r="B86" s="347" t="s">
        <v>216</v>
      </c>
      <c r="C86" s="164"/>
      <c r="D86" s="165"/>
      <c r="E86" s="165"/>
      <c r="F86" s="166"/>
      <c r="G86" s="164"/>
      <c r="H86" s="165"/>
      <c r="I86" s="165"/>
      <c r="J86" s="166"/>
      <c r="K86" s="164"/>
      <c r="L86" s="165"/>
      <c r="M86" s="165"/>
      <c r="N86" s="166"/>
      <c r="O86" s="164"/>
      <c r="P86" s="165"/>
      <c r="Q86" s="165"/>
      <c r="R86" s="166"/>
      <c r="S86" s="164"/>
      <c r="T86" s="165"/>
      <c r="U86" s="165"/>
      <c r="V86" s="166"/>
      <c r="W86" s="412" t="str">
        <f t="shared" si="1"/>
        <v/>
      </c>
      <c r="X86" s="167"/>
    </row>
    <row r="87" spans="1:25" x14ac:dyDescent="0.2">
      <c r="A87" s="108"/>
      <c r="B87" s="119" t="s">
        <v>49</v>
      </c>
      <c r="C87" s="80">
        <v>0</v>
      </c>
      <c r="D87" s="81">
        <v>0</v>
      </c>
      <c r="E87" s="81">
        <v>0</v>
      </c>
      <c r="F87" s="82">
        <v>0</v>
      </c>
      <c r="G87" s="80">
        <v>0</v>
      </c>
      <c r="H87" s="81">
        <v>3</v>
      </c>
      <c r="I87" s="81">
        <v>0</v>
      </c>
      <c r="J87" s="82">
        <v>0</v>
      </c>
      <c r="K87" s="80">
        <v>0</v>
      </c>
      <c r="L87" s="81">
        <v>0</v>
      </c>
      <c r="M87" s="81">
        <v>0</v>
      </c>
      <c r="N87" s="82">
        <v>0</v>
      </c>
      <c r="O87" s="80">
        <v>0</v>
      </c>
      <c r="P87" s="81">
        <v>0</v>
      </c>
      <c r="Q87" s="81">
        <v>0</v>
      </c>
      <c r="R87" s="82">
        <v>0</v>
      </c>
      <c r="S87" s="80">
        <v>0</v>
      </c>
      <c r="T87" s="81">
        <v>0</v>
      </c>
      <c r="U87" s="81">
        <v>0</v>
      </c>
      <c r="V87" s="82">
        <v>0</v>
      </c>
      <c r="W87" s="334">
        <f t="shared" si="1"/>
        <v>3.0001000000000002</v>
      </c>
      <c r="X87" s="91">
        <f ca="1">IF( INDIRECT("RC[-1]",0)=MAX(( INDIRECT("R[-1]C[-1]",0)):( INDIRECT("R[1]C[-1]",0))),1,2)</f>
        <v>2</v>
      </c>
    </row>
    <row r="88" spans="1:25" ht="13.5" thickBot="1" x14ac:dyDescent="0.25">
      <c r="A88" s="112"/>
      <c r="B88" s="120" t="s">
        <v>41</v>
      </c>
      <c r="C88" s="92">
        <v>3</v>
      </c>
      <c r="D88" s="93">
        <v>3</v>
      </c>
      <c r="E88" s="93">
        <v>0</v>
      </c>
      <c r="F88" s="94">
        <v>0</v>
      </c>
      <c r="G88" s="92">
        <v>0</v>
      </c>
      <c r="H88" s="93">
        <v>0</v>
      </c>
      <c r="I88" s="93">
        <v>0</v>
      </c>
      <c r="J88" s="94">
        <v>0</v>
      </c>
      <c r="K88" s="92">
        <v>3</v>
      </c>
      <c r="L88" s="93">
        <v>1</v>
      </c>
      <c r="M88" s="93">
        <v>0</v>
      </c>
      <c r="N88" s="94">
        <v>0</v>
      </c>
      <c r="O88" s="92">
        <v>3</v>
      </c>
      <c r="P88" s="93">
        <v>0</v>
      </c>
      <c r="Q88" s="93">
        <v>3</v>
      </c>
      <c r="R88" s="94">
        <v>0</v>
      </c>
      <c r="S88" s="92">
        <v>0</v>
      </c>
      <c r="T88" s="93">
        <v>0</v>
      </c>
      <c r="U88" s="93">
        <v>0</v>
      </c>
      <c r="V88" s="94">
        <v>0</v>
      </c>
      <c r="W88" s="341">
        <f t="shared" si="1"/>
        <v>16.000499999999999</v>
      </c>
      <c r="X88" s="96">
        <f ca="1">IF( INDIRECT("RC[-1]",0)=MAX(( INDIRECT("R[-1]C[-1]",0)):( INDIRECT("R[1]C[-1]",0))),1,2)</f>
        <v>1</v>
      </c>
    </row>
    <row r="89" spans="1:25" x14ac:dyDescent="0.2">
      <c r="A89" s="107"/>
      <c r="B89" s="107"/>
      <c r="C89" s="107"/>
      <c r="D89" s="107"/>
      <c r="E89" s="107"/>
      <c r="F89" s="107"/>
      <c r="G89" s="107"/>
      <c r="H89" s="107"/>
      <c r="I89" s="107"/>
      <c r="J89" s="107"/>
      <c r="K89" s="107"/>
      <c r="L89" s="107"/>
      <c r="M89" s="107"/>
      <c r="N89" s="107"/>
      <c r="O89" s="358"/>
      <c r="P89" s="107"/>
      <c r="Q89" s="107"/>
      <c r="R89" s="107"/>
      <c r="S89" s="107"/>
      <c r="T89" s="359"/>
      <c r="U89" s="107"/>
      <c r="V89" s="107"/>
      <c r="W89" s="107"/>
      <c r="X89" s="107"/>
      <c r="Y89" s="107"/>
    </row>
    <row r="90" spans="1:25" x14ac:dyDescent="0.2">
      <c r="A90" s="113">
        <v>1</v>
      </c>
      <c r="B90" s="127" t="str">
        <f t="shared" ref="B90:B95" ca="1" si="7">IF(IFERROR(INDEX($B$9:$B$88,MATCH($A90,$X$9:$X$88,0)),"")=0,"",IFERROR(INDEX($B$9:$B$88,MATCH($A90,$X$9:$X$88,0)),""))</f>
        <v>Kadri Arunurm</v>
      </c>
      <c r="C90" s="107"/>
      <c r="D90" s="107"/>
      <c r="E90" s="107"/>
      <c r="F90" s="107"/>
      <c r="G90" s="107"/>
      <c r="H90" s="107"/>
      <c r="I90" s="107"/>
      <c r="J90" s="107"/>
      <c r="K90" s="107"/>
      <c r="L90" s="107"/>
      <c r="M90" s="107"/>
      <c r="N90" s="107"/>
      <c r="O90" s="107"/>
      <c r="P90" s="107"/>
      <c r="Q90" s="107"/>
      <c r="R90" s="107"/>
      <c r="S90" s="107"/>
      <c r="T90" s="107"/>
      <c r="U90" s="107"/>
      <c r="V90" s="107"/>
      <c r="W90" s="107"/>
      <c r="X90" s="107"/>
    </row>
    <row r="91" spans="1:25" x14ac:dyDescent="0.2">
      <c r="A91" s="113">
        <v>2</v>
      </c>
      <c r="B91" s="114" t="str">
        <f t="shared" ca="1" si="7"/>
        <v>Merike Lusbo</v>
      </c>
      <c r="C91" s="107"/>
      <c r="D91" s="107"/>
      <c r="E91" s="107"/>
      <c r="F91" s="107"/>
      <c r="G91" s="107"/>
      <c r="H91" s="107"/>
      <c r="I91" s="107"/>
      <c r="J91" s="107"/>
      <c r="K91" s="107"/>
      <c r="L91" s="107"/>
      <c r="M91" s="107"/>
      <c r="N91" s="107"/>
      <c r="O91" s="107"/>
      <c r="P91" s="107"/>
      <c r="Q91" s="107"/>
      <c r="R91" s="107"/>
      <c r="S91" s="107"/>
      <c r="T91" s="107"/>
      <c r="U91" s="107"/>
      <c r="V91" s="107"/>
      <c r="W91" s="107"/>
      <c r="X91" s="107"/>
    </row>
    <row r="92" spans="1:25" x14ac:dyDescent="0.2">
      <c r="A92" s="113">
        <v>3</v>
      </c>
      <c r="B92" s="115" t="str">
        <f t="shared" ca="1" si="7"/>
        <v>Mare Kingissepp</v>
      </c>
      <c r="C92" s="107"/>
      <c r="D92" s="107"/>
      <c r="E92" s="107"/>
      <c r="F92" s="107"/>
      <c r="G92" s="107"/>
      <c r="H92" s="107"/>
      <c r="I92" s="107"/>
      <c r="J92" s="107"/>
      <c r="K92" s="107"/>
      <c r="L92" s="107"/>
      <c r="M92" s="107"/>
      <c r="N92" s="107"/>
      <c r="O92" s="107"/>
      <c r="P92" s="107"/>
      <c r="Q92" s="107"/>
      <c r="R92" s="107"/>
      <c r="S92" s="107"/>
      <c r="T92" s="107"/>
      <c r="U92" s="107"/>
      <c r="V92" s="107"/>
      <c r="W92" s="107"/>
      <c r="X92" s="107"/>
    </row>
    <row r="93" spans="1:25" x14ac:dyDescent="0.2">
      <c r="A93" s="113">
        <v>4</v>
      </c>
      <c r="B93" s="201" t="str">
        <f t="shared" ca="1" si="7"/>
        <v>Kertu Palm</v>
      </c>
      <c r="C93" s="107"/>
      <c r="D93" s="107"/>
      <c r="E93" s="107"/>
      <c r="F93" s="107"/>
      <c r="G93" s="107"/>
      <c r="H93" s="107"/>
      <c r="I93" s="107"/>
      <c r="J93" s="107"/>
      <c r="K93" s="107"/>
      <c r="L93" s="107"/>
      <c r="M93" s="107"/>
      <c r="N93" s="107"/>
      <c r="O93" s="107"/>
      <c r="P93" s="107"/>
      <c r="Q93" s="107"/>
      <c r="R93" s="107"/>
      <c r="S93" s="107"/>
      <c r="T93" s="107"/>
      <c r="U93" s="107"/>
      <c r="V93" s="107"/>
      <c r="W93" s="107"/>
      <c r="X93" s="107"/>
    </row>
    <row r="94" spans="1:25" x14ac:dyDescent="0.2">
      <c r="A94" s="113">
        <v>5</v>
      </c>
      <c r="B94" s="201" t="str">
        <f t="shared" si="7"/>
        <v>Marge Mägi</v>
      </c>
      <c r="C94" s="107"/>
      <c r="D94" s="107"/>
      <c r="E94" s="107"/>
      <c r="F94" s="107"/>
      <c r="G94" s="107"/>
      <c r="H94" s="107"/>
      <c r="I94" s="107"/>
      <c r="J94" s="107"/>
      <c r="K94" s="107"/>
      <c r="L94" s="107"/>
      <c r="M94" s="107"/>
      <c r="N94" s="107"/>
      <c r="O94" s="107"/>
      <c r="P94" s="107"/>
      <c r="Q94" s="107"/>
      <c r="R94" s="107"/>
      <c r="S94" s="107"/>
      <c r="T94" s="107"/>
      <c r="U94" s="107"/>
      <c r="V94" s="107"/>
      <c r="W94" s="107"/>
      <c r="X94" s="107"/>
    </row>
    <row r="95" spans="1:25" x14ac:dyDescent="0.2">
      <c r="A95" s="113">
        <v>6</v>
      </c>
      <c r="B95" s="201" t="str">
        <f t="shared" si="7"/>
        <v>Eve Tõnisson</v>
      </c>
      <c r="C95" s="107"/>
      <c r="D95" s="107"/>
      <c r="E95" s="107"/>
      <c r="F95" s="107"/>
      <c r="G95" s="107"/>
      <c r="H95" s="107"/>
      <c r="I95" s="107"/>
      <c r="J95" s="107"/>
      <c r="K95" s="107"/>
      <c r="L95" s="107"/>
      <c r="M95" s="107"/>
      <c r="N95" s="107"/>
      <c r="O95" s="107"/>
      <c r="P95" s="107"/>
      <c r="Q95" s="107"/>
      <c r="R95" s="107"/>
      <c r="S95" s="107"/>
      <c r="T95" s="107"/>
      <c r="U95" s="107"/>
      <c r="V95" s="107"/>
      <c r="W95" s="107"/>
      <c r="X95" s="107"/>
    </row>
    <row r="96" spans="1:25" x14ac:dyDescent="0.2">
      <c r="C96" s="107"/>
      <c r="D96" s="107"/>
      <c r="E96" s="107"/>
      <c r="F96" s="107"/>
      <c r="G96" s="107"/>
      <c r="H96" s="107"/>
      <c r="I96" s="107"/>
      <c r="J96" s="107"/>
      <c r="K96" s="107"/>
      <c r="L96" s="107"/>
      <c r="M96" s="107"/>
      <c r="N96" s="107"/>
      <c r="O96" s="107"/>
      <c r="P96" s="107"/>
      <c r="Q96" s="107"/>
      <c r="R96" s="107"/>
      <c r="S96" s="107"/>
      <c r="T96" s="107"/>
      <c r="U96" s="107"/>
      <c r="V96" s="107"/>
      <c r="W96" s="107"/>
      <c r="X96" s="107"/>
      <c r="Y96" s="107"/>
    </row>
    <row r="97" spans="3:25" x14ac:dyDescent="0.2">
      <c r="C97" s="107"/>
      <c r="D97" s="107"/>
      <c r="E97" s="107"/>
      <c r="F97" s="107"/>
      <c r="G97" s="107"/>
      <c r="H97" s="107"/>
      <c r="I97" s="107"/>
      <c r="J97" s="107"/>
      <c r="K97" s="107"/>
      <c r="L97" s="107"/>
      <c r="M97" s="107"/>
      <c r="N97" s="107"/>
      <c r="O97" s="107"/>
      <c r="P97" s="107"/>
      <c r="Q97" s="107"/>
      <c r="R97" s="107"/>
      <c r="S97" s="107"/>
      <c r="T97" s="107"/>
      <c r="U97" s="107"/>
      <c r="V97" s="107"/>
      <c r="W97" s="107"/>
      <c r="X97" s="107"/>
      <c r="Y97" s="107"/>
    </row>
    <row r="98" spans="3:25" x14ac:dyDescent="0.2">
      <c r="C98" s="107"/>
      <c r="D98" s="107"/>
      <c r="E98" s="107"/>
      <c r="F98" s="107"/>
      <c r="G98" s="107"/>
      <c r="H98" s="107"/>
      <c r="I98" s="107"/>
      <c r="J98" s="107"/>
      <c r="K98" s="107"/>
      <c r="L98" s="107"/>
      <c r="M98" s="107"/>
      <c r="N98" s="107"/>
      <c r="O98" s="107"/>
      <c r="P98" s="107"/>
      <c r="Q98" s="107"/>
      <c r="R98" s="107"/>
      <c r="S98" s="107"/>
      <c r="T98" s="107"/>
      <c r="U98" s="107"/>
      <c r="V98" s="107"/>
      <c r="W98" s="107"/>
      <c r="X98" s="107"/>
      <c r="Y98" s="107"/>
    </row>
    <row r="99" spans="3:25" x14ac:dyDescent="0.2">
      <c r="C99" s="107"/>
      <c r="D99" s="107"/>
      <c r="E99" s="107"/>
      <c r="F99" s="107"/>
      <c r="G99" s="107"/>
      <c r="H99" s="107"/>
      <c r="I99" s="107"/>
      <c r="J99" s="107"/>
      <c r="K99" s="107"/>
      <c r="L99" s="107"/>
      <c r="M99" s="107"/>
      <c r="N99" s="107"/>
      <c r="O99" s="107"/>
      <c r="P99" s="107"/>
      <c r="Q99" s="107"/>
      <c r="R99" s="107"/>
      <c r="S99" s="107"/>
      <c r="T99" s="107"/>
      <c r="U99" s="107"/>
      <c r="V99" s="107"/>
      <c r="W99" s="107"/>
      <c r="X99" s="107"/>
      <c r="Y99" s="107"/>
    </row>
    <row r="100" spans="3:25" x14ac:dyDescent="0.2">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3:25" x14ac:dyDescent="0.2">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row>
  </sheetData>
  <conditionalFormatting sqref="X79:X82">
    <cfRule type="duplicateValues" dxfId="1576" priority="48"/>
  </conditionalFormatting>
  <conditionalFormatting sqref="B16:B21">
    <cfRule type="duplicateValues" dxfId="1575" priority="42" stopIfTrue="1"/>
  </conditionalFormatting>
  <conditionalFormatting sqref="X16:X23 X40:X43">
    <cfRule type="duplicateValues" dxfId="1574" priority="50"/>
    <cfRule type="top10" dxfId="1573" priority="51" stopIfTrue="1" rank="100"/>
  </conditionalFormatting>
  <conditionalFormatting sqref="B22:B23 B40:B43">
    <cfRule type="duplicateValues" dxfId="1572" priority="52" stopIfTrue="1"/>
  </conditionalFormatting>
  <conditionalFormatting sqref="B32:B37">
    <cfRule type="duplicateValues" dxfId="1571" priority="38" stopIfTrue="1"/>
  </conditionalFormatting>
  <conditionalFormatting sqref="X32:X39">
    <cfRule type="duplicateValues" dxfId="1570" priority="39"/>
    <cfRule type="top10" dxfId="1569" priority="40" stopIfTrue="1" rank="100"/>
  </conditionalFormatting>
  <conditionalFormatting sqref="B38:B39">
    <cfRule type="duplicateValues" dxfId="1568" priority="41" stopIfTrue="1"/>
  </conditionalFormatting>
  <conditionalFormatting sqref="B54:B59">
    <cfRule type="duplicateValues" dxfId="1567" priority="34" stopIfTrue="1"/>
  </conditionalFormatting>
  <conditionalFormatting sqref="X54:X61 X70:X73">
    <cfRule type="duplicateValues" dxfId="1566" priority="35"/>
    <cfRule type="top10" dxfId="1565" priority="36" stopIfTrue="1" rank="100"/>
  </conditionalFormatting>
  <conditionalFormatting sqref="B60:B61 B70:B73">
    <cfRule type="duplicateValues" dxfId="1564" priority="37" stopIfTrue="1"/>
  </conditionalFormatting>
  <conditionalFormatting sqref="B62:B67">
    <cfRule type="duplicateValues" dxfId="1563" priority="30" stopIfTrue="1"/>
  </conditionalFormatting>
  <conditionalFormatting sqref="X62:X69">
    <cfRule type="duplicateValues" dxfId="1562" priority="31"/>
    <cfRule type="top10" dxfId="1561" priority="32" stopIfTrue="1" rank="100"/>
  </conditionalFormatting>
  <conditionalFormatting sqref="B68:B69">
    <cfRule type="duplicateValues" dxfId="1560" priority="33" stopIfTrue="1"/>
  </conditionalFormatting>
  <conditionalFormatting sqref="B74:B75">
    <cfRule type="duplicateValues" dxfId="1559" priority="26" stopIfTrue="1"/>
  </conditionalFormatting>
  <conditionalFormatting sqref="X74:X77">
    <cfRule type="duplicateValues" dxfId="1558" priority="27"/>
    <cfRule type="top10" dxfId="1557" priority="28" stopIfTrue="1" rank="100"/>
  </conditionalFormatting>
  <conditionalFormatting sqref="B76:B77">
    <cfRule type="duplicateValues" dxfId="1556" priority="29" stopIfTrue="1"/>
  </conditionalFormatting>
  <conditionalFormatting sqref="B44:B45">
    <cfRule type="duplicateValues" dxfId="1555" priority="25" stopIfTrue="1"/>
  </conditionalFormatting>
  <conditionalFormatting sqref="B24:B29">
    <cfRule type="duplicateValues" dxfId="1554" priority="21" stopIfTrue="1"/>
  </conditionalFormatting>
  <conditionalFormatting sqref="X24:X31">
    <cfRule type="duplicateValues" dxfId="1553" priority="22"/>
    <cfRule type="top10" dxfId="1552" priority="23" stopIfTrue="1" rank="100"/>
  </conditionalFormatting>
  <conditionalFormatting sqref="B30:B31">
    <cfRule type="duplicateValues" dxfId="1551" priority="24" stopIfTrue="1"/>
  </conditionalFormatting>
  <conditionalFormatting sqref="W16:W19">
    <cfRule type="top10" dxfId="1550" priority="19" rank="1"/>
  </conditionalFormatting>
  <conditionalFormatting sqref="W20:W23">
    <cfRule type="top10" dxfId="1549" priority="18" rank="1"/>
  </conditionalFormatting>
  <conditionalFormatting sqref="W24:W27">
    <cfRule type="top10" dxfId="1548" priority="17" rank="1"/>
  </conditionalFormatting>
  <conditionalFormatting sqref="W28:W31">
    <cfRule type="top10" dxfId="1547" priority="16" rank="1"/>
  </conditionalFormatting>
  <conditionalFormatting sqref="W32:W35">
    <cfRule type="top10" dxfId="1546" priority="15" rank="1"/>
  </conditionalFormatting>
  <conditionalFormatting sqref="W36:W39">
    <cfRule type="top10" dxfId="1545" priority="14" rank="1"/>
  </conditionalFormatting>
  <conditionalFormatting sqref="W40:W43">
    <cfRule type="top10" dxfId="1544" priority="13" rank="1"/>
  </conditionalFormatting>
  <conditionalFormatting sqref="W44:W47">
    <cfRule type="top10" dxfId="1543" priority="12" rank="1"/>
  </conditionalFormatting>
  <conditionalFormatting sqref="W54:W57">
    <cfRule type="top10" dxfId="1542" priority="11" rank="1"/>
  </conditionalFormatting>
  <conditionalFormatting sqref="W58:W61">
    <cfRule type="top10" dxfId="1541" priority="10" rank="1"/>
  </conditionalFormatting>
  <conditionalFormatting sqref="W62:W65">
    <cfRule type="top10" dxfId="1540" priority="9" rank="1"/>
  </conditionalFormatting>
  <conditionalFormatting sqref="W66:W69">
    <cfRule type="top10" dxfId="1539" priority="8" rank="1"/>
  </conditionalFormatting>
  <conditionalFormatting sqref="W70:W73">
    <cfRule type="top10" dxfId="1538" priority="7" rank="1"/>
  </conditionalFormatting>
  <conditionalFormatting sqref="W74:W77">
    <cfRule type="top10" dxfId="1537" priority="6" rank="1"/>
  </conditionalFormatting>
  <conditionalFormatting sqref="W79:W80">
    <cfRule type="top10" dxfId="1536" priority="56" rank="1"/>
  </conditionalFormatting>
  <conditionalFormatting sqref="W81:W82">
    <cfRule type="top10" dxfId="1535" priority="57" rank="1"/>
  </conditionalFormatting>
  <conditionalFormatting sqref="W84:W85">
    <cfRule type="top10" dxfId="1534" priority="58" rank="1"/>
  </conditionalFormatting>
  <conditionalFormatting sqref="W87:W88">
    <cfRule type="top10" dxfId="1533" priority="59" rank="1"/>
  </conditionalFormatting>
  <conditionalFormatting sqref="X44:X47">
    <cfRule type="duplicateValues" dxfId="1532" priority="68"/>
    <cfRule type="top10" dxfId="1531" priority="69" stopIfTrue="1" rank="100"/>
  </conditionalFormatting>
  <conditionalFormatting sqref="B46:B47">
    <cfRule type="duplicateValues" dxfId="1530" priority="70" stopIfTrue="1"/>
  </conditionalFormatting>
  <conditionalFormatting sqref="X9:X14">
    <cfRule type="duplicateValues" dxfId="1529" priority="13152"/>
    <cfRule type="top10" dxfId="1528" priority="13153" stopIfTrue="1" rank="100"/>
  </conditionalFormatting>
  <conditionalFormatting sqref="B10:B12 B14">
    <cfRule type="duplicateValues" dxfId="1527" priority="13154" stopIfTrue="1"/>
  </conditionalFormatting>
  <conditionalFormatting sqref="B51:B52">
    <cfRule type="duplicateValues" dxfId="1526" priority="4" stopIfTrue="1"/>
  </conditionalFormatting>
  <conditionalFormatting sqref="X49:X52">
    <cfRule type="duplicateValues" dxfId="1525" priority="13166"/>
    <cfRule type="top10" dxfId="1524" priority="13167" stopIfTrue="1" rank="100"/>
  </conditionalFormatting>
  <conditionalFormatting sqref="B79">
    <cfRule type="duplicateValues" dxfId="1523" priority="2" stopIfTrue="1"/>
  </conditionalFormatting>
  <conditionalFormatting sqref="W9:W88">
    <cfRule type="top10" dxfId="1522" priority="13174" rank="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Y307"/>
  <sheetViews>
    <sheetView showGridLines="0" zoomScaleNormal="100" workbookViewId="0">
      <pane ySplit="7" topLeftCell="A8" activePane="bottomLeft" state="frozen"/>
      <selection activeCell="C43" sqref="C43"/>
      <selection pane="bottomLeft" activeCell="C43" sqref="C43"/>
    </sheetView>
  </sheetViews>
  <sheetFormatPr defaultRowHeight="12.75" x14ac:dyDescent="0.2"/>
  <cols>
    <col min="1" max="1" width="3" style="78" customWidth="1"/>
    <col min="2" max="2" width="18.85546875" style="78" customWidth="1"/>
    <col min="3" max="22" width="2.7109375" style="78" customWidth="1"/>
    <col min="23" max="23" width="3" style="78" bestFit="1" customWidth="1"/>
    <col min="24" max="24" width="11.5703125" style="78" customWidth="1"/>
    <col min="25" max="25" width="3" style="78" customWidth="1"/>
    <col min="26" max="250" width="9.140625" style="78"/>
    <col min="251" max="251" width="3" style="78" customWidth="1"/>
    <col min="252" max="252" width="18.7109375" style="78" customWidth="1"/>
    <col min="253" max="272" width="2.85546875" style="78" customWidth="1"/>
    <col min="273" max="273" width="3" style="78" bestFit="1" customWidth="1"/>
    <col min="274" max="274" width="10.5703125" style="78" bestFit="1" customWidth="1"/>
    <col min="275" max="277" width="0" style="78" hidden="1" customWidth="1"/>
    <col min="278" max="506" width="9.140625" style="78"/>
    <col min="507" max="507" width="3" style="78" customWidth="1"/>
    <col min="508" max="508" width="18.7109375" style="78" customWidth="1"/>
    <col min="509" max="528" width="2.85546875" style="78" customWidth="1"/>
    <col min="529" max="529" width="3" style="78" bestFit="1" customWidth="1"/>
    <col min="530" max="530" width="10.5703125" style="78" bestFit="1" customWidth="1"/>
    <col min="531" max="533" width="0" style="78" hidden="1" customWidth="1"/>
    <col min="534" max="762" width="9.140625" style="78"/>
    <col min="763" max="763" width="3" style="78" customWidth="1"/>
    <col min="764" max="764" width="18.7109375" style="78" customWidth="1"/>
    <col min="765" max="784" width="2.85546875" style="78" customWidth="1"/>
    <col min="785" max="785" width="3" style="78" bestFit="1" customWidth="1"/>
    <col min="786" max="786" width="10.5703125" style="78" bestFit="1" customWidth="1"/>
    <col min="787" max="789" width="0" style="78" hidden="1" customWidth="1"/>
    <col min="790" max="1018" width="9.140625" style="78"/>
    <col min="1019" max="1019" width="3" style="78" customWidth="1"/>
    <col min="1020" max="1020" width="18.7109375" style="78" customWidth="1"/>
    <col min="1021" max="1040" width="2.85546875" style="78" customWidth="1"/>
    <col min="1041" max="1041" width="3" style="78" bestFit="1" customWidth="1"/>
    <col min="1042" max="1042" width="10.5703125" style="78" bestFit="1" customWidth="1"/>
    <col min="1043" max="1045" width="0" style="78" hidden="1" customWidth="1"/>
    <col min="1046" max="1274" width="9.140625" style="78"/>
    <col min="1275" max="1275" width="3" style="78" customWidth="1"/>
    <col min="1276" max="1276" width="18.7109375" style="78" customWidth="1"/>
    <col min="1277" max="1296" width="2.85546875" style="78" customWidth="1"/>
    <col min="1297" max="1297" width="3" style="78" bestFit="1" customWidth="1"/>
    <col min="1298" max="1298" width="10.5703125" style="78" bestFit="1" customWidth="1"/>
    <col min="1299" max="1301" width="0" style="78" hidden="1" customWidth="1"/>
    <col min="1302" max="1530" width="9.140625" style="78"/>
    <col min="1531" max="1531" width="3" style="78" customWidth="1"/>
    <col min="1532" max="1532" width="18.7109375" style="78" customWidth="1"/>
    <col min="1533" max="1552" width="2.85546875" style="78" customWidth="1"/>
    <col min="1553" max="1553" width="3" style="78" bestFit="1" customWidth="1"/>
    <col min="1554" max="1554" width="10.5703125" style="78" bestFit="1" customWidth="1"/>
    <col min="1555" max="1557" width="0" style="78" hidden="1" customWidth="1"/>
    <col min="1558" max="1786" width="9.140625" style="78"/>
    <col min="1787" max="1787" width="3" style="78" customWidth="1"/>
    <col min="1788" max="1788" width="18.7109375" style="78" customWidth="1"/>
    <col min="1789" max="1808" width="2.85546875" style="78" customWidth="1"/>
    <col min="1809" max="1809" width="3" style="78" bestFit="1" customWidth="1"/>
    <col min="1810" max="1810" width="10.5703125" style="78" bestFit="1" customWidth="1"/>
    <col min="1811" max="1813" width="0" style="78" hidden="1" customWidth="1"/>
    <col min="1814" max="2042" width="9.140625" style="78"/>
    <col min="2043" max="2043" width="3" style="78" customWidth="1"/>
    <col min="2044" max="2044" width="18.7109375" style="78" customWidth="1"/>
    <col min="2045" max="2064" width="2.85546875" style="78" customWidth="1"/>
    <col min="2065" max="2065" width="3" style="78" bestFit="1" customWidth="1"/>
    <col min="2066" max="2066" width="10.5703125" style="78" bestFit="1" customWidth="1"/>
    <col min="2067" max="2069" width="0" style="78" hidden="1" customWidth="1"/>
    <col min="2070" max="2298" width="9.140625" style="78"/>
    <col min="2299" max="2299" width="3" style="78" customWidth="1"/>
    <col min="2300" max="2300" width="18.7109375" style="78" customWidth="1"/>
    <col min="2301" max="2320" width="2.85546875" style="78" customWidth="1"/>
    <col min="2321" max="2321" width="3" style="78" bestFit="1" customWidth="1"/>
    <col min="2322" max="2322" width="10.5703125" style="78" bestFit="1" customWidth="1"/>
    <col min="2323" max="2325" width="0" style="78" hidden="1" customWidth="1"/>
    <col min="2326" max="2554" width="9.140625" style="78"/>
    <col min="2555" max="2555" width="3" style="78" customWidth="1"/>
    <col min="2556" max="2556" width="18.7109375" style="78" customWidth="1"/>
    <col min="2557" max="2576" width="2.85546875" style="78" customWidth="1"/>
    <col min="2577" max="2577" width="3" style="78" bestFit="1" customWidth="1"/>
    <col min="2578" max="2578" width="10.5703125" style="78" bestFit="1" customWidth="1"/>
    <col min="2579" max="2581" width="0" style="78" hidden="1" customWidth="1"/>
    <col min="2582" max="2810" width="9.140625" style="78"/>
    <col min="2811" max="2811" width="3" style="78" customWidth="1"/>
    <col min="2812" max="2812" width="18.7109375" style="78" customWidth="1"/>
    <col min="2813" max="2832" width="2.85546875" style="78" customWidth="1"/>
    <col min="2833" max="2833" width="3" style="78" bestFit="1" customWidth="1"/>
    <col min="2834" max="2834" width="10.5703125" style="78" bestFit="1" customWidth="1"/>
    <col min="2835" max="2837" width="0" style="78" hidden="1" customWidth="1"/>
    <col min="2838" max="3066" width="9.140625" style="78"/>
    <col min="3067" max="3067" width="3" style="78" customWidth="1"/>
    <col min="3068" max="3068" width="18.7109375" style="78" customWidth="1"/>
    <col min="3069" max="3088" width="2.85546875" style="78" customWidth="1"/>
    <col min="3089" max="3089" width="3" style="78" bestFit="1" customWidth="1"/>
    <col min="3090" max="3090" width="10.5703125" style="78" bestFit="1" customWidth="1"/>
    <col min="3091" max="3093" width="0" style="78" hidden="1" customWidth="1"/>
    <col min="3094" max="3322" width="9.140625" style="78"/>
    <col min="3323" max="3323" width="3" style="78" customWidth="1"/>
    <col min="3324" max="3324" width="18.7109375" style="78" customWidth="1"/>
    <col min="3325" max="3344" width="2.85546875" style="78" customWidth="1"/>
    <col min="3345" max="3345" width="3" style="78" bestFit="1" customWidth="1"/>
    <col min="3346" max="3346" width="10.5703125" style="78" bestFit="1" customWidth="1"/>
    <col min="3347" max="3349" width="0" style="78" hidden="1" customWidth="1"/>
    <col min="3350" max="3578" width="9.140625" style="78"/>
    <col min="3579" max="3579" width="3" style="78" customWidth="1"/>
    <col min="3580" max="3580" width="18.7109375" style="78" customWidth="1"/>
    <col min="3581" max="3600" width="2.85546875" style="78" customWidth="1"/>
    <col min="3601" max="3601" width="3" style="78" bestFit="1" customWidth="1"/>
    <col min="3602" max="3602" width="10.5703125" style="78" bestFit="1" customWidth="1"/>
    <col min="3603" max="3605" width="0" style="78" hidden="1" customWidth="1"/>
    <col min="3606" max="3834" width="9.140625" style="78"/>
    <col min="3835" max="3835" width="3" style="78" customWidth="1"/>
    <col min="3836" max="3836" width="18.7109375" style="78" customWidth="1"/>
    <col min="3837" max="3856" width="2.85546875" style="78" customWidth="1"/>
    <col min="3857" max="3857" width="3" style="78" bestFit="1" customWidth="1"/>
    <col min="3858" max="3858" width="10.5703125" style="78" bestFit="1" customWidth="1"/>
    <col min="3859" max="3861" width="0" style="78" hidden="1" customWidth="1"/>
    <col min="3862" max="4090" width="9.140625" style="78"/>
    <col min="4091" max="4091" width="3" style="78" customWidth="1"/>
    <col min="4092" max="4092" width="18.7109375" style="78" customWidth="1"/>
    <col min="4093" max="4112" width="2.85546875" style="78" customWidth="1"/>
    <col min="4113" max="4113" width="3" style="78" bestFit="1" customWidth="1"/>
    <col min="4114" max="4114" width="10.5703125" style="78" bestFit="1" customWidth="1"/>
    <col min="4115" max="4117" width="0" style="78" hidden="1" customWidth="1"/>
    <col min="4118" max="4346" width="9.140625" style="78"/>
    <col min="4347" max="4347" width="3" style="78" customWidth="1"/>
    <col min="4348" max="4348" width="18.7109375" style="78" customWidth="1"/>
    <col min="4349" max="4368" width="2.85546875" style="78" customWidth="1"/>
    <col min="4369" max="4369" width="3" style="78" bestFit="1" customWidth="1"/>
    <col min="4370" max="4370" width="10.5703125" style="78" bestFit="1" customWidth="1"/>
    <col min="4371" max="4373" width="0" style="78" hidden="1" customWidth="1"/>
    <col min="4374" max="4602" width="9.140625" style="78"/>
    <col min="4603" max="4603" width="3" style="78" customWidth="1"/>
    <col min="4604" max="4604" width="18.7109375" style="78" customWidth="1"/>
    <col min="4605" max="4624" width="2.85546875" style="78" customWidth="1"/>
    <col min="4625" max="4625" width="3" style="78" bestFit="1" customWidth="1"/>
    <col min="4626" max="4626" width="10.5703125" style="78" bestFit="1" customWidth="1"/>
    <col min="4627" max="4629" width="0" style="78" hidden="1" customWidth="1"/>
    <col min="4630" max="4858" width="9.140625" style="78"/>
    <col min="4859" max="4859" width="3" style="78" customWidth="1"/>
    <col min="4860" max="4860" width="18.7109375" style="78" customWidth="1"/>
    <col min="4861" max="4880" width="2.85546875" style="78" customWidth="1"/>
    <col min="4881" max="4881" width="3" style="78" bestFit="1" customWidth="1"/>
    <col min="4882" max="4882" width="10.5703125" style="78" bestFit="1" customWidth="1"/>
    <col min="4883" max="4885" width="0" style="78" hidden="1" customWidth="1"/>
    <col min="4886" max="5114" width="9.140625" style="78"/>
    <col min="5115" max="5115" width="3" style="78" customWidth="1"/>
    <col min="5116" max="5116" width="18.7109375" style="78" customWidth="1"/>
    <col min="5117" max="5136" width="2.85546875" style="78" customWidth="1"/>
    <col min="5137" max="5137" width="3" style="78" bestFit="1" customWidth="1"/>
    <col min="5138" max="5138" width="10.5703125" style="78" bestFit="1" customWidth="1"/>
    <col min="5139" max="5141" width="0" style="78" hidden="1" customWidth="1"/>
    <col min="5142" max="5370" width="9.140625" style="78"/>
    <col min="5371" max="5371" width="3" style="78" customWidth="1"/>
    <col min="5372" max="5372" width="18.7109375" style="78" customWidth="1"/>
    <col min="5373" max="5392" width="2.85546875" style="78" customWidth="1"/>
    <col min="5393" max="5393" width="3" style="78" bestFit="1" customWidth="1"/>
    <col min="5394" max="5394" width="10.5703125" style="78" bestFit="1" customWidth="1"/>
    <col min="5395" max="5397" width="0" style="78" hidden="1" customWidth="1"/>
    <col min="5398" max="5626" width="9.140625" style="78"/>
    <col min="5627" max="5627" width="3" style="78" customWidth="1"/>
    <col min="5628" max="5628" width="18.7109375" style="78" customWidth="1"/>
    <col min="5629" max="5648" width="2.85546875" style="78" customWidth="1"/>
    <col min="5649" max="5649" width="3" style="78" bestFit="1" customWidth="1"/>
    <col min="5650" max="5650" width="10.5703125" style="78" bestFit="1" customWidth="1"/>
    <col min="5651" max="5653" width="0" style="78" hidden="1" customWidth="1"/>
    <col min="5654" max="5882" width="9.140625" style="78"/>
    <col min="5883" max="5883" width="3" style="78" customWidth="1"/>
    <col min="5884" max="5884" width="18.7109375" style="78" customWidth="1"/>
    <col min="5885" max="5904" width="2.85546875" style="78" customWidth="1"/>
    <col min="5905" max="5905" width="3" style="78" bestFit="1" customWidth="1"/>
    <col min="5906" max="5906" width="10.5703125" style="78" bestFit="1" customWidth="1"/>
    <col min="5907" max="5909" width="0" style="78" hidden="1" customWidth="1"/>
    <col min="5910" max="6138" width="9.140625" style="78"/>
    <col min="6139" max="6139" width="3" style="78" customWidth="1"/>
    <col min="6140" max="6140" width="18.7109375" style="78" customWidth="1"/>
    <col min="6141" max="6160" width="2.85546875" style="78" customWidth="1"/>
    <col min="6161" max="6161" width="3" style="78" bestFit="1" customWidth="1"/>
    <col min="6162" max="6162" width="10.5703125" style="78" bestFit="1" customWidth="1"/>
    <col min="6163" max="6165" width="0" style="78" hidden="1" customWidth="1"/>
    <col min="6166" max="6394" width="9.140625" style="78"/>
    <col min="6395" max="6395" width="3" style="78" customWidth="1"/>
    <col min="6396" max="6396" width="18.7109375" style="78" customWidth="1"/>
    <col min="6397" max="6416" width="2.85546875" style="78" customWidth="1"/>
    <col min="6417" max="6417" width="3" style="78" bestFit="1" customWidth="1"/>
    <col min="6418" max="6418" width="10.5703125" style="78" bestFit="1" customWidth="1"/>
    <col min="6419" max="6421" width="0" style="78" hidden="1" customWidth="1"/>
    <col min="6422" max="6650" width="9.140625" style="78"/>
    <col min="6651" max="6651" width="3" style="78" customWidth="1"/>
    <col min="6652" max="6652" width="18.7109375" style="78" customWidth="1"/>
    <col min="6653" max="6672" width="2.85546875" style="78" customWidth="1"/>
    <col min="6673" max="6673" width="3" style="78" bestFit="1" customWidth="1"/>
    <col min="6674" max="6674" width="10.5703125" style="78" bestFit="1" customWidth="1"/>
    <col min="6675" max="6677" width="0" style="78" hidden="1" customWidth="1"/>
    <col min="6678" max="6906" width="9.140625" style="78"/>
    <col min="6907" max="6907" width="3" style="78" customWidth="1"/>
    <col min="6908" max="6908" width="18.7109375" style="78" customWidth="1"/>
    <col min="6909" max="6928" width="2.85546875" style="78" customWidth="1"/>
    <col min="6929" max="6929" width="3" style="78" bestFit="1" customWidth="1"/>
    <col min="6930" max="6930" width="10.5703125" style="78" bestFit="1" customWidth="1"/>
    <col min="6931" max="6933" width="0" style="78" hidden="1" customWidth="1"/>
    <col min="6934" max="7162" width="9.140625" style="78"/>
    <col min="7163" max="7163" width="3" style="78" customWidth="1"/>
    <col min="7164" max="7164" width="18.7109375" style="78" customWidth="1"/>
    <col min="7165" max="7184" width="2.85546875" style="78" customWidth="1"/>
    <col min="7185" max="7185" width="3" style="78" bestFit="1" customWidth="1"/>
    <col min="7186" max="7186" width="10.5703125" style="78" bestFit="1" customWidth="1"/>
    <col min="7187" max="7189" width="0" style="78" hidden="1" customWidth="1"/>
    <col min="7190" max="7418" width="9.140625" style="78"/>
    <col min="7419" max="7419" width="3" style="78" customWidth="1"/>
    <col min="7420" max="7420" width="18.7109375" style="78" customWidth="1"/>
    <col min="7421" max="7440" width="2.85546875" style="78" customWidth="1"/>
    <col min="7441" max="7441" width="3" style="78" bestFit="1" customWidth="1"/>
    <col min="7442" max="7442" width="10.5703125" style="78" bestFit="1" customWidth="1"/>
    <col min="7443" max="7445" width="0" style="78" hidden="1" customWidth="1"/>
    <col min="7446" max="7674" width="9.140625" style="78"/>
    <col min="7675" max="7675" width="3" style="78" customWidth="1"/>
    <col min="7676" max="7676" width="18.7109375" style="78" customWidth="1"/>
    <col min="7677" max="7696" width="2.85546875" style="78" customWidth="1"/>
    <col min="7697" max="7697" width="3" style="78" bestFit="1" customWidth="1"/>
    <col min="7698" max="7698" width="10.5703125" style="78" bestFit="1" customWidth="1"/>
    <col min="7699" max="7701" width="0" style="78" hidden="1" customWidth="1"/>
    <col min="7702" max="7930" width="9.140625" style="78"/>
    <col min="7931" max="7931" width="3" style="78" customWidth="1"/>
    <col min="7932" max="7932" width="18.7109375" style="78" customWidth="1"/>
    <col min="7933" max="7952" width="2.85546875" style="78" customWidth="1"/>
    <col min="7953" max="7953" width="3" style="78" bestFit="1" customWidth="1"/>
    <col min="7954" max="7954" width="10.5703125" style="78" bestFit="1" customWidth="1"/>
    <col min="7955" max="7957" width="0" style="78" hidden="1" customWidth="1"/>
    <col min="7958" max="8186" width="9.140625" style="78"/>
    <col min="8187" max="8187" width="3" style="78" customWidth="1"/>
    <col min="8188" max="8188" width="18.7109375" style="78" customWidth="1"/>
    <col min="8189" max="8208" width="2.85546875" style="78" customWidth="1"/>
    <col min="8209" max="8209" width="3" style="78" bestFit="1" customWidth="1"/>
    <col min="8210" max="8210" width="10.5703125" style="78" bestFit="1" customWidth="1"/>
    <col min="8211" max="8213" width="0" style="78" hidden="1" customWidth="1"/>
    <col min="8214" max="8442" width="9.140625" style="78"/>
    <col min="8443" max="8443" width="3" style="78" customWidth="1"/>
    <col min="8444" max="8444" width="18.7109375" style="78" customWidth="1"/>
    <col min="8445" max="8464" width="2.85546875" style="78" customWidth="1"/>
    <col min="8465" max="8465" width="3" style="78" bestFit="1" customWidth="1"/>
    <col min="8466" max="8466" width="10.5703125" style="78" bestFit="1" customWidth="1"/>
    <col min="8467" max="8469" width="0" style="78" hidden="1" customWidth="1"/>
    <col min="8470" max="8698" width="9.140625" style="78"/>
    <col min="8699" max="8699" width="3" style="78" customWidth="1"/>
    <col min="8700" max="8700" width="18.7109375" style="78" customWidth="1"/>
    <col min="8701" max="8720" width="2.85546875" style="78" customWidth="1"/>
    <col min="8721" max="8721" width="3" style="78" bestFit="1" customWidth="1"/>
    <col min="8722" max="8722" width="10.5703125" style="78" bestFit="1" customWidth="1"/>
    <col min="8723" max="8725" width="0" style="78" hidden="1" customWidth="1"/>
    <col min="8726" max="8954" width="9.140625" style="78"/>
    <col min="8955" max="8955" width="3" style="78" customWidth="1"/>
    <col min="8956" max="8956" width="18.7109375" style="78" customWidth="1"/>
    <col min="8957" max="8976" width="2.85546875" style="78" customWidth="1"/>
    <col min="8977" max="8977" width="3" style="78" bestFit="1" customWidth="1"/>
    <col min="8978" max="8978" width="10.5703125" style="78" bestFit="1" customWidth="1"/>
    <col min="8979" max="8981" width="0" style="78" hidden="1" customWidth="1"/>
    <col min="8982" max="9210" width="9.140625" style="78"/>
    <col min="9211" max="9211" width="3" style="78" customWidth="1"/>
    <col min="9212" max="9212" width="18.7109375" style="78" customWidth="1"/>
    <col min="9213" max="9232" width="2.85546875" style="78" customWidth="1"/>
    <col min="9233" max="9233" width="3" style="78" bestFit="1" customWidth="1"/>
    <col min="9234" max="9234" width="10.5703125" style="78" bestFit="1" customWidth="1"/>
    <col min="9235" max="9237" width="0" style="78" hidden="1" customWidth="1"/>
    <col min="9238" max="9466" width="9.140625" style="78"/>
    <col min="9467" max="9467" width="3" style="78" customWidth="1"/>
    <col min="9468" max="9468" width="18.7109375" style="78" customWidth="1"/>
    <col min="9469" max="9488" width="2.85546875" style="78" customWidth="1"/>
    <col min="9489" max="9489" width="3" style="78" bestFit="1" customWidth="1"/>
    <col min="9490" max="9490" width="10.5703125" style="78" bestFit="1" customWidth="1"/>
    <col min="9491" max="9493" width="0" style="78" hidden="1" customWidth="1"/>
    <col min="9494" max="9722" width="9.140625" style="78"/>
    <col min="9723" max="9723" width="3" style="78" customWidth="1"/>
    <col min="9724" max="9724" width="18.7109375" style="78" customWidth="1"/>
    <col min="9725" max="9744" width="2.85546875" style="78" customWidth="1"/>
    <col min="9745" max="9745" width="3" style="78" bestFit="1" customWidth="1"/>
    <col min="9746" max="9746" width="10.5703125" style="78" bestFit="1" customWidth="1"/>
    <col min="9747" max="9749" width="0" style="78" hidden="1" customWidth="1"/>
    <col min="9750" max="9978" width="9.140625" style="78"/>
    <col min="9979" max="9979" width="3" style="78" customWidth="1"/>
    <col min="9980" max="9980" width="18.7109375" style="78" customWidth="1"/>
    <col min="9981" max="10000" width="2.85546875" style="78" customWidth="1"/>
    <col min="10001" max="10001" width="3" style="78" bestFit="1" customWidth="1"/>
    <col min="10002" max="10002" width="10.5703125" style="78" bestFit="1" customWidth="1"/>
    <col min="10003" max="10005" width="0" style="78" hidden="1" customWidth="1"/>
    <col min="10006" max="10234" width="9.140625" style="78"/>
    <col min="10235" max="10235" width="3" style="78" customWidth="1"/>
    <col min="10236" max="10236" width="18.7109375" style="78" customWidth="1"/>
    <col min="10237" max="10256" width="2.85546875" style="78" customWidth="1"/>
    <col min="10257" max="10257" width="3" style="78" bestFit="1" customWidth="1"/>
    <col min="10258" max="10258" width="10.5703125" style="78" bestFit="1" customWidth="1"/>
    <col min="10259" max="10261" width="0" style="78" hidden="1" customWidth="1"/>
    <col min="10262" max="10490" width="9.140625" style="78"/>
    <col min="10491" max="10491" width="3" style="78" customWidth="1"/>
    <col min="10492" max="10492" width="18.7109375" style="78" customWidth="1"/>
    <col min="10493" max="10512" width="2.85546875" style="78" customWidth="1"/>
    <col min="10513" max="10513" width="3" style="78" bestFit="1" customWidth="1"/>
    <col min="10514" max="10514" width="10.5703125" style="78" bestFit="1" customWidth="1"/>
    <col min="10515" max="10517" width="0" style="78" hidden="1" customWidth="1"/>
    <col min="10518" max="10746" width="9.140625" style="78"/>
    <col min="10747" max="10747" width="3" style="78" customWidth="1"/>
    <col min="10748" max="10748" width="18.7109375" style="78" customWidth="1"/>
    <col min="10749" max="10768" width="2.85546875" style="78" customWidth="1"/>
    <col min="10769" max="10769" width="3" style="78" bestFit="1" customWidth="1"/>
    <col min="10770" max="10770" width="10.5703125" style="78" bestFit="1" customWidth="1"/>
    <col min="10771" max="10773" width="0" style="78" hidden="1" customWidth="1"/>
    <col min="10774" max="11002" width="9.140625" style="78"/>
    <col min="11003" max="11003" width="3" style="78" customWidth="1"/>
    <col min="11004" max="11004" width="18.7109375" style="78" customWidth="1"/>
    <col min="11005" max="11024" width="2.85546875" style="78" customWidth="1"/>
    <col min="11025" max="11025" width="3" style="78" bestFit="1" customWidth="1"/>
    <col min="11026" max="11026" width="10.5703125" style="78" bestFit="1" customWidth="1"/>
    <col min="11027" max="11029" width="0" style="78" hidden="1" customWidth="1"/>
    <col min="11030" max="11258" width="9.140625" style="78"/>
    <col min="11259" max="11259" width="3" style="78" customWidth="1"/>
    <col min="11260" max="11260" width="18.7109375" style="78" customWidth="1"/>
    <col min="11261" max="11280" width="2.85546875" style="78" customWidth="1"/>
    <col min="11281" max="11281" width="3" style="78" bestFit="1" customWidth="1"/>
    <col min="11282" max="11282" width="10.5703125" style="78" bestFit="1" customWidth="1"/>
    <col min="11283" max="11285" width="0" style="78" hidden="1" customWidth="1"/>
    <col min="11286" max="11514" width="9.140625" style="78"/>
    <col min="11515" max="11515" width="3" style="78" customWidth="1"/>
    <col min="11516" max="11516" width="18.7109375" style="78" customWidth="1"/>
    <col min="11517" max="11536" width="2.85546875" style="78" customWidth="1"/>
    <col min="11537" max="11537" width="3" style="78" bestFit="1" customWidth="1"/>
    <col min="11538" max="11538" width="10.5703125" style="78" bestFit="1" customWidth="1"/>
    <col min="11539" max="11541" width="0" style="78" hidden="1" customWidth="1"/>
    <col min="11542" max="11770" width="9.140625" style="78"/>
    <col min="11771" max="11771" width="3" style="78" customWidth="1"/>
    <col min="11772" max="11772" width="18.7109375" style="78" customWidth="1"/>
    <col min="11773" max="11792" width="2.85546875" style="78" customWidth="1"/>
    <col min="11793" max="11793" width="3" style="78" bestFit="1" customWidth="1"/>
    <col min="11794" max="11794" width="10.5703125" style="78" bestFit="1" customWidth="1"/>
    <col min="11795" max="11797" width="0" style="78" hidden="1" customWidth="1"/>
    <col min="11798" max="12026" width="9.140625" style="78"/>
    <col min="12027" max="12027" width="3" style="78" customWidth="1"/>
    <col min="12028" max="12028" width="18.7109375" style="78" customWidth="1"/>
    <col min="12029" max="12048" width="2.85546875" style="78" customWidth="1"/>
    <col min="12049" max="12049" width="3" style="78" bestFit="1" customWidth="1"/>
    <col min="12050" max="12050" width="10.5703125" style="78" bestFit="1" customWidth="1"/>
    <col min="12051" max="12053" width="0" style="78" hidden="1" customWidth="1"/>
    <col min="12054" max="12282" width="9.140625" style="78"/>
    <col min="12283" max="12283" width="3" style="78" customWidth="1"/>
    <col min="12284" max="12284" width="18.7109375" style="78" customWidth="1"/>
    <col min="12285" max="12304" width="2.85546875" style="78" customWidth="1"/>
    <col min="12305" max="12305" width="3" style="78" bestFit="1" customWidth="1"/>
    <col min="12306" max="12306" width="10.5703125" style="78" bestFit="1" customWidth="1"/>
    <col min="12307" max="12309" width="0" style="78" hidden="1" customWidth="1"/>
    <col min="12310" max="12538" width="9.140625" style="78"/>
    <col min="12539" max="12539" width="3" style="78" customWidth="1"/>
    <col min="12540" max="12540" width="18.7109375" style="78" customWidth="1"/>
    <col min="12541" max="12560" width="2.85546875" style="78" customWidth="1"/>
    <col min="12561" max="12561" width="3" style="78" bestFit="1" customWidth="1"/>
    <col min="12562" max="12562" width="10.5703125" style="78" bestFit="1" customWidth="1"/>
    <col min="12563" max="12565" width="0" style="78" hidden="1" customWidth="1"/>
    <col min="12566" max="12794" width="9.140625" style="78"/>
    <col min="12795" max="12795" width="3" style="78" customWidth="1"/>
    <col min="12796" max="12796" width="18.7109375" style="78" customWidth="1"/>
    <col min="12797" max="12816" width="2.85546875" style="78" customWidth="1"/>
    <col min="12817" max="12817" width="3" style="78" bestFit="1" customWidth="1"/>
    <col min="12818" max="12818" width="10.5703125" style="78" bestFit="1" customWidth="1"/>
    <col min="12819" max="12821" width="0" style="78" hidden="1" customWidth="1"/>
    <col min="12822" max="13050" width="9.140625" style="78"/>
    <col min="13051" max="13051" width="3" style="78" customWidth="1"/>
    <col min="13052" max="13052" width="18.7109375" style="78" customWidth="1"/>
    <col min="13053" max="13072" width="2.85546875" style="78" customWidth="1"/>
    <col min="13073" max="13073" width="3" style="78" bestFit="1" customWidth="1"/>
    <col min="13074" max="13074" width="10.5703125" style="78" bestFit="1" customWidth="1"/>
    <col min="13075" max="13077" width="0" style="78" hidden="1" customWidth="1"/>
    <col min="13078" max="13306" width="9.140625" style="78"/>
    <col min="13307" max="13307" width="3" style="78" customWidth="1"/>
    <col min="13308" max="13308" width="18.7109375" style="78" customWidth="1"/>
    <col min="13309" max="13328" width="2.85546875" style="78" customWidth="1"/>
    <col min="13329" max="13329" width="3" style="78" bestFit="1" customWidth="1"/>
    <col min="13330" max="13330" width="10.5703125" style="78" bestFit="1" customWidth="1"/>
    <col min="13331" max="13333" width="0" style="78" hidden="1" customWidth="1"/>
    <col min="13334" max="13562" width="9.140625" style="78"/>
    <col min="13563" max="13563" width="3" style="78" customWidth="1"/>
    <col min="13564" max="13564" width="18.7109375" style="78" customWidth="1"/>
    <col min="13565" max="13584" width="2.85546875" style="78" customWidth="1"/>
    <col min="13585" max="13585" width="3" style="78" bestFit="1" customWidth="1"/>
    <col min="13586" max="13586" width="10.5703125" style="78" bestFit="1" customWidth="1"/>
    <col min="13587" max="13589" width="0" style="78" hidden="1" customWidth="1"/>
    <col min="13590" max="13818" width="9.140625" style="78"/>
    <col min="13819" max="13819" width="3" style="78" customWidth="1"/>
    <col min="13820" max="13820" width="18.7109375" style="78" customWidth="1"/>
    <col min="13821" max="13840" width="2.85546875" style="78" customWidth="1"/>
    <col min="13841" max="13841" width="3" style="78" bestFit="1" customWidth="1"/>
    <col min="13842" max="13842" width="10.5703125" style="78" bestFit="1" customWidth="1"/>
    <col min="13843" max="13845" width="0" style="78" hidden="1" customWidth="1"/>
    <col min="13846" max="14074" width="9.140625" style="78"/>
    <col min="14075" max="14075" width="3" style="78" customWidth="1"/>
    <col min="14076" max="14076" width="18.7109375" style="78" customWidth="1"/>
    <col min="14077" max="14096" width="2.85546875" style="78" customWidth="1"/>
    <col min="14097" max="14097" width="3" style="78" bestFit="1" customWidth="1"/>
    <col min="14098" max="14098" width="10.5703125" style="78" bestFit="1" customWidth="1"/>
    <col min="14099" max="14101" width="0" style="78" hidden="1" customWidth="1"/>
    <col min="14102" max="14330" width="9.140625" style="78"/>
    <col min="14331" max="14331" width="3" style="78" customWidth="1"/>
    <col min="14332" max="14332" width="18.7109375" style="78" customWidth="1"/>
    <col min="14333" max="14352" width="2.85546875" style="78" customWidth="1"/>
    <col min="14353" max="14353" width="3" style="78" bestFit="1" customWidth="1"/>
    <col min="14354" max="14354" width="10.5703125" style="78" bestFit="1" customWidth="1"/>
    <col min="14355" max="14357" width="0" style="78" hidden="1" customWidth="1"/>
    <col min="14358" max="14586" width="9.140625" style="78"/>
    <col min="14587" max="14587" width="3" style="78" customWidth="1"/>
    <col min="14588" max="14588" width="18.7109375" style="78" customWidth="1"/>
    <col min="14589" max="14608" width="2.85546875" style="78" customWidth="1"/>
    <col min="14609" max="14609" width="3" style="78" bestFit="1" customWidth="1"/>
    <col min="14610" max="14610" width="10.5703125" style="78" bestFit="1" customWidth="1"/>
    <col min="14611" max="14613" width="0" style="78" hidden="1" customWidth="1"/>
    <col min="14614" max="14842" width="9.140625" style="78"/>
    <col min="14843" max="14843" width="3" style="78" customWidth="1"/>
    <col min="14844" max="14844" width="18.7109375" style="78" customWidth="1"/>
    <col min="14845" max="14864" width="2.85546875" style="78" customWidth="1"/>
    <col min="14865" max="14865" width="3" style="78" bestFit="1" customWidth="1"/>
    <col min="14866" max="14866" width="10.5703125" style="78" bestFit="1" customWidth="1"/>
    <col min="14867" max="14869" width="0" style="78" hidden="1" customWidth="1"/>
    <col min="14870" max="15098" width="9.140625" style="78"/>
    <col min="15099" max="15099" width="3" style="78" customWidth="1"/>
    <col min="15100" max="15100" width="18.7109375" style="78" customWidth="1"/>
    <col min="15101" max="15120" width="2.85546875" style="78" customWidth="1"/>
    <col min="15121" max="15121" width="3" style="78" bestFit="1" customWidth="1"/>
    <col min="15122" max="15122" width="10.5703125" style="78" bestFit="1" customWidth="1"/>
    <col min="15123" max="15125" width="0" style="78" hidden="1" customWidth="1"/>
    <col min="15126" max="15354" width="9.140625" style="78"/>
    <col min="15355" max="15355" width="3" style="78" customWidth="1"/>
    <col min="15356" max="15356" width="18.7109375" style="78" customWidth="1"/>
    <col min="15357" max="15376" width="2.85546875" style="78" customWidth="1"/>
    <col min="15377" max="15377" width="3" style="78" bestFit="1" customWidth="1"/>
    <col min="15378" max="15378" width="10.5703125" style="78" bestFit="1" customWidth="1"/>
    <col min="15379" max="15381" width="0" style="78" hidden="1" customWidth="1"/>
    <col min="15382" max="15610" width="9.140625" style="78"/>
    <col min="15611" max="15611" width="3" style="78" customWidth="1"/>
    <col min="15612" max="15612" width="18.7109375" style="78" customWidth="1"/>
    <col min="15613" max="15632" width="2.85546875" style="78" customWidth="1"/>
    <col min="15633" max="15633" width="3" style="78" bestFit="1" customWidth="1"/>
    <col min="15634" max="15634" width="10.5703125" style="78" bestFit="1" customWidth="1"/>
    <col min="15635" max="15637" width="0" style="78" hidden="1" customWidth="1"/>
    <col min="15638" max="15866" width="9.140625" style="78"/>
    <col min="15867" max="15867" width="3" style="78" customWidth="1"/>
    <col min="15868" max="15868" width="18.7109375" style="78" customWidth="1"/>
    <col min="15869" max="15888" width="2.85546875" style="78" customWidth="1"/>
    <col min="15889" max="15889" width="3" style="78" bestFit="1" customWidth="1"/>
    <col min="15890" max="15890" width="10.5703125" style="78" bestFit="1" customWidth="1"/>
    <col min="15891" max="15893" width="0" style="78" hidden="1" customWidth="1"/>
    <col min="15894" max="16122" width="9.140625" style="78"/>
    <col min="16123" max="16123" width="3" style="78" customWidth="1"/>
    <col min="16124" max="16124" width="18.7109375" style="78" customWidth="1"/>
    <col min="16125" max="16144" width="2.85546875" style="78" customWidth="1"/>
    <col min="16145" max="16145" width="3" style="78" bestFit="1" customWidth="1"/>
    <col min="16146" max="16146" width="10.5703125" style="78" bestFit="1" customWidth="1"/>
    <col min="16147" max="16149" width="0" style="78" hidden="1" customWidth="1"/>
    <col min="16150" max="16384" width="9.140625" style="78"/>
  </cols>
  <sheetData>
    <row r="1" spans="1:25" s="74" customFormat="1" x14ac:dyDescent="0.2">
      <c r="A1" s="605" t="str">
        <f>UPPER((Kalend!E14)&amp;" - "&amp;(Kalend!C14)&amp;" - "&amp;(Kalend!D14))</f>
        <v>3M - 18. EESTI MV - TULISTAMINE</v>
      </c>
      <c r="B1" s="130"/>
      <c r="C1" s="130"/>
      <c r="D1" s="130"/>
      <c r="E1" s="130"/>
      <c r="I1" s="128" t="s">
        <v>166</v>
      </c>
      <c r="Q1" s="46" t="str">
        <f>HYPERLINK("#Üldreiting!I1","Reiting")</f>
        <v>Reiting</v>
      </c>
      <c r="R1" s="130"/>
      <c r="S1" s="130"/>
      <c r="T1" s="130"/>
      <c r="U1" s="130"/>
      <c r="V1" s="130"/>
    </row>
    <row r="2" spans="1:25" s="74" customFormat="1" x14ac:dyDescent="0.2">
      <c r="A2" s="67" t="str">
        <f>"Toimumisaeg: "&amp;(Kalend!A14)&amp;" kell "&amp;(Kalend!B14)</f>
        <v>Toimumisaeg: L, 30.06.2018 kell 10:00</v>
      </c>
      <c r="B2" s="130"/>
      <c r="C2" s="130"/>
      <c r="D2" s="130"/>
      <c r="E2" s="130"/>
      <c r="O2" s="130"/>
      <c r="P2" s="130"/>
      <c r="Q2" s="130"/>
      <c r="R2" s="130"/>
      <c r="S2" s="130"/>
      <c r="T2" s="130"/>
    </row>
    <row r="3" spans="1:25" s="74" customFormat="1" x14ac:dyDescent="0.2">
      <c r="A3" s="67" t="str">
        <f>"Toimumiskoht: "&amp;(Kalend!H14)</f>
        <v>Toimumiskoht: Tartu</v>
      </c>
      <c r="B3" s="130"/>
      <c r="C3" s="130"/>
      <c r="D3" s="130"/>
      <c r="E3" s="130"/>
      <c r="O3" s="130"/>
      <c r="P3" s="130"/>
      <c r="Q3" s="130"/>
      <c r="R3" s="130"/>
      <c r="S3" s="130"/>
      <c r="T3" s="130"/>
    </row>
    <row r="4" spans="1:25" s="74" customFormat="1" x14ac:dyDescent="0.2">
      <c r="A4" s="67" t="str">
        <f>"Korraldaja: "&amp;(Kalend!I14)</f>
        <v xml:space="preserve">Korraldaja: </v>
      </c>
      <c r="B4" s="130"/>
      <c r="C4" s="130"/>
      <c r="D4" s="130"/>
      <c r="E4" s="130"/>
      <c r="O4" s="130"/>
      <c r="P4" s="130"/>
      <c r="Q4" s="130"/>
      <c r="R4" s="130"/>
      <c r="S4" s="130"/>
      <c r="T4" s="130"/>
    </row>
    <row r="5" spans="1:25" s="74" customFormat="1" ht="13.5" thickBot="1" x14ac:dyDescent="0.25">
      <c r="A5" s="130"/>
      <c r="B5" s="130"/>
      <c r="C5" s="130"/>
      <c r="D5" s="130"/>
      <c r="E5" s="130"/>
      <c r="F5" s="130"/>
      <c r="G5" s="130"/>
      <c r="H5" s="130"/>
      <c r="I5" s="130"/>
      <c r="J5" s="130"/>
      <c r="K5" s="130"/>
    </row>
    <row r="6" spans="1:25" ht="58.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row>
    <row r="7" spans="1:25" s="79" customFormat="1" ht="13.5" thickBot="1" x14ac:dyDescent="0.25">
      <c r="A7" s="155"/>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160" t="s">
        <v>153</v>
      </c>
      <c r="X7" s="161" t="s">
        <v>219</v>
      </c>
      <c r="Y7" s="161" t="s">
        <v>564</v>
      </c>
    </row>
    <row r="8" spans="1:25" ht="13.5" thickBot="1" x14ac:dyDescent="0.25">
      <c r="A8" s="162"/>
      <c r="B8" s="163" t="s">
        <v>218</v>
      </c>
      <c r="C8" s="164"/>
      <c r="D8" s="165"/>
      <c r="E8" s="165"/>
      <c r="F8" s="166"/>
      <c r="G8" s="164"/>
      <c r="H8" s="165"/>
      <c r="I8" s="165"/>
      <c r="J8" s="166"/>
      <c r="K8" s="164"/>
      <c r="L8" s="165"/>
      <c r="M8" s="165"/>
      <c r="N8" s="166"/>
      <c r="O8" s="164"/>
      <c r="P8" s="165"/>
      <c r="Q8" s="165"/>
      <c r="R8" s="166"/>
      <c r="S8" s="164"/>
      <c r="T8" s="165"/>
      <c r="U8" s="165"/>
      <c r="V8" s="166"/>
      <c r="W8" s="162"/>
      <c r="X8" s="167"/>
      <c r="Y8" s="271"/>
    </row>
    <row r="9" spans="1:25" ht="14.25" thickTop="1" thickBot="1" x14ac:dyDescent="0.25">
      <c r="A9" s="106">
        <v>1</v>
      </c>
      <c r="B9" s="125" t="s">
        <v>54</v>
      </c>
      <c r="C9" s="98">
        <v>3</v>
      </c>
      <c r="D9" s="99">
        <v>3</v>
      </c>
      <c r="E9" s="99">
        <v>0</v>
      </c>
      <c r="F9" s="100">
        <v>3</v>
      </c>
      <c r="G9" s="98">
        <v>3</v>
      </c>
      <c r="H9" s="740">
        <v>5</v>
      </c>
      <c r="I9" s="99">
        <v>0</v>
      </c>
      <c r="J9" s="100">
        <v>0</v>
      </c>
      <c r="K9" s="98">
        <v>0</v>
      </c>
      <c r="L9" s="99">
        <v>0</v>
      </c>
      <c r="M9" s="99">
        <v>0</v>
      </c>
      <c r="N9" s="100">
        <v>0</v>
      </c>
      <c r="O9" s="98">
        <v>0</v>
      </c>
      <c r="P9" s="99">
        <v>0</v>
      </c>
      <c r="Q9" s="99">
        <v>0</v>
      </c>
      <c r="R9" s="100">
        <v>0</v>
      </c>
      <c r="S9" s="740">
        <v>5</v>
      </c>
      <c r="T9" s="99">
        <v>0</v>
      </c>
      <c r="U9" s="99">
        <v>0</v>
      </c>
      <c r="V9" s="740">
        <v>5</v>
      </c>
      <c r="W9" s="101">
        <f>IF(COUNTA(C9:V9)=0,"",SUM(C9:V9)+COUNTIF(C9:V9,5)/100+COUNTIF(C9:V9,3)/10000)</f>
        <v>27.0304</v>
      </c>
      <c r="X9" s="101" t="str">
        <f>IF(COUNTA(C9:V9)=0,"",IF(RANK(W9,$W$9:$W$24)&lt;3,"edasi "&amp;RANK(W9,$W$9:$W$24),IF(RANK(W9,$W$9:$W$24)&lt;7,"vahevooru "&amp;RANK(W9,$W$9:$W$24)-2,RANK(W9,$W$9:$W$24))))</f>
        <v>edasi 1</v>
      </c>
      <c r="Y9" s="90"/>
    </row>
    <row r="10" spans="1:25" ht="14.25" thickTop="1" thickBot="1" x14ac:dyDescent="0.25">
      <c r="A10" s="106">
        <v>2</v>
      </c>
      <c r="B10" s="123" t="s">
        <v>41</v>
      </c>
      <c r="C10" s="98">
        <v>0</v>
      </c>
      <c r="D10" s="99">
        <v>3</v>
      </c>
      <c r="E10" s="99">
        <v>0</v>
      </c>
      <c r="F10" s="100">
        <v>0</v>
      </c>
      <c r="G10" s="98">
        <v>0</v>
      </c>
      <c r="H10" s="99">
        <v>0</v>
      </c>
      <c r="I10" s="99">
        <v>3</v>
      </c>
      <c r="J10" s="100">
        <v>0</v>
      </c>
      <c r="K10" s="98">
        <v>1</v>
      </c>
      <c r="L10" s="99">
        <v>0</v>
      </c>
      <c r="M10" s="99">
        <v>0</v>
      </c>
      <c r="N10" s="100">
        <v>0</v>
      </c>
      <c r="O10" s="98">
        <v>0</v>
      </c>
      <c r="P10" s="99">
        <v>0</v>
      </c>
      <c r="Q10" s="99">
        <v>0</v>
      </c>
      <c r="R10" s="100">
        <v>0</v>
      </c>
      <c r="S10" s="740">
        <v>5</v>
      </c>
      <c r="T10" s="99">
        <v>3</v>
      </c>
      <c r="U10" s="99">
        <v>3</v>
      </c>
      <c r="V10" s="100">
        <v>0</v>
      </c>
      <c r="W10" s="101">
        <f t="shared" ref="W10:W24" si="0">IF(COUNTA(C10:V10)=0,"",SUM(C10:V10)+COUNTIF(C10:V10,5)/100+COUNTIF(C10:V10,3)/10000)</f>
        <v>18.010400000000001</v>
      </c>
      <c r="X10" s="101" t="str">
        <f t="shared" ref="X10:X24" si="1">IF(COUNTA(C10:V10)=0,"",IF(RANK(W10,$W$9:$W$24)&lt;3,"edasi "&amp;RANK(W10,$W$9:$W$24),IF(RANK(W10,$W$9:$W$24)&lt;7,"vahevooru "&amp;RANK(W10,$W$9:$W$24)-2,RANK(W10,$W$9:$W$24))))</f>
        <v>edasi 2</v>
      </c>
    </row>
    <row r="11" spans="1:25" ht="14.25" thickTop="1" thickBot="1" x14ac:dyDescent="0.25">
      <c r="A11" s="105">
        <v>3</v>
      </c>
      <c r="B11" s="121" t="s">
        <v>35</v>
      </c>
      <c r="C11" s="102">
        <v>0</v>
      </c>
      <c r="D11" s="741">
        <v>5</v>
      </c>
      <c r="E11" s="103">
        <v>0</v>
      </c>
      <c r="F11" s="104">
        <v>0</v>
      </c>
      <c r="G11" s="102">
        <v>0</v>
      </c>
      <c r="H11" s="103">
        <v>0</v>
      </c>
      <c r="I11" s="103">
        <v>0</v>
      </c>
      <c r="J11" s="104">
        <v>3</v>
      </c>
      <c r="K11" s="102">
        <v>0</v>
      </c>
      <c r="L11" s="103">
        <v>1</v>
      </c>
      <c r="M11" s="103">
        <v>3</v>
      </c>
      <c r="N11" s="104">
        <v>0</v>
      </c>
      <c r="O11" s="102">
        <v>0</v>
      </c>
      <c r="P11" s="103">
        <v>0</v>
      </c>
      <c r="Q11" s="103">
        <v>0</v>
      </c>
      <c r="R11" s="104">
        <v>0</v>
      </c>
      <c r="S11" s="102">
        <v>0</v>
      </c>
      <c r="T11" s="103">
        <v>0</v>
      </c>
      <c r="U11" s="103">
        <v>0</v>
      </c>
      <c r="V11" s="104">
        <v>0</v>
      </c>
      <c r="W11" s="86">
        <f t="shared" si="0"/>
        <v>12.010199999999999</v>
      </c>
      <c r="X11" s="86" t="str">
        <f t="shared" si="1"/>
        <v>vahevooru 1</v>
      </c>
      <c r="Y11" s="90"/>
    </row>
    <row r="12" spans="1:25" ht="13.5" thickTop="1" x14ac:dyDescent="0.2">
      <c r="A12" s="105">
        <v>4</v>
      </c>
      <c r="B12" s="763" t="s">
        <v>535</v>
      </c>
      <c r="C12" s="102">
        <v>0</v>
      </c>
      <c r="D12" s="103">
        <v>3</v>
      </c>
      <c r="E12" s="103">
        <v>0</v>
      </c>
      <c r="F12" s="104">
        <v>3</v>
      </c>
      <c r="G12" s="102">
        <v>0</v>
      </c>
      <c r="H12" s="103">
        <v>3</v>
      </c>
      <c r="I12" s="103">
        <v>0</v>
      </c>
      <c r="J12" s="104">
        <v>0</v>
      </c>
      <c r="K12" s="102">
        <v>0</v>
      </c>
      <c r="L12" s="103">
        <v>0</v>
      </c>
      <c r="M12" s="103">
        <v>0</v>
      </c>
      <c r="N12" s="104">
        <v>3</v>
      </c>
      <c r="O12" s="102">
        <v>0</v>
      </c>
      <c r="P12" s="103">
        <v>0</v>
      </c>
      <c r="Q12" s="103">
        <v>0</v>
      </c>
      <c r="R12" s="104">
        <v>0</v>
      </c>
      <c r="S12" s="102">
        <v>0</v>
      </c>
      <c r="T12" s="103">
        <v>0</v>
      </c>
      <c r="U12" s="103">
        <v>0</v>
      </c>
      <c r="V12" s="104">
        <v>0</v>
      </c>
      <c r="W12" s="86">
        <f t="shared" si="0"/>
        <v>12.000400000000001</v>
      </c>
      <c r="X12" s="86" t="str">
        <f t="shared" si="1"/>
        <v>vahevooru 2</v>
      </c>
    </row>
    <row r="13" spans="1:25" ht="13.5" thickBot="1" x14ac:dyDescent="0.25">
      <c r="A13" s="106">
        <v>5</v>
      </c>
      <c r="B13" s="123" t="s">
        <v>177</v>
      </c>
      <c r="C13" s="98">
        <v>0</v>
      </c>
      <c r="D13" s="99">
        <v>0</v>
      </c>
      <c r="E13" s="99">
        <v>0</v>
      </c>
      <c r="F13" s="100">
        <v>0</v>
      </c>
      <c r="G13" s="98">
        <v>0</v>
      </c>
      <c r="H13" s="99">
        <v>0</v>
      </c>
      <c r="I13" s="99">
        <v>0</v>
      </c>
      <c r="J13" s="100">
        <v>0</v>
      </c>
      <c r="K13" s="98">
        <v>0</v>
      </c>
      <c r="L13" s="99">
        <v>0</v>
      </c>
      <c r="M13" s="99">
        <v>0</v>
      </c>
      <c r="N13" s="100">
        <v>1</v>
      </c>
      <c r="O13" s="98">
        <v>3</v>
      </c>
      <c r="P13" s="99">
        <v>0</v>
      </c>
      <c r="Q13" s="99">
        <v>0</v>
      </c>
      <c r="R13" s="100">
        <v>0</v>
      </c>
      <c r="S13" s="98">
        <v>0</v>
      </c>
      <c r="T13" s="99">
        <v>0</v>
      </c>
      <c r="U13" s="99">
        <v>3</v>
      </c>
      <c r="V13" s="100">
        <v>0</v>
      </c>
      <c r="W13" s="101">
        <f t="shared" si="0"/>
        <v>7.0002000000000004</v>
      </c>
      <c r="X13" s="101" t="str">
        <f t="shared" si="1"/>
        <v>vahevooru 3</v>
      </c>
    </row>
    <row r="14" spans="1:25" ht="14.25" thickTop="1" thickBot="1" x14ac:dyDescent="0.25">
      <c r="A14" s="106">
        <v>6</v>
      </c>
      <c r="B14" s="125" t="s">
        <v>51</v>
      </c>
      <c r="C14" s="98">
        <v>0</v>
      </c>
      <c r="D14" s="99">
        <v>0</v>
      </c>
      <c r="E14" s="99">
        <v>0</v>
      </c>
      <c r="F14" s="100">
        <v>0</v>
      </c>
      <c r="G14" s="98">
        <v>0</v>
      </c>
      <c r="H14" s="99">
        <v>0</v>
      </c>
      <c r="I14" s="99">
        <v>0</v>
      </c>
      <c r="J14" s="100">
        <v>0</v>
      </c>
      <c r="K14" s="98">
        <v>0</v>
      </c>
      <c r="L14" s="99">
        <v>0</v>
      </c>
      <c r="M14" s="99">
        <v>0</v>
      </c>
      <c r="N14" s="100">
        <v>0</v>
      </c>
      <c r="O14" s="740">
        <v>5</v>
      </c>
      <c r="P14" s="99">
        <v>0</v>
      </c>
      <c r="Q14" s="99">
        <v>0</v>
      </c>
      <c r="R14" s="100">
        <v>0</v>
      </c>
      <c r="S14" s="98">
        <v>0</v>
      </c>
      <c r="T14" s="99">
        <v>0</v>
      </c>
      <c r="U14" s="99">
        <v>0</v>
      </c>
      <c r="V14" s="100">
        <v>0</v>
      </c>
      <c r="W14" s="101">
        <f t="shared" si="0"/>
        <v>5.01</v>
      </c>
      <c r="X14" s="101" t="str">
        <f t="shared" si="1"/>
        <v>vahevooru 4</v>
      </c>
    </row>
    <row r="15" spans="1:25" ht="13.5" thickTop="1" x14ac:dyDescent="0.2">
      <c r="A15" s="105">
        <v>7</v>
      </c>
      <c r="B15" s="124" t="s">
        <v>204</v>
      </c>
      <c r="C15" s="102">
        <v>0</v>
      </c>
      <c r="D15" s="103">
        <v>0</v>
      </c>
      <c r="E15" s="103">
        <v>0</v>
      </c>
      <c r="F15" s="104">
        <v>0</v>
      </c>
      <c r="G15" s="102">
        <v>0</v>
      </c>
      <c r="H15" s="103">
        <v>0</v>
      </c>
      <c r="I15" s="103">
        <v>0</v>
      </c>
      <c r="J15" s="104">
        <v>1</v>
      </c>
      <c r="K15" s="102">
        <v>1</v>
      </c>
      <c r="L15" s="103">
        <v>0</v>
      </c>
      <c r="M15" s="103">
        <v>0</v>
      </c>
      <c r="N15" s="104">
        <v>0</v>
      </c>
      <c r="O15" s="102">
        <v>0</v>
      </c>
      <c r="P15" s="103">
        <v>0</v>
      </c>
      <c r="Q15" s="103">
        <v>0</v>
      </c>
      <c r="R15" s="104">
        <v>0</v>
      </c>
      <c r="S15" s="102">
        <v>0</v>
      </c>
      <c r="T15" s="103">
        <v>0</v>
      </c>
      <c r="U15" s="103">
        <v>0</v>
      </c>
      <c r="V15" s="104">
        <v>0</v>
      </c>
      <c r="W15" s="86">
        <f t="shared" si="0"/>
        <v>2</v>
      </c>
      <c r="X15" s="86">
        <f t="shared" si="1"/>
        <v>7</v>
      </c>
    </row>
    <row r="16" spans="1:25" ht="13.5" thickBot="1" x14ac:dyDescent="0.25">
      <c r="A16" s="105">
        <v>8</v>
      </c>
      <c r="B16" s="124" t="s">
        <v>724</v>
      </c>
      <c r="C16" s="102">
        <v>0</v>
      </c>
      <c r="D16" s="103">
        <v>0</v>
      </c>
      <c r="E16" s="103">
        <v>0</v>
      </c>
      <c r="F16" s="104">
        <v>0</v>
      </c>
      <c r="G16" s="102">
        <v>0</v>
      </c>
      <c r="H16" s="103">
        <v>0</v>
      </c>
      <c r="I16" s="103">
        <v>0</v>
      </c>
      <c r="J16" s="104">
        <v>0</v>
      </c>
      <c r="K16" s="102">
        <v>0</v>
      </c>
      <c r="L16" s="103">
        <v>0</v>
      </c>
      <c r="M16" s="103">
        <v>0</v>
      </c>
      <c r="N16" s="104">
        <v>0</v>
      </c>
      <c r="O16" s="102">
        <v>0</v>
      </c>
      <c r="P16" s="103">
        <v>0</v>
      </c>
      <c r="Q16" s="103">
        <v>0</v>
      </c>
      <c r="R16" s="104">
        <v>0</v>
      </c>
      <c r="S16" s="102">
        <v>0</v>
      </c>
      <c r="T16" s="103">
        <v>0</v>
      </c>
      <c r="U16" s="103">
        <v>0</v>
      </c>
      <c r="V16" s="104">
        <v>0</v>
      </c>
      <c r="W16" s="86">
        <f t="shared" si="0"/>
        <v>0</v>
      </c>
      <c r="X16" s="86">
        <f t="shared" si="1"/>
        <v>8</v>
      </c>
      <c r="Y16" s="90"/>
    </row>
    <row r="17" spans="1:25" ht="13.5" hidden="1" thickBot="1" x14ac:dyDescent="0.25">
      <c r="A17" s="106">
        <v>9</v>
      </c>
      <c r="B17" s="125"/>
      <c r="C17" s="98"/>
      <c r="D17" s="99"/>
      <c r="E17" s="99"/>
      <c r="F17" s="100"/>
      <c r="G17" s="98"/>
      <c r="H17" s="99"/>
      <c r="I17" s="99"/>
      <c r="J17" s="100"/>
      <c r="K17" s="98"/>
      <c r="L17" s="99"/>
      <c r="M17" s="99"/>
      <c r="N17" s="100"/>
      <c r="O17" s="98"/>
      <c r="P17" s="99"/>
      <c r="Q17" s="99"/>
      <c r="R17" s="100"/>
      <c r="S17" s="98"/>
      <c r="T17" s="99"/>
      <c r="U17" s="99"/>
      <c r="V17" s="100"/>
      <c r="W17" s="101" t="str">
        <f t="shared" si="0"/>
        <v/>
      </c>
      <c r="X17" s="101" t="str">
        <f t="shared" si="1"/>
        <v/>
      </c>
      <c r="Y17" s="90"/>
    </row>
    <row r="18" spans="1:25" ht="13.5" hidden="1" thickBot="1" x14ac:dyDescent="0.25">
      <c r="A18" s="106">
        <v>10</v>
      </c>
      <c r="B18" s="123"/>
      <c r="C18" s="98"/>
      <c r="D18" s="99"/>
      <c r="E18" s="99"/>
      <c r="F18" s="100"/>
      <c r="G18" s="98"/>
      <c r="H18" s="99"/>
      <c r="I18" s="99"/>
      <c r="J18" s="100"/>
      <c r="K18" s="98"/>
      <c r="L18" s="99"/>
      <c r="M18" s="99"/>
      <c r="N18" s="100"/>
      <c r="O18" s="98"/>
      <c r="P18" s="99"/>
      <c r="Q18" s="99"/>
      <c r="R18" s="100"/>
      <c r="S18" s="98"/>
      <c r="T18" s="99"/>
      <c r="U18" s="99"/>
      <c r="V18" s="100"/>
      <c r="W18" s="101" t="str">
        <f t="shared" si="0"/>
        <v/>
      </c>
      <c r="X18" s="101" t="str">
        <f t="shared" si="1"/>
        <v/>
      </c>
      <c r="Y18" s="90"/>
    </row>
    <row r="19" spans="1:25" ht="13.5" hidden="1" thickBot="1" x14ac:dyDescent="0.25">
      <c r="A19" s="105">
        <v>11</v>
      </c>
      <c r="B19" s="121"/>
      <c r="C19" s="102"/>
      <c r="D19" s="103"/>
      <c r="E19" s="103"/>
      <c r="F19" s="104"/>
      <c r="G19" s="102"/>
      <c r="H19" s="103"/>
      <c r="I19" s="103"/>
      <c r="J19" s="104"/>
      <c r="K19" s="102"/>
      <c r="L19" s="103"/>
      <c r="M19" s="103"/>
      <c r="N19" s="104"/>
      <c r="O19" s="102"/>
      <c r="P19" s="103"/>
      <c r="Q19" s="103"/>
      <c r="R19" s="104"/>
      <c r="S19" s="102"/>
      <c r="T19" s="103"/>
      <c r="U19" s="103"/>
      <c r="V19" s="104"/>
      <c r="W19" s="86" t="str">
        <f t="shared" si="0"/>
        <v/>
      </c>
      <c r="X19" s="86" t="str">
        <f t="shared" si="1"/>
        <v/>
      </c>
    </row>
    <row r="20" spans="1:25" ht="13.5" hidden="1" thickBot="1" x14ac:dyDescent="0.25">
      <c r="A20" s="105">
        <v>12</v>
      </c>
      <c r="B20" s="126"/>
      <c r="C20" s="102"/>
      <c r="D20" s="103"/>
      <c r="E20" s="103"/>
      <c r="F20" s="104"/>
      <c r="G20" s="102"/>
      <c r="H20" s="103"/>
      <c r="I20" s="103"/>
      <c r="J20" s="104"/>
      <c r="K20" s="102"/>
      <c r="L20" s="103"/>
      <c r="M20" s="103"/>
      <c r="N20" s="104"/>
      <c r="O20" s="102"/>
      <c r="P20" s="103"/>
      <c r="Q20" s="103"/>
      <c r="R20" s="104"/>
      <c r="S20" s="102"/>
      <c r="T20" s="103"/>
      <c r="U20" s="103"/>
      <c r="V20" s="104"/>
      <c r="W20" s="86" t="str">
        <f t="shared" si="0"/>
        <v/>
      </c>
      <c r="X20" s="86" t="str">
        <f t="shared" si="1"/>
        <v/>
      </c>
      <c r="Y20" s="90"/>
    </row>
    <row r="21" spans="1:25" ht="13.5" hidden="1" thickBot="1" x14ac:dyDescent="0.25">
      <c r="A21" s="106">
        <v>13</v>
      </c>
      <c r="B21" s="125"/>
      <c r="C21" s="98"/>
      <c r="D21" s="99"/>
      <c r="E21" s="99"/>
      <c r="F21" s="100"/>
      <c r="G21" s="98"/>
      <c r="H21" s="99"/>
      <c r="I21" s="99"/>
      <c r="J21" s="100"/>
      <c r="K21" s="98"/>
      <c r="L21" s="99"/>
      <c r="M21" s="99"/>
      <c r="N21" s="100"/>
      <c r="O21" s="98"/>
      <c r="P21" s="99"/>
      <c r="Q21" s="99"/>
      <c r="R21" s="100"/>
      <c r="S21" s="98"/>
      <c r="T21" s="99"/>
      <c r="U21" s="99"/>
      <c r="V21" s="100"/>
      <c r="W21" s="101" t="str">
        <f t="shared" si="0"/>
        <v/>
      </c>
      <c r="X21" s="101" t="str">
        <f t="shared" si="1"/>
        <v/>
      </c>
    </row>
    <row r="22" spans="1:25" ht="13.5" hidden="1" thickBot="1" x14ac:dyDescent="0.25">
      <c r="A22" s="106">
        <v>14</v>
      </c>
      <c r="B22" s="123"/>
      <c r="C22" s="98"/>
      <c r="D22" s="99"/>
      <c r="E22" s="99"/>
      <c r="F22" s="100"/>
      <c r="G22" s="98"/>
      <c r="H22" s="99"/>
      <c r="I22" s="99"/>
      <c r="J22" s="100"/>
      <c r="K22" s="98"/>
      <c r="L22" s="99"/>
      <c r="M22" s="99"/>
      <c r="N22" s="100"/>
      <c r="O22" s="98"/>
      <c r="P22" s="99"/>
      <c r="Q22" s="99"/>
      <c r="R22" s="100"/>
      <c r="S22" s="98"/>
      <c r="T22" s="99"/>
      <c r="U22" s="99"/>
      <c r="V22" s="100"/>
      <c r="W22" s="101" t="str">
        <f t="shared" si="0"/>
        <v/>
      </c>
      <c r="X22" s="101" t="str">
        <f t="shared" si="1"/>
        <v/>
      </c>
    </row>
    <row r="23" spans="1:25" ht="13.5" hidden="1" thickBot="1" x14ac:dyDescent="0.25">
      <c r="A23" s="105">
        <v>15</v>
      </c>
      <c r="B23" s="121"/>
      <c r="C23" s="102"/>
      <c r="D23" s="103"/>
      <c r="E23" s="103"/>
      <c r="F23" s="104"/>
      <c r="G23" s="102"/>
      <c r="H23" s="103"/>
      <c r="I23" s="103"/>
      <c r="J23" s="104"/>
      <c r="K23" s="102"/>
      <c r="L23" s="103"/>
      <c r="M23" s="103"/>
      <c r="N23" s="104"/>
      <c r="O23" s="102"/>
      <c r="P23" s="103"/>
      <c r="Q23" s="103"/>
      <c r="R23" s="104"/>
      <c r="S23" s="102"/>
      <c r="T23" s="103"/>
      <c r="U23" s="103"/>
      <c r="V23" s="104"/>
      <c r="W23" s="86" t="str">
        <f t="shared" si="0"/>
        <v/>
      </c>
      <c r="X23" s="86" t="str">
        <f t="shared" si="1"/>
        <v/>
      </c>
      <c r="Y23" s="90"/>
    </row>
    <row r="24" spans="1:25" ht="13.5" hidden="1" thickBot="1" x14ac:dyDescent="0.25">
      <c r="A24" s="105">
        <v>16</v>
      </c>
      <c r="B24" s="126"/>
      <c r="C24" s="102"/>
      <c r="D24" s="103"/>
      <c r="E24" s="103"/>
      <c r="F24" s="104"/>
      <c r="G24" s="102"/>
      <c r="H24" s="103"/>
      <c r="I24" s="103"/>
      <c r="J24" s="104"/>
      <c r="K24" s="102"/>
      <c r="L24" s="103"/>
      <c r="M24" s="103"/>
      <c r="N24" s="104"/>
      <c r="O24" s="102"/>
      <c r="P24" s="103"/>
      <c r="Q24" s="103"/>
      <c r="R24" s="104"/>
      <c r="S24" s="102"/>
      <c r="T24" s="103"/>
      <c r="U24" s="103"/>
      <c r="V24" s="104"/>
      <c r="W24" s="86" t="str">
        <f t="shared" si="0"/>
        <v/>
      </c>
      <c r="X24" s="86" t="str">
        <f t="shared" si="1"/>
        <v/>
      </c>
      <c r="Y24" s="739"/>
    </row>
    <row r="25" spans="1:25" ht="13.5" thickBot="1" x14ac:dyDescent="0.25">
      <c r="A25" s="105"/>
      <c r="B25" s="109" t="s">
        <v>217</v>
      </c>
      <c r="C25" s="80"/>
      <c r="D25" s="81"/>
      <c r="E25" s="81"/>
      <c r="F25" s="82"/>
      <c r="G25" s="80"/>
      <c r="H25" s="81"/>
      <c r="I25" s="81"/>
      <c r="J25" s="82"/>
      <c r="K25" s="80"/>
      <c r="L25" s="81"/>
      <c r="M25" s="81"/>
      <c r="N25" s="82"/>
      <c r="O25" s="80"/>
      <c r="P25" s="81"/>
      <c r="Q25" s="81"/>
      <c r="R25" s="82"/>
      <c r="S25" s="80"/>
      <c r="T25" s="81"/>
      <c r="U25" s="81"/>
      <c r="V25" s="82"/>
      <c r="W25" s="105"/>
      <c r="X25" s="744"/>
      <c r="Y25" s="313" t="s">
        <v>564</v>
      </c>
    </row>
    <row r="26" spans="1:25" ht="14.25" thickTop="1" thickBot="1" x14ac:dyDescent="0.25">
      <c r="A26" s="106">
        <v>1</v>
      </c>
      <c r="B26" s="330" t="str">
        <f>IFERROR(INDEX(B$9:B$24,MATCH("vahevooru "&amp;A26,X$9:X$24,0)),"")</f>
        <v>Mare Kingissepp</v>
      </c>
      <c r="C26" s="98">
        <v>1</v>
      </c>
      <c r="D26" s="99">
        <v>3</v>
      </c>
      <c r="E26" s="99">
        <v>0</v>
      </c>
      <c r="F26" s="100">
        <v>0</v>
      </c>
      <c r="G26" s="740">
        <v>5</v>
      </c>
      <c r="H26" s="99">
        <v>0</v>
      </c>
      <c r="I26" s="99">
        <v>3</v>
      </c>
      <c r="J26" s="100">
        <v>0</v>
      </c>
      <c r="K26" s="98">
        <v>1</v>
      </c>
      <c r="L26" s="99">
        <v>0</v>
      </c>
      <c r="M26" s="99">
        <v>0</v>
      </c>
      <c r="N26" s="100">
        <v>0</v>
      </c>
      <c r="O26" s="740">
        <v>5</v>
      </c>
      <c r="P26" s="99">
        <v>0</v>
      </c>
      <c r="Q26" s="99">
        <v>0</v>
      </c>
      <c r="R26" s="100">
        <v>0</v>
      </c>
      <c r="S26" s="98">
        <v>0</v>
      </c>
      <c r="T26" s="99">
        <v>0</v>
      </c>
      <c r="U26" s="740">
        <v>5</v>
      </c>
      <c r="V26" s="100">
        <v>0</v>
      </c>
      <c r="W26" s="742">
        <f>IF(COUNTA(C26:V26)=0,"",SUM(C26:V26)+COUNTIF(C26:V26,5)/100+COUNTIF(C26:V26,3)/10000)</f>
        <v>23.030200000000001</v>
      </c>
      <c r="X26" s="276" t="str">
        <f>IF(RANK(Y26,$Y$26:$Y$29)&lt;3,"edasi "&amp;RANK(Y26,$Y$26:$Y$29)+2,RANK(Y26,$Y$26:$Y$29)+2)</f>
        <v>edasi 3</v>
      </c>
      <c r="Y26" s="320">
        <f>W26+IFERROR(INDEX(W$9:W$24,MATCH(B26,B$9:B$24,0)),0)</f>
        <v>35.040399999999998</v>
      </c>
    </row>
    <row r="27" spans="1:25" ht="14.25" thickTop="1" thickBot="1" x14ac:dyDescent="0.25">
      <c r="A27" s="106">
        <v>2</v>
      </c>
      <c r="B27" s="746" t="str">
        <f t="shared" ref="B27:B29" si="2">IFERROR(INDEX(B$9:B$24,MATCH("vahevooru "&amp;A27,X$9:X$24,0)),"")</f>
        <v>Kertu Palm</v>
      </c>
      <c r="C27" s="98">
        <v>1</v>
      </c>
      <c r="D27" s="740">
        <v>5</v>
      </c>
      <c r="E27" s="99">
        <v>0</v>
      </c>
      <c r="F27" s="100">
        <v>0</v>
      </c>
      <c r="G27" s="98">
        <v>0</v>
      </c>
      <c r="H27" s="99">
        <v>0</v>
      </c>
      <c r="I27" s="99">
        <v>0</v>
      </c>
      <c r="J27" s="100">
        <v>0</v>
      </c>
      <c r="K27" s="98">
        <v>1</v>
      </c>
      <c r="L27" s="99">
        <v>0</v>
      </c>
      <c r="M27" s="99">
        <v>0</v>
      </c>
      <c r="N27" s="100">
        <v>0</v>
      </c>
      <c r="O27" s="98">
        <v>0</v>
      </c>
      <c r="P27" s="99">
        <v>0</v>
      </c>
      <c r="Q27" s="99">
        <v>0</v>
      </c>
      <c r="R27" s="100">
        <v>0</v>
      </c>
      <c r="S27" s="98">
        <v>0</v>
      </c>
      <c r="T27" s="99">
        <v>0</v>
      </c>
      <c r="U27" s="99">
        <v>0</v>
      </c>
      <c r="V27" s="100">
        <v>0</v>
      </c>
      <c r="W27" s="742">
        <f t="shared" ref="W27:W29" si="3">IF(COUNTA(C27:V27)=0,"",SUM(C27:V27)+COUNTIF(C27:V27,5)/100+COUNTIF(C27:V27,3)/10000)</f>
        <v>7.01</v>
      </c>
      <c r="X27" s="276" t="str">
        <f>IF(RANK(Y27,$Y$26:$Y$29)&lt;3,"edasi "&amp;RANK(Y27,$Y$26:$Y$29)+2,RANK(Y27,$Y$26:$Y$29)+2)</f>
        <v>edasi 4</v>
      </c>
      <c r="Y27" s="320">
        <f t="shared" ref="Y27:Y29" si="4">W27+IFERROR(INDEX(W$9:W$24,MATCH(B27,B$9:B$24,0)),0)</f>
        <v>19.010400000000001</v>
      </c>
    </row>
    <row r="28" spans="1:25" ht="13.5" thickTop="1" x14ac:dyDescent="0.2">
      <c r="A28" s="105">
        <v>3</v>
      </c>
      <c r="B28" s="383" t="str">
        <f t="shared" si="2"/>
        <v>Maris Rõõm</v>
      </c>
      <c r="C28" s="102">
        <v>3</v>
      </c>
      <c r="D28" s="103">
        <v>0</v>
      </c>
      <c r="E28" s="103">
        <v>0</v>
      </c>
      <c r="F28" s="104">
        <v>0</v>
      </c>
      <c r="G28" s="102">
        <v>0</v>
      </c>
      <c r="H28" s="103">
        <v>0</v>
      </c>
      <c r="I28" s="103">
        <v>0</v>
      </c>
      <c r="J28" s="104">
        <v>3</v>
      </c>
      <c r="K28" s="102">
        <v>3</v>
      </c>
      <c r="L28" s="103">
        <v>0</v>
      </c>
      <c r="M28" s="103">
        <v>0</v>
      </c>
      <c r="N28" s="104">
        <v>0</v>
      </c>
      <c r="O28" s="102">
        <v>0</v>
      </c>
      <c r="P28" s="103">
        <v>3</v>
      </c>
      <c r="Q28" s="103">
        <v>0</v>
      </c>
      <c r="R28" s="104">
        <v>0</v>
      </c>
      <c r="S28" s="102">
        <v>0</v>
      </c>
      <c r="T28" s="103">
        <v>0</v>
      </c>
      <c r="U28" s="103">
        <v>0</v>
      </c>
      <c r="V28" s="104">
        <v>0</v>
      </c>
      <c r="W28" s="743">
        <f t="shared" si="3"/>
        <v>12.000400000000001</v>
      </c>
      <c r="X28" s="276">
        <f>IF(RANK(Y28,$Y$26:$Y$29)&lt;3,"edasi "&amp;RANK(Y28,$Y$26:$Y$29)+2,RANK(Y28,$Y$26:$Y$29)+2)</f>
        <v>5</v>
      </c>
      <c r="Y28" s="320">
        <f t="shared" si="4"/>
        <v>19.000600000000002</v>
      </c>
    </row>
    <row r="29" spans="1:25" x14ac:dyDescent="0.2">
      <c r="A29" s="105">
        <v>4</v>
      </c>
      <c r="B29" s="383" t="str">
        <f t="shared" si="2"/>
        <v>Marge Mägi</v>
      </c>
      <c r="C29" s="102">
        <v>0</v>
      </c>
      <c r="D29" s="103">
        <v>0</v>
      </c>
      <c r="E29" s="103">
        <v>0</v>
      </c>
      <c r="F29" s="104">
        <v>0</v>
      </c>
      <c r="G29" s="102">
        <v>0</v>
      </c>
      <c r="H29" s="103">
        <v>0</v>
      </c>
      <c r="I29" s="103">
        <v>0</v>
      </c>
      <c r="J29" s="104">
        <v>1</v>
      </c>
      <c r="K29" s="102">
        <v>1</v>
      </c>
      <c r="L29" s="103">
        <v>0</v>
      </c>
      <c r="M29" s="103">
        <v>0</v>
      </c>
      <c r="N29" s="104">
        <v>0</v>
      </c>
      <c r="O29" s="102">
        <v>1</v>
      </c>
      <c r="P29" s="103">
        <v>0</v>
      </c>
      <c r="Q29" s="103">
        <v>0</v>
      </c>
      <c r="R29" s="104">
        <v>0</v>
      </c>
      <c r="S29" s="102">
        <v>0</v>
      </c>
      <c r="T29" s="103">
        <v>0</v>
      </c>
      <c r="U29" s="103">
        <v>0</v>
      </c>
      <c r="V29" s="104">
        <v>0</v>
      </c>
      <c r="W29" s="743">
        <f t="shared" si="3"/>
        <v>3</v>
      </c>
      <c r="X29" s="276">
        <f>IF(RANK(Y29,$Y$26:$Y$29)&lt;3,"edasi "&amp;RANK(Y29,$Y$26:$Y$29)+2,RANK(Y29,$Y$26:$Y$29)+2)</f>
        <v>6</v>
      </c>
      <c r="Y29" s="320">
        <f t="shared" si="4"/>
        <v>8.01</v>
      </c>
    </row>
    <row r="30" spans="1:25" ht="13.5" thickBot="1" x14ac:dyDescent="0.25">
      <c r="A30" s="108"/>
      <c r="B30" s="109" t="s">
        <v>214</v>
      </c>
      <c r="C30" s="80"/>
      <c r="D30" s="81"/>
      <c r="E30" s="81"/>
      <c r="F30" s="82"/>
      <c r="G30" s="80"/>
      <c r="H30" s="81"/>
      <c r="I30" s="81"/>
      <c r="J30" s="82"/>
      <c r="K30" s="80"/>
      <c r="L30" s="81"/>
      <c r="M30" s="81"/>
      <c r="N30" s="82"/>
      <c r="O30" s="80"/>
      <c r="P30" s="81"/>
      <c r="Q30" s="81"/>
      <c r="R30" s="82"/>
      <c r="S30" s="80"/>
      <c r="T30" s="81"/>
      <c r="U30" s="81"/>
      <c r="V30" s="82"/>
      <c r="W30" s="83"/>
      <c r="X30" s="745"/>
    </row>
    <row r="31" spans="1:25" ht="14.25" thickTop="1" thickBot="1" x14ac:dyDescent="0.25">
      <c r="A31" s="168">
        <v>1</v>
      </c>
      <c r="B31" s="746" t="str">
        <f>IFERROR(INDEX(B$9:B$29,MATCH("edasi "&amp;A31,X$9:X$29,0)),"")</f>
        <v>Varje Reede</v>
      </c>
      <c r="C31" s="762">
        <v>5</v>
      </c>
      <c r="D31" s="170">
        <v>1</v>
      </c>
      <c r="E31" s="170">
        <v>3</v>
      </c>
      <c r="F31" s="171">
        <v>0</v>
      </c>
      <c r="G31" s="169">
        <v>3</v>
      </c>
      <c r="H31" s="170">
        <v>0</v>
      </c>
      <c r="I31" s="170">
        <v>0</v>
      </c>
      <c r="J31" s="171">
        <v>0</v>
      </c>
      <c r="K31" s="169">
        <v>0</v>
      </c>
      <c r="L31" s="170">
        <v>1</v>
      </c>
      <c r="M31" s="170">
        <v>3</v>
      </c>
      <c r="N31" s="171">
        <v>0</v>
      </c>
      <c r="O31" s="169">
        <v>0</v>
      </c>
      <c r="P31" s="170">
        <v>1</v>
      </c>
      <c r="Q31" s="170">
        <v>0</v>
      </c>
      <c r="R31" s="171">
        <v>0</v>
      </c>
      <c r="S31" s="169">
        <v>0</v>
      </c>
      <c r="T31" s="170">
        <v>0</v>
      </c>
      <c r="U31" s="170">
        <v>0</v>
      </c>
      <c r="V31" s="171">
        <v>0</v>
      </c>
      <c r="W31" s="101">
        <f>SUM(C31:V31)</f>
        <v>17</v>
      </c>
      <c r="X31" s="172" t="str">
        <f>IF(COUNTA(C31:V31)=0,"",IF(W31=W32,"ümbervisk",IF(W31&gt;W32,"finaali "&amp;(IF(W31&lt;MAX(W33:W34),2,IF(W31=MAX(W33:W34),"",1))),"pronksi "&amp;(IF(W31&lt;MIN(W33:W34),2,IF(W31=MIN(W33:W34),"",1))))))</f>
        <v>finaali 1</v>
      </c>
    </row>
    <row r="32" spans="1:25" ht="14.25" thickTop="1" thickBot="1" x14ac:dyDescent="0.25">
      <c r="A32" s="168">
        <v>4</v>
      </c>
      <c r="B32" s="330" t="str">
        <f>IFERROR(INDEX(B$9:B$29,MATCH("edasi "&amp;A32,X$9:X$29,0)),"")</f>
        <v>Kertu Palm</v>
      </c>
      <c r="C32" s="169">
        <v>3</v>
      </c>
      <c r="D32" s="170">
        <v>0</v>
      </c>
      <c r="E32" s="170">
        <v>0</v>
      </c>
      <c r="F32" s="171">
        <v>0</v>
      </c>
      <c r="G32" s="169">
        <v>0</v>
      </c>
      <c r="H32" s="170">
        <v>0</v>
      </c>
      <c r="I32" s="170">
        <v>0</v>
      </c>
      <c r="J32" s="171">
        <v>0</v>
      </c>
      <c r="K32" s="169">
        <v>0</v>
      </c>
      <c r="L32" s="170">
        <v>0</v>
      </c>
      <c r="M32" s="170">
        <v>1</v>
      </c>
      <c r="N32" s="171">
        <v>1</v>
      </c>
      <c r="O32" s="169">
        <v>0</v>
      </c>
      <c r="P32" s="170">
        <v>0</v>
      </c>
      <c r="Q32" s="170">
        <v>0</v>
      </c>
      <c r="R32" s="171">
        <v>0</v>
      </c>
      <c r="S32" s="169">
        <v>0</v>
      </c>
      <c r="T32" s="170">
        <v>0</v>
      </c>
      <c r="U32" s="170">
        <v>0</v>
      </c>
      <c r="V32" s="171">
        <v>0</v>
      </c>
      <c r="W32" s="101">
        <f>SUM(C32:V32)</f>
        <v>5</v>
      </c>
      <c r="X32" s="172" t="str">
        <f>IF(COUNTA(C32:V32)=0,"",IF(W31=W32,"ümbervisk",IF(W32&gt;W31,"finaali "&amp;(IF(W32&lt;MAX(W33:W34),2,IF(W32=MAX(W33:W34),"",1))),"pronksi "&amp;(IF(W32&lt;MIN(W33:W34),2,IF(W32=MIN(W33:W34),"",1))))))</f>
        <v>pronksi 2</v>
      </c>
    </row>
    <row r="33" spans="1:24" ht="14.25" thickTop="1" thickBot="1" x14ac:dyDescent="0.25">
      <c r="A33" s="108">
        <v>2</v>
      </c>
      <c r="B33" s="383" t="str">
        <f>IFERROR(INDEX(B$9:B$29,MATCH("edasi "&amp;A33,X$9:X$29,0)),"")</f>
        <v>Kadri Arunurm</v>
      </c>
      <c r="C33" s="80">
        <v>0</v>
      </c>
      <c r="D33" s="81">
        <v>0</v>
      </c>
      <c r="E33" s="730">
        <v>5</v>
      </c>
      <c r="F33" s="82">
        <v>0</v>
      </c>
      <c r="G33" s="80">
        <v>0</v>
      </c>
      <c r="H33" s="81">
        <v>0</v>
      </c>
      <c r="I33" s="81">
        <v>0</v>
      </c>
      <c r="J33" s="82">
        <v>0</v>
      </c>
      <c r="K33" s="80">
        <v>3</v>
      </c>
      <c r="L33" s="81">
        <v>0</v>
      </c>
      <c r="M33" s="81">
        <v>0</v>
      </c>
      <c r="N33" s="82">
        <v>0</v>
      </c>
      <c r="O33" s="80">
        <v>0</v>
      </c>
      <c r="P33" s="81">
        <v>0</v>
      </c>
      <c r="Q33" s="81">
        <v>0</v>
      </c>
      <c r="R33" s="82">
        <v>0</v>
      </c>
      <c r="S33" s="80">
        <v>0</v>
      </c>
      <c r="T33" s="730">
        <v>5</v>
      </c>
      <c r="U33" s="81">
        <v>0</v>
      </c>
      <c r="V33" s="82">
        <v>0</v>
      </c>
      <c r="W33" s="86">
        <f>SUM(C33:V33)</f>
        <v>13</v>
      </c>
      <c r="X33" s="83" t="str">
        <f>IF(COUNTA(C33:V33)=0,"",IF(W33=W34,"ümbervisk",IF(W33&gt;W34,"finaali "&amp;(IF(W33&lt;MAX(W31:W32),2,IF(W33=MAX(W31:W32),"",1))),"pronksi "&amp;(IF(W33&lt;MIN(W31:W32),2,IF(W33=MIN(W31:W32),"",1))))))</f>
        <v>finaali 2</v>
      </c>
    </row>
    <row r="34" spans="1:24" ht="14.25" thickTop="1" thickBot="1" x14ac:dyDescent="0.25">
      <c r="A34" s="754">
        <v>3</v>
      </c>
      <c r="B34" s="755" t="str">
        <f>IFERROR(INDEX(B$9:B$29,MATCH("edasi "&amp;A34,X$9:X$29,0)),"")</f>
        <v>Mare Kingissepp</v>
      </c>
      <c r="C34" s="726">
        <v>3</v>
      </c>
      <c r="D34" s="723">
        <v>0</v>
      </c>
      <c r="E34" s="723">
        <v>0</v>
      </c>
      <c r="F34" s="720">
        <v>0</v>
      </c>
      <c r="G34" s="726">
        <v>0</v>
      </c>
      <c r="H34" s="723">
        <v>0</v>
      </c>
      <c r="I34" s="723">
        <v>3</v>
      </c>
      <c r="J34" s="720">
        <v>0</v>
      </c>
      <c r="K34" s="726">
        <v>0</v>
      </c>
      <c r="L34" s="723">
        <v>0</v>
      </c>
      <c r="M34" s="723">
        <v>0</v>
      </c>
      <c r="N34" s="720">
        <v>0</v>
      </c>
      <c r="O34" s="726">
        <v>0</v>
      </c>
      <c r="P34" s="723">
        <v>0</v>
      </c>
      <c r="Q34" s="723">
        <v>0</v>
      </c>
      <c r="R34" s="720">
        <v>0</v>
      </c>
      <c r="S34" s="730">
        <v>5</v>
      </c>
      <c r="T34" s="723">
        <v>0</v>
      </c>
      <c r="U34" s="723">
        <v>0</v>
      </c>
      <c r="V34" s="720">
        <v>0</v>
      </c>
      <c r="W34" s="756">
        <f>SUM(C34:V34)</f>
        <v>11</v>
      </c>
      <c r="X34" s="744" t="str">
        <f>IF(COUNTA(C34:V34)=0,"",IF(W33=W34,"ümbervisk",IF(W34&gt;W33,"finaali "&amp;(IF(W34&lt;MAX(W31:W32),2,IF(W34=MAX(W31:W32),"",1))),"pronksi "&amp;(IF(W34&lt;MIN(W31:W32),2,IF(W34=MIN(W31:W32),"",1))))))</f>
        <v>pronksi 1</v>
      </c>
    </row>
    <row r="35" spans="1:24" ht="14.25" thickTop="1" thickBot="1" x14ac:dyDescent="0.25">
      <c r="A35" s="294"/>
      <c r="B35" s="347" t="s">
        <v>215</v>
      </c>
      <c r="C35" s="164"/>
      <c r="D35" s="165"/>
      <c r="E35" s="165"/>
      <c r="F35" s="166"/>
      <c r="G35" s="164"/>
      <c r="H35" s="165"/>
      <c r="I35" s="165"/>
      <c r="J35" s="166"/>
      <c r="K35" s="164"/>
      <c r="L35" s="165"/>
      <c r="M35" s="165"/>
      <c r="N35" s="166"/>
      <c r="O35" s="164"/>
      <c r="P35" s="165"/>
      <c r="Q35" s="165"/>
      <c r="R35" s="166"/>
      <c r="S35" s="164"/>
      <c r="T35" s="165"/>
      <c r="U35" s="165"/>
      <c r="V35" s="166"/>
      <c r="W35" s="329"/>
      <c r="X35" s="167"/>
    </row>
    <row r="36" spans="1:24" ht="14.25" thickTop="1" thickBot="1" x14ac:dyDescent="0.25">
      <c r="A36" s="108">
        <v>1</v>
      </c>
      <c r="B36" s="383" t="str">
        <f>IFERROR(INDEX(B$31:B$34,MATCH("pronksi "&amp;A36,X$31:X$34,0)),"")</f>
        <v>Mare Kingissepp</v>
      </c>
      <c r="C36" s="80">
        <v>3</v>
      </c>
      <c r="D36" s="81">
        <v>0</v>
      </c>
      <c r="E36" s="81">
        <v>0</v>
      </c>
      <c r="F36" s="82">
        <v>0</v>
      </c>
      <c r="G36" s="80">
        <v>0</v>
      </c>
      <c r="H36" s="81">
        <v>0</v>
      </c>
      <c r="I36" s="81">
        <v>1</v>
      </c>
      <c r="J36" s="82">
        <v>0</v>
      </c>
      <c r="K36" s="80">
        <v>1</v>
      </c>
      <c r="L36" s="81">
        <v>3</v>
      </c>
      <c r="M36" s="81">
        <v>1</v>
      </c>
      <c r="N36" s="82">
        <v>0</v>
      </c>
      <c r="O36" s="80">
        <v>0</v>
      </c>
      <c r="P36" s="81">
        <v>0</v>
      </c>
      <c r="Q36" s="81">
        <v>0</v>
      </c>
      <c r="R36" s="82">
        <v>1</v>
      </c>
      <c r="S36" s="730">
        <v>5</v>
      </c>
      <c r="T36" s="81">
        <v>0</v>
      </c>
      <c r="U36" s="81">
        <v>0</v>
      </c>
      <c r="V36" s="82">
        <v>0</v>
      </c>
      <c r="W36" s="86">
        <f>SUM(C36:V36)</f>
        <v>15</v>
      </c>
      <c r="X36" s="91">
        <f ca="1">IF( INDIRECT("RC[-1]",0)=MAX(( INDIRECT("R[-1]C[-1]",0)):( INDIRECT("R[1]C[-1]",0))),3,4)</f>
        <v>3</v>
      </c>
    </row>
    <row r="37" spans="1:24" ht="14.25" thickTop="1" thickBot="1" x14ac:dyDescent="0.25">
      <c r="A37" s="112">
        <v>2</v>
      </c>
      <c r="B37" s="761" t="str">
        <f>IFERROR(INDEX(B$31:B$34,MATCH("pronksi "&amp;A37,X$31:X$34,0)),"")</f>
        <v>Kertu Palm</v>
      </c>
      <c r="C37" s="92">
        <v>1</v>
      </c>
      <c r="D37" s="93">
        <v>0</v>
      </c>
      <c r="E37" s="93">
        <v>0</v>
      </c>
      <c r="F37" s="94">
        <v>0</v>
      </c>
      <c r="G37" s="92">
        <v>0</v>
      </c>
      <c r="H37" s="93">
        <v>3</v>
      </c>
      <c r="I37" s="93">
        <v>0</v>
      </c>
      <c r="J37" s="410">
        <v>0</v>
      </c>
      <c r="K37" s="92">
        <v>1</v>
      </c>
      <c r="L37" s="93">
        <v>0</v>
      </c>
      <c r="M37" s="93">
        <v>0</v>
      </c>
      <c r="N37" s="94">
        <v>0</v>
      </c>
      <c r="O37" s="92">
        <v>0</v>
      </c>
      <c r="P37" s="93">
        <v>0</v>
      </c>
      <c r="Q37" s="93">
        <v>0</v>
      </c>
      <c r="R37" s="94">
        <v>0</v>
      </c>
      <c r="S37" s="92">
        <v>3</v>
      </c>
      <c r="T37" s="93">
        <v>0</v>
      </c>
      <c r="U37" s="93">
        <v>0</v>
      </c>
      <c r="V37" s="94">
        <v>0</v>
      </c>
      <c r="W37" s="95">
        <f>SUM(C37:V37)</f>
        <v>8</v>
      </c>
      <c r="X37" s="96">
        <f ca="1">IF( INDIRECT("RC[-1]",0)=MAX(( INDIRECT("R[-1]C[-1]",0)):( INDIRECT("R[1]C[-1]",0))),3,4)</f>
        <v>4</v>
      </c>
    </row>
    <row r="38" spans="1:24" x14ac:dyDescent="0.2">
      <c r="A38" s="757"/>
      <c r="B38" s="758" t="s">
        <v>216</v>
      </c>
      <c r="C38" s="759"/>
      <c r="D38" s="724"/>
      <c r="E38" s="724"/>
      <c r="F38" s="721"/>
      <c r="G38" s="759"/>
      <c r="H38" s="724"/>
      <c r="I38" s="724"/>
      <c r="J38" s="721"/>
      <c r="K38" s="759"/>
      <c r="L38" s="724"/>
      <c r="M38" s="724"/>
      <c r="N38" s="721"/>
      <c r="O38" s="759"/>
      <c r="P38" s="724"/>
      <c r="Q38" s="724"/>
      <c r="R38" s="721"/>
      <c r="S38" s="759"/>
      <c r="T38" s="724"/>
      <c r="U38" s="724"/>
      <c r="V38" s="721"/>
      <c r="W38" s="760"/>
      <c r="X38" s="745"/>
    </row>
    <row r="39" spans="1:24" ht="13.5" thickBot="1" x14ac:dyDescent="0.25">
      <c r="A39" s="108">
        <v>1</v>
      </c>
      <c r="B39" s="383" t="str">
        <f>IFERROR(INDEX(B$31:B$34,MATCH("finaali "&amp;A39,X$31:X$34,0)),"")</f>
        <v>Varje Reede</v>
      </c>
      <c r="C39" s="80">
        <v>0</v>
      </c>
      <c r="D39" s="81">
        <v>0</v>
      </c>
      <c r="E39" s="81">
        <v>0</v>
      </c>
      <c r="F39" s="82">
        <v>1</v>
      </c>
      <c r="G39" s="80">
        <v>0</v>
      </c>
      <c r="H39" s="81">
        <v>0</v>
      </c>
      <c r="I39" s="81">
        <v>0</v>
      </c>
      <c r="J39" s="82">
        <v>0</v>
      </c>
      <c r="K39" s="80">
        <v>0</v>
      </c>
      <c r="L39" s="81">
        <v>0</v>
      </c>
      <c r="M39" s="81">
        <v>1</v>
      </c>
      <c r="N39" s="82">
        <v>0</v>
      </c>
      <c r="O39" s="80">
        <v>0</v>
      </c>
      <c r="P39" s="81">
        <v>0</v>
      </c>
      <c r="Q39" s="81">
        <v>0</v>
      </c>
      <c r="R39" s="82">
        <v>0</v>
      </c>
      <c r="S39" s="80">
        <v>0</v>
      </c>
      <c r="T39" s="81">
        <v>0</v>
      </c>
      <c r="U39" s="81">
        <v>0</v>
      </c>
      <c r="V39" s="82">
        <v>0</v>
      </c>
      <c r="W39" s="86">
        <f>SUM(C39:V39)</f>
        <v>2</v>
      </c>
      <c r="X39" s="91">
        <f ca="1">IF( INDIRECT("RC[-1]",0)=MAX(( INDIRECT("R[-1]C[-1]",0)):( INDIRECT("R[1]C[-1]",0))),1,2)</f>
        <v>2</v>
      </c>
    </row>
    <row r="40" spans="1:24" ht="14.25" thickTop="1" thickBot="1" x14ac:dyDescent="0.25">
      <c r="A40" s="112">
        <v>2</v>
      </c>
      <c r="B40" s="725" t="str">
        <f>IFERROR(INDEX(B$31:B$34,MATCH("finaali "&amp;A40,X$31:X$34,0)),"")</f>
        <v>Kadri Arunurm</v>
      </c>
      <c r="C40" s="92">
        <v>0</v>
      </c>
      <c r="D40" s="93">
        <v>0</v>
      </c>
      <c r="E40" s="730">
        <v>5</v>
      </c>
      <c r="F40" s="94">
        <v>0</v>
      </c>
      <c r="G40" s="92">
        <v>0</v>
      </c>
      <c r="H40" s="93">
        <v>0</v>
      </c>
      <c r="I40" s="93">
        <v>3</v>
      </c>
      <c r="J40" s="94">
        <v>0</v>
      </c>
      <c r="K40" s="92">
        <v>3</v>
      </c>
      <c r="L40" s="93">
        <v>0</v>
      </c>
      <c r="M40" s="93">
        <v>0</v>
      </c>
      <c r="N40" s="94">
        <v>0</v>
      </c>
      <c r="O40" s="92">
        <v>3</v>
      </c>
      <c r="P40" s="93">
        <v>0</v>
      </c>
      <c r="Q40" s="93">
        <v>0</v>
      </c>
      <c r="R40" s="94">
        <v>0</v>
      </c>
      <c r="S40" s="730">
        <v>5</v>
      </c>
      <c r="T40" s="93">
        <v>0</v>
      </c>
      <c r="U40" s="93">
        <v>3</v>
      </c>
      <c r="V40" s="94">
        <v>0</v>
      </c>
      <c r="W40" s="95">
        <f>SUM(C40:V40)</f>
        <v>22</v>
      </c>
      <c r="X40" s="96">
        <f ca="1">IF( INDIRECT("RC[-1]",0)=MAX(( INDIRECT("R[-1]C[-1]",0)):( INDIRECT("R[1]C[-1]",0))),1,2)</f>
        <v>1</v>
      </c>
    </row>
    <row r="41" spans="1:24" x14ac:dyDescent="0.2">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row>
    <row r="42" spans="1:24" ht="13.5" thickBot="1" x14ac:dyDescent="0.25">
      <c r="B42" s="354" t="s">
        <v>569</v>
      </c>
      <c r="C42" s="80">
        <f>SUM(C9:C40)</f>
        <v>23</v>
      </c>
      <c r="D42" s="80">
        <f t="shared" ref="D42:V42" si="5">SUM(D9:D40)</f>
        <v>23</v>
      </c>
      <c r="E42" s="80">
        <f t="shared" si="5"/>
        <v>13</v>
      </c>
      <c r="F42" s="80">
        <f t="shared" si="5"/>
        <v>7</v>
      </c>
      <c r="G42" s="80">
        <f t="shared" si="5"/>
        <v>11</v>
      </c>
      <c r="H42" s="80">
        <f t="shared" si="5"/>
        <v>11</v>
      </c>
      <c r="I42" s="80">
        <f t="shared" si="5"/>
        <v>13</v>
      </c>
      <c r="J42" s="80">
        <f t="shared" si="5"/>
        <v>8</v>
      </c>
      <c r="K42" s="80">
        <f t="shared" si="5"/>
        <v>16</v>
      </c>
      <c r="L42" s="80">
        <f t="shared" si="5"/>
        <v>5</v>
      </c>
      <c r="M42" s="80">
        <f t="shared" si="5"/>
        <v>9</v>
      </c>
      <c r="N42" s="80">
        <f t="shared" si="5"/>
        <v>5</v>
      </c>
      <c r="O42" s="80">
        <f t="shared" si="5"/>
        <v>17</v>
      </c>
      <c r="P42" s="80">
        <f t="shared" si="5"/>
        <v>4</v>
      </c>
      <c r="Q42" s="80">
        <f t="shared" si="5"/>
        <v>0</v>
      </c>
      <c r="R42" s="80">
        <f t="shared" si="5"/>
        <v>1</v>
      </c>
      <c r="S42" s="80">
        <f t="shared" si="5"/>
        <v>28</v>
      </c>
      <c r="T42" s="80">
        <f t="shared" si="5"/>
        <v>8</v>
      </c>
      <c r="U42" s="80">
        <f t="shared" si="5"/>
        <v>14</v>
      </c>
      <c r="V42" s="80">
        <f t="shared" si="5"/>
        <v>5</v>
      </c>
      <c r="W42" s="107"/>
      <c r="X42" s="107"/>
    </row>
    <row r="43" spans="1:24" ht="14.25" thickTop="1" thickBot="1" x14ac:dyDescent="0.25">
      <c r="C43" s="357" t="e">
        <f t="shared" ref="C43" si="6">SUM(#REF!,C31:C40)</f>
        <v>#REF!</v>
      </c>
      <c r="D43" s="355" t="e">
        <f t="shared" ref="D43" si="7">SUM(#REF!,D31:D40)</f>
        <v>#REF!</v>
      </c>
      <c r="E43" s="355" t="e">
        <f t="shared" ref="E43" si="8">SUM(#REF!,E31:E40)</f>
        <v>#REF!</v>
      </c>
      <c r="F43" s="356" t="e">
        <f t="shared" ref="F43" si="9">SUM(#REF!,F31:F40)</f>
        <v>#REF!</v>
      </c>
      <c r="G43" s="357" t="e">
        <f t="shared" ref="G43" si="10">SUM(#REF!,G31:G40)</f>
        <v>#REF!</v>
      </c>
      <c r="H43" s="355" t="e">
        <f t="shared" ref="H43" si="11">SUM(#REF!,H31:H40)</f>
        <v>#REF!</v>
      </c>
      <c r="I43" s="355" t="e">
        <f t="shared" ref="I43" si="12">SUM(#REF!,I31:I40)</f>
        <v>#REF!</v>
      </c>
      <c r="J43" s="356" t="e">
        <f t="shared" ref="J43" si="13">SUM(#REF!,J31:J40)</f>
        <v>#REF!</v>
      </c>
      <c r="K43" s="357" t="e">
        <f t="shared" ref="K43" si="14">SUM(#REF!,K31:K40)</f>
        <v>#REF!</v>
      </c>
      <c r="L43" s="355" t="e">
        <f t="shared" ref="L43" si="15">SUM(#REF!,L31:L40)</f>
        <v>#REF!</v>
      </c>
      <c r="M43" s="355" t="e">
        <f t="shared" ref="M43" si="16">SUM(#REF!,M31:M40)</f>
        <v>#REF!</v>
      </c>
      <c r="N43" s="356" t="e">
        <f t="shared" ref="N43" si="17">SUM(#REF!,N31:N40)</f>
        <v>#REF!</v>
      </c>
      <c r="O43" s="357" t="e">
        <f t="shared" ref="O43" si="18">SUM(#REF!,O31:O40)</f>
        <v>#REF!</v>
      </c>
      <c r="P43" s="355" t="e">
        <f t="shared" ref="P43" si="19">SUM(#REF!,P31:P40)</f>
        <v>#REF!</v>
      </c>
      <c r="Q43" s="355" t="e">
        <f t="shared" ref="Q43" si="20">SUM(#REF!,Q31:Q40)</f>
        <v>#REF!</v>
      </c>
      <c r="R43" s="356" t="e">
        <f t="shared" ref="R43" si="21">SUM(#REF!,R31:R40)</f>
        <v>#REF!</v>
      </c>
      <c r="S43" s="357" t="e">
        <f t="shared" ref="S43" si="22">SUM(#REF!,S31:S40)</f>
        <v>#REF!</v>
      </c>
      <c r="T43" s="355" t="e">
        <f t="shared" ref="T43" si="23">SUM(#REF!,T31:T40)</f>
        <v>#REF!</v>
      </c>
      <c r="U43" s="355" t="e">
        <f t="shared" ref="U43" si="24">SUM(#REF!,U31:U40)</f>
        <v>#REF!</v>
      </c>
      <c r="V43" s="771" t="e">
        <f>SUM(#REF!)</f>
        <v>#REF!</v>
      </c>
      <c r="W43" s="107"/>
      <c r="X43" s="107"/>
    </row>
    <row r="44" spans="1:24" ht="13.5" thickTop="1" x14ac:dyDescent="0.2">
      <c r="B44" s="350"/>
      <c r="C44" s="935">
        <f>SUM(C9:F40)</f>
        <v>66</v>
      </c>
      <c r="D44" s="936"/>
      <c r="E44" s="936"/>
      <c r="F44" s="937"/>
      <c r="G44" s="935">
        <f t="shared" ref="G44" si="25">SUM(G9:J40)</f>
        <v>43</v>
      </c>
      <c r="H44" s="936"/>
      <c r="I44" s="936"/>
      <c r="J44" s="937"/>
      <c r="K44" s="935">
        <f t="shared" ref="K44" si="26">SUM(K9:N40)</f>
        <v>35</v>
      </c>
      <c r="L44" s="936"/>
      <c r="M44" s="936"/>
      <c r="N44" s="937"/>
      <c r="O44" s="935">
        <f t="shared" ref="O44" si="27">SUM(O9:R40)</f>
        <v>22</v>
      </c>
      <c r="P44" s="936"/>
      <c r="Q44" s="936"/>
      <c r="R44" s="937"/>
      <c r="S44" s="935">
        <f t="shared" ref="S44" si="28">SUM(S9:V40)</f>
        <v>55</v>
      </c>
      <c r="T44" s="936"/>
      <c r="U44" s="936"/>
      <c r="V44" s="937"/>
      <c r="W44" s="107"/>
      <c r="X44" s="107"/>
    </row>
    <row r="45" spans="1:24" x14ac:dyDescent="0.2">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1:24" x14ac:dyDescent="0.2">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1:24" x14ac:dyDescent="0.2">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1:24" x14ac:dyDescent="0.2">
      <c r="C48" s="107"/>
      <c r="D48" s="107"/>
      <c r="E48" s="107"/>
      <c r="F48" s="107"/>
      <c r="G48" s="107"/>
      <c r="H48" s="107"/>
      <c r="I48" s="107"/>
      <c r="J48" s="107"/>
      <c r="K48" s="107"/>
      <c r="L48" s="107"/>
      <c r="M48" s="107"/>
      <c r="N48" s="107"/>
      <c r="O48" s="107"/>
      <c r="P48" s="107"/>
      <c r="Q48" s="107"/>
      <c r="R48" s="107"/>
      <c r="S48" s="107"/>
      <c r="T48" s="107"/>
      <c r="U48" s="107"/>
      <c r="V48" s="107"/>
      <c r="W48" s="107"/>
      <c r="X48" s="107"/>
    </row>
    <row r="300" spans="1:2" x14ac:dyDescent="0.2">
      <c r="A300" s="113">
        <v>1</v>
      </c>
      <c r="B300" s="127" t="str">
        <f t="shared" ref="B300:B307" ca="1" si="29">IF(IFERROR(INDEX($B$9:$B$121,MATCH($A300,$X$9:$X$121,0)),"")=0,"",IFERROR(INDEX($B$9:$B$121,MATCH($A300,$X$9:$X$121,0)),""))</f>
        <v>Kadri Arunurm</v>
      </c>
    </row>
    <row r="301" spans="1:2" x14ac:dyDescent="0.2">
      <c r="A301" s="113">
        <v>2</v>
      </c>
      <c r="B301" s="114" t="str">
        <f t="shared" ca="1" si="29"/>
        <v>Varje Reede</v>
      </c>
    </row>
    <row r="302" spans="1:2" x14ac:dyDescent="0.2">
      <c r="A302" s="113">
        <v>3</v>
      </c>
      <c r="B302" s="115" t="str">
        <f t="shared" ca="1" si="29"/>
        <v>Mare Kingissepp</v>
      </c>
    </row>
    <row r="303" spans="1:2" x14ac:dyDescent="0.2">
      <c r="A303" s="113">
        <v>4</v>
      </c>
      <c r="B303" s="201" t="str">
        <f t="shared" ca="1" si="29"/>
        <v>Kertu Palm</v>
      </c>
    </row>
    <row r="304" spans="1:2" x14ac:dyDescent="0.2">
      <c r="A304" s="113">
        <v>5</v>
      </c>
      <c r="B304" s="201" t="str">
        <f t="shared" si="29"/>
        <v>Maris Rõõm</v>
      </c>
    </row>
    <row r="305" spans="1:2" x14ac:dyDescent="0.2">
      <c r="A305" s="113">
        <v>6</v>
      </c>
      <c r="B305" s="201" t="str">
        <f t="shared" si="29"/>
        <v>Marge Mägi</v>
      </c>
    </row>
    <row r="306" spans="1:2" x14ac:dyDescent="0.2">
      <c r="A306" s="113">
        <v>7</v>
      </c>
      <c r="B306" s="201" t="str">
        <f t="shared" si="29"/>
        <v>Marta Ruus</v>
      </c>
    </row>
    <row r="307" spans="1:2" x14ac:dyDescent="0.2">
      <c r="A307" s="113">
        <v>8</v>
      </c>
      <c r="B307" s="201" t="str">
        <f t="shared" si="29"/>
        <v>Jelena Brakina</v>
      </c>
    </row>
  </sheetData>
  <mergeCells count="5">
    <mergeCell ref="C44:F44"/>
    <mergeCell ref="G44:J44"/>
    <mergeCell ref="K44:N44"/>
    <mergeCell ref="O44:R44"/>
    <mergeCell ref="S44:V44"/>
  </mergeCells>
  <conditionalFormatting sqref="W39:W40">
    <cfRule type="top10" dxfId="1521" priority="14" rank="1"/>
  </conditionalFormatting>
  <conditionalFormatting sqref="W31:W32">
    <cfRule type="top10" dxfId="1520" priority="17" rank="1"/>
  </conditionalFormatting>
  <conditionalFormatting sqref="W33:W34">
    <cfRule type="top10" dxfId="1519" priority="16" rank="1"/>
  </conditionalFormatting>
  <conditionalFormatting sqref="W36:W37">
    <cfRule type="top10" dxfId="1518" priority="15" rank="1"/>
  </conditionalFormatting>
  <conditionalFormatting sqref="X33:X34">
    <cfRule type="duplicateValues" dxfId="1517" priority="12"/>
  </conditionalFormatting>
  <conditionalFormatting sqref="X31:X32">
    <cfRule type="duplicateValues" dxfId="1516" priority="13"/>
  </conditionalFormatting>
  <conditionalFormatting sqref="X9:X24">
    <cfRule type="duplicateValues" dxfId="1515" priority="11"/>
  </conditionalFormatting>
  <conditionalFormatting sqref="B9:B16">
    <cfRule type="duplicateValues" dxfId="1514" priority="10" stopIfTrue="1"/>
  </conditionalFormatting>
  <conditionalFormatting sqref="X9:X24">
    <cfRule type="top10" dxfId="1513" priority="18" stopIfTrue="1" rank="100"/>
  </conditionalFormatting>
  <conditionalFormatting sqref="B17:B20">
    <cfRule type="duplicateValues" dxfId="1512" priority="9" stopIfTrue="1"/>
  </conditionalFormatting>
  <conditionalFormatting sqref="B21:B24">
    <cfRule type="duplicateValues" dxfId="1511" priority="8" stopIfTrue="1"/>
  </conditionalFormatting>
  <conditionalFormatting sqref="W9:W40">
    <cfRule type="top10" dxfId="1510" priority="19" stopIfTrue="1" rank="1"/>
  </conditionalFormatting>
  <conditionalFormatting sqref="X26:X29">
    <cfRule type="duplicateValues" dxfId="1509" priority="20"/>
    <cfRule type="top10" dxfId="1508" priority="21" rank="100"/>
  </conditionalFormatting>
  <conditionalFormatting sqref="Y26:Y29">
    <cfRule type="duplicateValues" dxfId="1507" priority="22"/>
  </conditionalFormatting>
  <conditionalFormatting sqref="C43:V43">
    <cfRule type="dataBar" priority="6">
      <dataBar>
        <cfvo type="min"/>
        <cfvo type="max"/>
        <color rgb="FF008AEF"/>
      </dataBar>
      <extLst>
        <ext xmlns:x14="http://schemas.microsoft.com/office/spreadsheetml/2009/9/main" uri="{B025F937-C7B1-47D3-B67F-A62EFF666E3E}">
          <x14:id>{AA7B6137-9221-4BCF-8C6D-2FE4FE1F7484}</x14:id>
        </ext>
      </extLst>
    </cfRule>
  </conditionalFormatting>
  <conditionalFormatting sqref="C42:V42">
    <cfRule type="top10" dxfId="1506" priority="4" rank="1"/>
    <cfRule type="colorScale" priority="5">
      <colorScale>
        <cfvo type="min"/>
        <cfvo type="percentile" val="50"/>
        <cfvo type="max"/>
        <color rgb="FFF8696B"/>
        <color rgb="FFFFEB84"/>
        <color rgb="FF63BE7B"/>
      </colorScale>
    </cfRule>
  </conditionalFormatting>
  <conditionalFormatting sqref="C44:V44">
    <cfRule type="top10" dxfId="1505" priority="1" rank="1"/>
  </conditionalFormatting>
  <conditionalFormatting sqref="C44:V44">
    <cfRule type="colorScale" priority="2">
      <colorScale>
        <cfvo type="min"/>
        <cfvo type="percentile" val="50"/>
        <cfvo type="max"/>
        <color rgb="FFF8696B"/>
        <color rgb="FFFFEB84"/>
        <color rgb="FF63BE7B"/>
      </colorScale>
    </cfRule>
  </conditionalFormatting>
  <pageMargins left="0.78740157480314965" right="0.39370078740157483" top="0.59055118110236227" bottom="0.39370078740157483" header="0.39370078740157483" footer="0"/>
  <pageSetup paperSize="9" fitToHeight="0" orientation="portrait" r:id="rId1"/>
  <headerFooter alignWithMargins="0">
    <oddHeader>&amp;R&amp;"Arial,Regular"&amp;9Page &amp;P of &amp;N</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AA7B6137-9221-4BCF-8C6D-2FE4FE1F7484}">
            <x14:dataBar minLength="0" maxLength="100" gradient="0">
              <x14:cfvo type="autoMin"/>
              <x14:cfvo type="autoMax"/>
              <x14:negativeFillColor rgb="FFFF0000"/>
              <x14:axisColor rgb="FF000000"/>
            </x14:dataBar>
          </x14:cfRule>
          <xm:sqref>C43:V43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AJ334"/>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78" customWidth="1"/>
    <col min="2" max="2" width="18.85546875" style="78" customWidth="1"/>
    <col min="3" max="4" width="4" style="78" customWidth="1"/>
    <col min="5" max="22" width="2.7109375" style="78" customWidth="1"/>
    <col min="23" max="23" width="3" style="78" bestFit="1" customWidth="1"/>
    <col min="24" max="24" width="11.5703125" style="78" customWidth="1"/>
    <col min="25" max="25" width="3" style="78" customWidth="1"/>
    <col min="26" max="33" width="9.140625" style="78"/>
    <col min="34" max="34" width="0" style="78" hidden="1" customWidth="1"/>
    <col min="35" max="35" width="15" style="78" hidden="1" customWidth="1"/>
    <col min="36" max="36" width="6" style="78" hidden="1" customWidth="1"/>
    <col min="37" max="250" width="9.140625" style="78"/>
    <col min="251" max="251" width="3" style="78" customWidth="1"/>
    <col min="252" max="252" width="18.7109375" style="78" customWidth="1"/>
    <col min="253" max="272" width="2.85546875" style="78" customWidth="1"/>
    <col min="273" max="273" width="3" style="78" bestFit="1" customWidth="1"/>
    <col min="274" max="274" width="10.5703125" style="78" bestFit="1" customWidth="1"/>
    <col min="275" max="277" width="0" style="78" hidden="1" customWidth="1"/>
    <col min="278" max="506" width="9.140625" style="78"/>
    <col min="507" max="507" width="3" style="78" customWidth="1"/>
    <col min="508" max="508" width="18.7109375" style="78" customWidth="1"/>
    <col min="509" max="528" width="2.85546875" style="78" customWidth="1"/>
    <col min="529" max="529" width="3" style="78" bestFit="1" customWidth="1"/>
    <col min="530" max="530" width="10.5703125" style="78" bestFit="1" customWidth="1"/>
    <col min="531" max="533" width="0" style="78" hidden="1" customWidth="1"/>
    <col min="534" max="762" width="9.140625" style="78"/>
    <col min="763" max="763" width="3" style="78" customWidth="1"/>
    <col min="764" max="764" width="18.7109375" style="78" customWidth="1"/>
    <col min="765" max="784" width="2.85546875" style="78" customWidth="1"/>
    <col min="785" max="785" width="3" style="78" bestFit="1" customWidth="1"/>
    <col min="786" max="786" width="10.5703125" style="78" bestFit="1" customWidth="1"/>
    <col min="787" max="789" width="0" style="78" hidden="1" customWidth="1"/>
    <col min="790" max="1018" width="9.140625" style="78"/>
    <col min="1019" max="1019" width="3" style="78" customWidth="1"/>
    <col min="1020" max="1020" width="18.7109375" style="78" customWidth="1"/>
    <col min="1021" max="1040" width="2.85546875" style="78" customWidth="1"/>
    <col min="1041" max="1041" width="3" style="78" bestFit="1" customWidth="1"/>
    <col min="1042" max="1042" width="10.5703125" style="78" bestFit="1" customWidth="1"/>
    <col min="1043" max="1045" width="0" style="78" hidden="1" customWidth="1"/>
    <col min="1046" max="1274" width="9.140625" style="78"/>
    <col min="1275" max="1275" width="3" style="78" customWidth="1"/>
    <col min="1276" max="1276" width="18.7109375" style="78" customWidth="1"/>
    <col min="1277" max="1296" width="2.85546875" style="78" customWidth="1"/>
    <col min="1297" max="1297" width="3" style="78" bestFit="1" customWidth="1"/>
    <col min="1298" max="1298" width="10.5703125" style="78" bestFit="1" customWidth="1"/>
    <col min="1299" max="1301" width="0" style="78" hidden="1" customWidth="1"/>
    <col min="1302" max="1530" width="9.140625" style="78"/>
    <col min="1531" max="1531" width="3" style="78" customWidth="1"/>
    <col min="1532" max="1532" width="18.7109375" style="78" customWidth="1"/>
    <col min="1533" max="1552" width="2.85546875" style="78" customWidth="1"/>
    <col min="1553" max="1553" width="3" style="78" bestFit="1" customWidth="1"/>
    <col min="1554" max="1554" width="10.5703125" style="78" bestFit="1" customWidth="1"/>
    <col min="1555" max="1557" width="0" style="78" hidden="1" customWidth="1"/>
    <col min="1558" max="1786" width="9.140625" style="78"/>
    <col min="1787" max="1787" width="3" style="78" customWidth="1"/>
    <col min="1788" max="1788" width="18.7109375" style="78" customWidth="1"/>
    <col min="1789" max="1808" width="2.85546875" style="78" customWidth="1"/>
    <col min="1809" max="1809" width="3" style="78" bestFit="1" customWidth="1"/>
    <col min="1810" max="1810" width="10.5703125" style="78" bestFit="1" customWidth="1"/>
    <col min="1811" max="1813" width="0" style="78" hidden="1" customWidth="1"/>
    <col min="1814" max="2042" width="9.140625" style="78"/>
    <col min="2043" max="2043" width="3" style="78" customWidth="1"/>
    <col min="2044" max="2044" width="18.7109375" style="78" customWidth="1"/>
    <col min="2045" max="2064" width="2.85546875" style="78" customWidth="1"/>
    <col min="2065" max="2065" width="3" style="78" bestFit="1" customWidth="1"/>
    <col min="2066" max="2066" width="10.5703125" style="78" bestFit="1" customWidth="1"/>
    <col min="2067" max="2069" width="0" style="78" hidden="1" customWidth="1"/>
    <col min="2070" max="2298" width="9.140625" style="78"/>
    <col min="2299" max="2299" width="3" style="78" customWidth="1"/>
    <col min="2300" max="2300" width="18.7109375" style="78" customWidth="1"/>
    <col min="2301" max="2320" width="2.85546875" style="78" customWidth="1"/>
    <col min="2321" max="2321" width="3" style="78" bestFit="1" customWidth="1"/>
    <col min="2322" max="2322" width="10.5703125" style="78" bestFit="1" customWidth="1"/>
    <col min="2323" max="2325" width="0" style="78" hidden="1" customWidth="1"/>
    <col min="2326" max="2554" width="9.140625" style="78"/>
    <col min="2555" max="2555" width="3" style="78" customWidth="1"/>
    <col min="2556" max="2556" width="18.7109375" style="78" customWidth="1"/>
    <col min="2557" max="2576" width="2.85546875" style="78" customWidth="1"/>
    <col min="2577" max="2577" width="3" style="78" bestFit="1" customWidth="1"/>
    <col min="2578" max="2578" width="10.5703125" style="78" bestFit="1" customWidth="1"/>
    <col min="2579" max="2581" width="0" style="78" hidden="1" customWidth="1"/>
    <col min="2582" max="2810" width="9.140625" style="78"/>
    <col min="2811" max="2811" width="3" style="78" customWidth="1"/>
    <col min="2812" max="2812" width="18.7109375" style="78" customWidth="1"/>
    <col min="2813" max="2832" width="2.85546875" style="78" customWidth="1"/>
    <col min="2833" max="2833" width="3" style="78" bestFit="1" customWidth="1"/>
    <col min="2834" max="2834" width="10.5703125" style="78" bestFit="1" customWidth="1"/>
    <col min="2835" max="2837" width="0" style="78" hidden="1" customWidth="1"/>
    <col min="2838" max="3066" width="9.140625" style="78"/>
    <col min="3067" max="3067" width="3" style="78" customWidth="1"/>
    <col min="3068" max="3068" width="18.7109375" style="78" customWidth="1"/>
    <col min="3069" max="3088" width="2.85546875" style="78" customWidth="1"/>
    <col min="3089" max="3089" width="3" style="78" bestFit="1" customWidth="1"/>
    <col min="3090" max="3090" width="10.5703125" style="78" bestFit="1" customWidth="1"/>
    <col min="3091" max="3093" width="0" style="78" hidden="1" customWidth="1"/>
    <col min="3094" max="3322" width="9.140625" style="78"/>
    <col min="3323" max="3323" width="3" style="78" customWidth="1"/>
    <col min="3324" max="3324" width="18.7109375" style="78" customWidth="1"/>
    <col min="3325" max="3344" width="2.85546875" style="78" customWidth="1"/>
    <col min="3345" max="3345" width="3" style="78" bestFit="1" customWidth="1"/>
    <col min="3346" max="3346" width="10.5703125" style="78" bestFit="1" customWidth="1"/>
    <col min="3347" max="3349" width="0" style="78" hidden="1" customWidth="1"/>
    <col min="3350" max="3578" width="9.140625" style="78"/>
    <col min="3579" max="3579" width="3" style="78" customWidth="1"/>
    <col min="3580" max="3580" width="18.7109375" style="78" customWidth="1"/>
    <col min="3581" max="3600" width="2.85546875" style="78" customWidth="1"/>
    <col min="3601" max="3601" width="3" style="78" bestFit="1" customWidth="1"/>
    <col min="3602" max="3602" width="10.5703125" style="78" bestFit="1" customWidth="1"/>
    <col min="3603" max="3605" width="0" style="78" hidden="1" customWidth="1"/>
    <col min="3606" max="3834" width="9.140625" style="78"/>
    <col min="3835" max="3835" width="3" style="78" customWidth="1"/>
    <col min="3836" max="3836" width="18.7109375" style="78" customWidth="1"/>
    <col min="3837" max="3856" width="2.85546875" style="78" customWidth="1"/>
    <col min="3857" max="3857" width="3" style="78" bestFit="1" customWidth="1"/>
    <col min="3858" max="3858" width="10.5703125" style="78" bestFit="1" customWidth="1"/>
    <col min="3859" max="3861" width="0" style="78" hidden="1" customWidth="1"/>
    <col min="3862" max="4090" width="9.140625" style="78"/>
    <col min="4091" max="4091" width="3" style="78" customWidth="1"/>
    <col min="4092" max="4092" width="18.7109375" style="78" customWidth="1"/>
    <col min="4093" max="4112" width="2.85546875" style="78" customWidth="1"/>
    <col min="4113" max="4113" width="3" style="78" bestFit="1" customWidth="1"/>
    <col min="4114" max="4114" width="10.5703125" style="78" bestFit="1" customWidth="1"/>
    <col min="4115" max="4117" width="0" style="78" hidden="1" customWidth="1"/>
    <col min="4118" max="4346" width="9.140625" style="78"/>
    <col min="4347" max="4347" width="3" style="78" customWidth="1"/>
    <col min="4348" max="4348" width="18.7109375" style="78" customWidth="1"/>
    <col min="4349" max="4368" width="2.85546875" style="78" customWidth="1"/>
    <col min="4369" max="4369" width="3" style="78" bestFit="1" customWidth="1"/>
    <col min="4370" max="4370" width="10.5703125" style="78" bestFit="1" customWidth="1"/>
    <col min="4371" max="4373" width="0" style="78" hidden="1" customWidth="1"/>
    <col min="4374" max="4602" width="9.140625" style="78"/>
    <col min="4603" max="4603" width="3" style="78" customWidth="1"/>
    <col min="4604" max="4604" width="18.7109375" style="78" customWidth="1"/>
    <col min="4605" max="4624" width="2.85546875" style="78" customWidth="1"/>
    <col min="4625" max="4625" width="3" style="78" bestFit="1" customWidth="1"/>
    <col min="4626" max="4626" width="10.5703125" style="78" bestFit="1" customWidth="1"/>
    <col min="4627" max="4629" width="0" style="78" hidden="1" customWidth="1"/>
    <col min="4630" max="4858" width="9.140625" style="78"/>
    <col min="4859" max="4859" width="3" style="78" customWidth="1"/>
    <col min="4860" max="4860" width="18.7109375" style="78" customWidth="1"/>
    <col min="4861" max="4880" width="2.85546875" style="78" customWidth="1"/>
    <col min="4881" max="4881" width="3" style="78" bestFit="1" customWidth="1"/>
    <col min="4882" max="4882" width="10.5703125" style="78" bestFit="1" customWidth="1"/>
    <col min="4883" max="4885" width="0" style="78" hidden="1" customWidth="1"/>
    <col min="4886" max="5114" width="9.140625" style="78"/>
    <col min="5115" max="5115" width="3" style="78" customWidth="1"/>
    <col min="5116" max="5116" width="18.7109375" style="78" customWidth="1"/>
    <col min="5117" max="5136" width="2.85546875" style="78" customWidth="1"/>
    <col min="5137" max="5137" width="3" style="78" bestFit="1" customWidth="1"/>
    <col min="5138" max="5138" width="10.5703125" style="78" bestFit="1" customWidth="1"/>
    <col min="5139" max="5141" width="0" style="78" hidden="1" customWidth="1"/>
    <col min="5142" max="5370" width="9.140625" style="78"/>
    <col min="5371" max="5371" width="3" style="78" customWidth="1"/>
    <col min="5372" max="5372" width="18.7109375" style="78" customWidth="1"/>
    <col min="5373" max="5392" width="2.85546875" style="78" customWidth="1"/>
    <col min="5393" max="5393" width="3" style="78" bestFit="1" customWidth="1"/>
    <col min="5394" max="5394" width="10.5703125" style="78" bestFit="1" customWidth="1"/>
    <col min="5395" max="5397" width="0" style="78" hidden="1" customWidth="1"/>
    <col min="5398" max="5626" width="9.140625" style="78"/>
    <col min="5627" max="5627" width="3" style="78" customWidth="1"/>
    <col min="5628" max="5628" width="18.7109375" style="78" customWidth="1"/>
    <col min="5629" max="5648" width="2.85546875" style="78" customWidth="1"/>
    <col min="5649" max="5649" width="3" style="78" bestFit="1" customWidth="1"/>
    <col min="5650" max="5650" width="10.5703125" style="78" bestFit="1" customWidth="1"/>
    <col min="5651" max="5653" width="0" style="78" hidden="1" customWidth="1"/>
    <col min="5654" max="5882" width="9.140625" style="78"/>
    <col min="5883" max="5883" width="3" style="78" customWidth="1"/>
    <col min="5884" max="5884" width="18.7109375" style="78" customWidth="1"/>
    <col min="5885" max="5904" width="2.85546875" style="78" customWidth="1"/>
    <col min="5905" max="5905" width="3" style="78" bestFit="1" customWidth="1"/>
    <col min="5906" max="5906" width="10.5703125" style="78" bestFit="1" customWidth="1"/>
    <col min="5907" max="5909" width="0" style="78" hidden="1" customWidth="1"/>
    <col min="5910" max="6138" width="9.140625" style="78"/>
    <col min="6139" max="6139" width="3" style="78" customWidth="1"/>
    <col min="6140" max="6140" width="18.7109375" style="78" customWidth="1"/>
    <col min="6141" max="6160" width="2.85546875" style="78" customWidth="1"/>
    <col min="6161" max="6161" width="3" style="78" bestFit="1" customWidth="1"/>
    <col min="6162" max="6162" width="10.5703125" style="78" bestFit="1" customWidth="1"/>
    <col min="6163" max="6165" width="0" style="78" hidden="1" customWidth="1"/>
    <col min="6166" max="6394" width="9.140625" style="78"/>
    <col min="6395" max="6395" width="3" style="78" customWidth="1"/>
    <col min="6396" max="6396" width="18.7109375" style="78" customWidth="1"/>
    <col min="6397" max="6416" width="2.85546875" style="78" customWidth="1"/>
    <col min="6417" max="6417" width="3" style="78" bestFit="1" customWidth="1"/>
    <col min="6418" max="6418" width="10.5703125" style="78" bestFit="1" customWidth="1"/>
    <col min="6419" max="6421" width="0" style="78" hidden="1" customWidth="1"/>
    <col min="6422" max="6650" width="9.140625" style="78"/>
    <col min="6651" max="6651" width="3" style="78" customWidth="1"/>
    <col min="6652" max="6652" width="18.7109375" style="78" customWidth="1"/>
    <col min="6653" max="6672" width="2.85546875" style="78" customWidth="1"/>
    <col min="6673" max="6673" width="3" style="78" bestFit="1" customWidth="1"/>
    <col min="6674" max="6674" width="10.5703125" style="78" bestFit="1" customWidth="1"/>
    <col min="6675" max="6677" width="0" style="78" hidden="1" customWidth="1"/>
    <col min="6678" max="6906" width="9.140625" style="78"/>
    <col min="6907" max="6907" width="3" style="78" customWidth="1"/>
    <col min="6908" max="6908" width="18.7109375" style="78" customWidth="1"/>
    <col min="6909" max="6928" width="2.85546875" style="78" customWidth="1"/>
    <col min="6929" max="6929" width="3" style="78" bestFit="1" customWidth="1"/>
    <col min="6930" max="6930" width="10.5703125" style="78" bestFit="1" customWidth="1"/>
    <col min="6931" max="6933" width="0" style="78" hidden="1" customWidth="1"/>
    <col min="6934" max="7162" width="9.140625" style="78"/>
    <col min="7163" max="7163" width="3" style="78" customWidth="1"/>
    <col min="7164" max="7164" width="18.7109375" style="78" customWidth="1"/>
    <col min="7165" max="7184" width="2.85546875" style="78" customWidth="1"/>
    <col min="7185" max="7185" width="3" style="78" bestFit="1" customWidth="1"/>
    <col min="7186" max="7186" width="10.5703125" style="78" bestFit="1" customWidth="1"/>
    <col min="7187" max="7189" width="0" style="78" hidden="1" customWidth="1"/>
    <col min="7190" max="7418" width="9.140625" style="78"/>
    <col min="7419" max="7419" width="3" style="78" customWidth="1"/>
    <col min="7420" max="7420" width="18.7109375" style="78" customWidth="1"/>
    <col min="7421" max="7440" width="2.85546875" style="78" customWidth="1"/>
    <col min="7441" max="7441" width="3" style="78" bestFit="1" customWidth="1"/>
    <col min="7442" max="7442" width="10.5703125" style="78" bestFit="1" customWidth="1"/>
    <col min="7443" max="7445" width="0" style="78" hidden="1" customWidth="1"/>
    <col min="7446" max="7674" width="9.140625" style="78"/>
    <col min="7675" max="7675" width="3" style="78" customWidth="1"/>
    <col min="7676" max="7676" width="18.7109375" style="78" customWidth="1"/>
    <col min="7677" max="7696" width="2.85546875" style="78" customWidth="1"/>
    <col min="7697" max="7697" width="3" style="78" bestFit="1" customWidth="1"/>
    <col min="7698" max="7698" width="10.5703125" style="78" bestFit="1" customWidth="1"/>
    <col min="7699" max="7701" width="0" style="78" hidden="1" customWidth="1"/>
    <col min="7702" max="7930" width="9.140625" style="78"/>
    <col min="7931" max="7931" width="3" style="78" customWidth="1"/>
    <col min="7932" max="7932" width="18.7109375" style="78" customWidth="1"/>
    <col min="7933" max="7952" width="2.85546875" style="78" customWidth="1"/>
    <col min="7953" max="7953" width="3" style="78" bestFit="1" customWidth="1"/>
    <col min="7954" max="7954" width="10.5703125" style="78" bestFit="1" customWidth="1"/>
    <col min="7955" max="7957" width="0" style="78" hidden="1" customWidth="1"/>
    <col min="7958" max="8186" width="9.140625" style="78"/>
    <col min="8187" max="8187" width="3" style="78" customWidth="1"/>
    <col min="8188" max="8188" width="18.7109375" style="78" customWidth="1"/>
    <col min="8189" max="8208" width="2.85546875" style="78" customWidth="1"/>
    <col min="8209" max="8209" width="3" style="78" bestFit="1" customWidth="1"/>
    <col min="8210" max="8210" width="10.5703125" style="78" bestFit="1" customWidth="1"/>
    <col min="8211" max="8213" width="0" style="78" hidden="1" customWidth="1"/>
    <col min="8214" max="8442" width="9.140625" style="78"/>
    <col min="8443" max="8443" width="3" style="78" customWidth="1"/>
    <col min="8444" max="8444" width="18.7109375" style="78" customWidth="1"/>
    <col min="8445" max="8464" width="2.85546875" style="78" customWidth="1"/>
    <col min="8465" max="8465" width="3" style="78" bestFit="1" customWidth="1"/>
    <col min="8466" max="8466" width="10.5703125" style="78" bestFit="1" customWidth="1"/>
    <col min="8467" max="8469" width="0" style="78" hidden="1" customWidth="1"/>
    <col min="8470" max="8698" width="9.140625" style="78"/>
    <col min="8699" max="8699" width="3" style="78" customWidth="1"/>
    <col min="8700" max="8700" width="18.7109375" style="78" customWidth="1"/>
    <col min="8701" max="8720" width="2.85546875" style="78" customWidth="1"/>
    <col min="8721" max="8721" width="3" style="78" bestFit="1" customWidth="1"/>
    <col min="8722" max="8722" width="10.5703125" style="78" bestFit="1" customWidth="1"/>
    <col min="8723" max="8725" width="0" style="78" hidden="1" customWidth="1"/>
    <col min="8726" max="8954" width="9.140625" style="78"/>
    <col min="8955" max="8955" width="3" style="78" customWidth="1"/>
    <col min="8956" max="8956" width="18.7109375" style="78" customWidth="1"/>
    <col min="8957" max="8976" width="2.85546875" style="78" customWidth="1"/>
    <col min="8977" max="8977" width="3" style="78" bestFit="1" customWidth="1"/>
    <col min="8978" max="8978" width="10.5703125" style="78" bestFit="1" customWidth="1"/>
    <col min="8979" max="8981" width="0" style="78" hidden="1" customWidth="1"/>
    <col min="8982" max="9210" width="9.140625" style="78"/>
    <col min="9211" max="9211" width="3" style="78" customWidth="1"/>
    <col min="9212" max="9212" width="18.7109375" style="78" customWidth="1"/>
    <col min="9213" max="9232" width="2.85546875" style="78" customWidth="1"/>
    <col min="9233" max="9233" width="3" style="78" bestFit="1" customWidth="1"/>
    <col min="9234" max="9234" width="10.5703125" style="78" bestFit="1" customWidth="1"/>
    <col min="9235" max="9237" width="0" style="78" hidden="1" customWidth="1"/>
    <col min="9238" max="9466" width="9.140625" style="78"/>
    <col min="9467" max="9467" width="3" style="78" customWidth="1"/>
    <col min="9468" max="9468" width="18.7109375" style="78" customWidth="1"/>
    <col min="9469" max="9488" width="2.85546875" style="78" customWidth="1"/>
    <col min="9489" max="9489" width="3" style="78" bestFit="1" customWidth="1"/>
    <col min="9490" max="9490" width="10.5703125" style="78" bestFit="1" customWidth="1"/>
    <col min="9491" max="9493" width="0" style="78" hidden="1" customWidth="1"/>
    <col min="9494" max="9722" width="9.140625" style="78"/>
    <col min="9723" max="9723" width="3" style="78" customWidth="1"/>
    <col min="9724" max="9724" width="18.7109375" style="78" customWidth="1"/>
    <col min="9725" max="9744" width="2.85546875" style="78" customWidth="1"/>
    <col min="9745" max="9745" width="3" style="78" bestFit="1" customWidth="1"/>
    <col min="9746" max="9746" width="10.5703125" style="78" bestFit="1" customWidth="1"/>
    <col min="9747" max="9749" width="0" style="78" hidden="1" customWidth="1"/>
    <col min="9750" max="9978" width="9.140625" style="78"/>
    <col min="9979" max="9979" width="3" style="78" customWidth="1"/>
    <col min="9980" max="9980" width="18.7109375" style="78" customWidth="1"/>
    <col min="9981" max="10000" width="2.85546875" style="78" customWidth="1"/>
    <col min="10001" max="10001" width="3" style="78" bestFit="1" customWidth="1"/>
    <col min="10002" max="10002" width="10.5703125" style="78" bestFit="1" customWidth="1"/>
    <col min="10003" max="10005" width="0" style="78" hidden="1" customWidth="1"/>
    <col min="10006" max="10234" width="9.140625" style="78"/>
    <col min="10235" max="10235" width="3" style="78" customWidth="1"/>
    <col min="10236" max="10236" width="18.7109375" style="78" customWidth="1"/>
    <col min="10237" max="10256" width="2.85546875" style="78" customWidth="1"/>
    <col min="10257" max="10257" width="3" style="78" bestFit="1" customWidth="1"/>
    <col min="10258" max="10258" width="10.5703125" style="78" bestFit="1" customWidth="1"/>
    <col min="10259" max="10261" width="0" style="78" hidden="1" customWidth="1"/>
    <col min="10262" max="10490" width="9.140625" style="78"/>
    <col min="10491" max="10491" width="3" style="78" customWidth="1"/>
    <col min="10492" max="10492" width="18.7109375" style="78" customWidth="1"/>
    <col min="10493" max="10512" width="2.85546875" style="78" customWidth="1"/>
    <col min="10513" max="10513" width="3" style="78" bestFit="1" customWidth="1"/>
    <col min="10514" max="10514" width="10.5703125" style="78" bestFit="1" customWidth="1"/>
    <col min="10515" max="10517" width="0" style="78" hidden="1" customWidth="1"/>
    <col min="10518" max="10746" width="9.140625" style="78"/>
    <col min="10747" max="10747" width="3" style="78" customWidth="1"/>
    <col min="10748" max="10748" width="18.7109375" style="78" customWidth="1"/>
    <col min="10749" max="10768" width="2.85546875" style="78" customWidth="1"/>
    <col min="10769" max="10769" width="3" style="78" bestFit="1" customWidth="1"/>
    <col min="10770" max="10770" width="10.5703125" style="78" bestFit="1" customWidth="1"/>
    <col min="10771" max="10773" width="0" style="78" hidden="1" customWidth="1"/>
    <col min="10774" max="11002" width="9.140625" style="78"/>
    <col min="11003" max="11003" width="3" style="78" customWidth="1"/>
    <col min="11004" max="11004" width="18.7109375" style="78" customWidth="1"/>
    <col min="11005" max="11024" width="2.85546875" style="78" customWidth="1"/>
    <col min="11025" max="11025" width="3" style="78" bestFit="1" customWidth="1"/>
    <col min="11026" max="11026" width="10.5703125" style="78" bestFit="1" customWidth="1"/>
    <col min="11027" max="11029" width="0" style="78" hidden="1" customWidth="1"/>
    <col min="11030" max="11258" width="9.140625" style="78"/>
    <col min="11259" max="11259" width="3" style="78" customWidth="1"/>
    <col min="11260" max="11260" width="18.7109375" style="78" customWidth="1"/>
    <col min="11261" max="11280" width="2.85546875" style="78" customWidth="1"/>
    <col min="11281" max="11281" width="3" style="78" bestFit="1" customWidth="1"/>
    <col min="11282" max="11282" width="10.5703125" style="78" bestFit="1" customWidth="1"/>
    <col min="11283" max="11285" width="0" style="78" hidden="1" customWidth="1"/>
    <col min="11286" max="11514" width="9.140625" style="78"/>
    <col min="11515" max="11515" width="3" style="78" customWidth="1"/>
    <col min="11516" max="11516" width="18.7109375" style="78" customWidth="1"/>
    <col min="11517" max="11536" width="2.85546875" style="78" customWidth="1"/>
    <col min="11537" max="11537" width="3" style="78" bestFit="1" customWidth="1"/>
    <col min="11538" max="11538" width="10.5703125" style="78" bestFit="1" customWidth="1"/>
    <col min="11539" max="11541" width="0" style="78" hidden="1" customWidth="1"/>
    <col min="11542" max="11770" width="9.140625" style="78"/>
    <col min="11771" max="11771" width="3" style="78" customWidth="1"/>
    <col min="11772" max="11772" width="18.7109375" style="78" customWidth="1"/>
    <col min="11773" max="11792" width="2.85546875" style="78" customWidth="1"/>
    <col min="11793" max="11793" width="3" style="78" bestFit="1" customWidth="1"/>
    <col min="11794" max="11794" width="10.5703125" style="78" bestFit="1" customWidth="1"/>
    <col min="11795" max="11797" width="0" style="78" hidden="1" customWidth="1"/>
    <col min="11798" max="12026" width="9.140625" style="78"/>
    <col min="12027" max="12027" width="3" style="78" customWidth="1"/>
    <col min="12028" max="12028" width="18.7109375" style="78" customWidth="1"/>
    <col min="12029" max="12048" width="2.85546875" style="78" customWidth="1"/>
    <col min="12049" max="12049" width="3" style="78" bestFit="1" customWidth="1"/>
    <col min="12050" max="12050" width="10.5703125" style="78" bestFit="1" customWidth="1"/>
    <col min="12051" max="12053" width="0" style="78" hidden="1" customWidth="1"/>
    <col min="12054" max="12282" width="9.140625" style="78"/>
    <col min="12283" max="12283" width="3" style="78" customWidth="1"/>
    <col min="12284" max="12284" width="18.7109375" style="78" customWidth="1"/>
    <col min="12285" max="12304" width="2.85546875" style="78" customWidth="1"/>
    <col min="12305" max="12305" width="3" style="78" bestFit="1" customWidth="1"/>
    <col min="12306" max="12306" width="10.5703125" style="78" bestFit="1" customWidth="1"/>
    <col min="12307" max="12309" width="0" style="78" hidden="1" customWidth="1"/>
    <col min="12310" max="12538" width="9.140625" style="78"/>
    <col min="12539" max="12539" width="3" style="78" customWidth="1"/>
    <col min="12540" max="12540" width="18.7109375" style="78" customWidth="1"/>
    <col min="12541" max="12560" width="2.85546875" style="78" customWidth="1"/>
    <col min="12561" max="12561" width="3" style="78" bestFit="1" customWidth="1"/>
    <col min="12562" max="12562" width="10.5703125" style="78" bestFit="1" customWidth="1"/>
    <col min="12563" max="12565" width="0" style="78" hidden="1" customWidth="1"/>
    <col min="12566" max="12794" width="9.140625" style="78"/>
    <col min="12795" max="12795" width="3" style="78" customWidth="1"/>
    <col min="12796" max="12796" width="18.7109375" style="78" customWidth="1"/>
    <col min="12797" max="12816" width="2.85546875" style="78" customWidth="1"/>
    <col min="12817" max="12817" width="3" style="78" bestFit="1" customWidth="1"/>
    <col min="12818" max="12818" width="10.5703125" style="78" bestFit="1" customWidth="1"/>
    <col min="12819" max="12821" width="0" style="78" hidden="1" customWidth="1"/>
    <col min="12822" max="13050" width="9.140625" style="78"/>
    <col min="13051" max="13051" width="3" style="78" customWidth="1"/>
    <col min="13052" max="13052" width="18.7109375" style="78" customWidth="1"/>
    <col min="13053" max="13072" width="2.85546875" style="78" customWidth="1"/>
    <col min="13073" max="13073" width="3" style="78" bestFit="1" customWidth="1"/>
    <col min="13074" max="13074" width="10.5703125" style="78" bestFit="1" customWidth="1"/>
    <col min="13075" max="13077" width="0" style="78" hidden="1" customWidth="1"/>
    <col min="13078" max="13306" width="9.140625" style="78"/>
    <col min="13307" max="13307" width="3" style="78" customWidth="1"/>
    <col min="13308" max="13308" width="18.7109375" style="78" customWidth="1"/>
    <col min="13309" max="13328" width="2.85546875" style="78" customWidth="1"/>
    <col min="13329" max="13329" width="3" style="78" bestFit="1" customWidth="1"/>
    <col min="13330" max="13330" width="10.5703125" style="78" bestFit="1" customWidth="1"/>
    <col min="13331" max="13333" width="0" style="78" hidden="1" customWidth="1"/>
    <col min="13334" max="13562" width="9.140625" style="78"/>
    <col min="13563" max="13563" width="3" style="78" customWidth="1"/>
    <col min="13564" max="13564" width="18.7109375" style="78" customWidth="1"/>
    <col min="13565" max="13584" width="2.85546875" style="78" customWidth="1"/>
    <col min="13585" max="13585" width="3" style="78" bestFit="1" customWidth="1"/>
    <col min="13586" max="13586" width="10.5703125" style="78" bestFit="1" customWidth="1"/>
    <col min="13587" max="13589" width="0" style="78" hidden="1" customWidth="1"/>
    <col min="13590" max="13818" width="9.140625" style="78"/>
    <col min="13819" max="13819" width="3" style="78" customWidth="1"/>
    <col min="13820" max="13820" width="18.7109375" style="78" customWidth="1"/>
    <col min="13821" max="13840" width="2.85546875" style="78" customWidth="1"/>
    <col min="13841" max="13841" width="3" style="78" bestFit="1" customWidth="1"/>
    <col min="13842" max="13842" width="10.5703125" style="78" bestFit="1" customWidth="1"/>
    <col min="13843" max="13845" width="0" style="78" hidden="1" customWidth="1"/>
    <col min="13846" max="14074" width="9.140625" style="78"/>
    <col min="14075" max="14075" width="3" style="78" customWidth="1"/>
    <col min="14076" max="14076" width="18.7109375" style="78" customWidth="1"/>
    <col min="14077" max="14096" width="2.85546875" style="78" customWidth="1"/>
    <col min="14097" max="14097" width="3" style="78" bestFit="1" customWidth="1"/>
    <col min="14098" max="14098" width="10.5703125" style="78" bestFit="1" customWidth="1"/>
    <col min="14099" max="14101" width="0" style="78" hidden="1" customWidth="1"/>
    <col min="14102" max="14330" width="9.140625" style="78"/>
    <col min="14331" max="14331" width="3" style="78" customWidth="1"/>
    <col min="14332" max="14332" width="18.7109375" style="78" customWidth="1"/>
    <col min="14333" max="14352" width="2.85546875" style="78" customWidth="1"/>
    <col min="14353" max="14353" width="3" style="78" bestFit="1" customWidth="1"/>
    <col min="14354" max="14354" width="10.5703125" style="78" bestFit="1" customWidth="1"/>
    <col min="14355" max="14357" width="0" style="78" hidden="1" customWidth="1"/>
    <col min="14358" max="14586" width="9.140625" style="78"/>
    <col min="14587" max="14587" width="3" style="78" customWidth="1"/>
    <col min="14588" max="14588" width="18.7109375" style="78" customWidth="1"/>
    <col min="14589" max="14608" width="2.85546875" style="78" customWidth="1"/>
    <col min="14609" max="14609" width="3" style="78" bestFit="1" customWidth="1"/>
    <col min="14610" max="14610" width="10.5703125" style="78" bestFit="1" customWidth="1"/>
    <col min="14611" max="14613" width="0" style="78" hidden="1" customWidth="1"/>
    <col min="14614" max="14842" width="9.140625" style="78"/>
    <col min="14843" max="14843" width="3" style="78" customWidth="1"/>
    <col min="14844" max="14844" width="18.7109375" style="78" customWidth="1"/>
    <col min="14845" max="14864" width="2.85546875" style="78" customWidth="1"/>
    <col min="14865" max="14865" width="3" style="78" bestFit="1" customWidth="1"/>
    <col min="14866" max="14866" width="10.5703125" style="78" bestFit="1" customWidth="1"/>
    <col min="14867" max="14869" width="0" style="78" hidden="1" customWidth="1"/>
    <col min="14870" max="15098" width="9.140625" style="78"/>
    <col min="15099" max="15099" width="3" style="78" customWidth="1"/>
    <col min="15100" max="15100" width="18.7109375" style="78" customWidth="1"/>
    <col min="15101" max="15120" width="2.85546875" style="78" customWidth="1"/>
    <col min="15121" max="15121" width="3" style="78" bestFit="1" customWidth="1"/>
    <col min="15122" max="15122" width="10.5703125" style="78" bestFit="1" customWidth="1"/>
    <col min="15123" max="15125" width="0" style="78" hidden="1" customWidth="1"/>
    <col min="15126" max="15354" width="9.140625" style="78"/>
    <col min="15355" max="15355" width="3" style="78" customWidth="1"/>
    <col min="15356" max="15356" width="18.7109375" style="78" customWidth="1"/>
    <col min="15357" max="15376" width="2.85546875" style="78" customWidth="1"/>
    <col min="15377" max="15377" width="3" style="78" bestFit="1" customWidth="1"/>
    <col min="15378" max="15378" width="10.5703125" style="78" bestFit="1" customWidth="1"/>
    <col min="15379" max="15381" width="0" style="78" hidden="1" customWidth="1"/>
    <col min="15382" max="15610" width="9.140625" style="78"/>
    <col min="15611" max="15611" width="3" style="78" customWidth="1"/>
    <col min="15612" max="15612" width="18.7109375" style="78" customWidth="1"/>
    <col min="15613" max="15632" width="2.85546875" style="78" customWidth="1"/>
    <col min="15633" max="15633" width="3" style="78" bestFit="1" customWidth="1"/>
    <col min="15634" max="15634" width="10.5703125" style="78" bestFit="1" customWidth="1"/>
    <col min="15635" max="15637" width="0" style="78" hidden="1" customWidth="1"/>
    <col min="15638" max="15866" width="9.140625" style="78"/>
    <col min="15867" max="15867" width="3" style="78" customWidth="1"/>
    <col min="15868" max="15868" width="18.7109375" style="78" customWidth="1"/>
    <col min="15869" max="15888" width="2.85546875" style="78" customWidth="1"/>
    <col min="15889" max="15889" width="3" style="78" bestFit="1" customWidth="1"/>
    <col min="15890" max="15890" width="10.5703125" style="78" bestFit="1" customWidth="1"/>
    <col min="15891" max="15893" width="0" style="78" hidden="1" customWidth="1"/>
    <col min="15894" max="16122" width="9.140625" style="78"/>
    <col min="16123" max="16123" width="3" style="78" customWidth="1"/>
    <col min="16124" max="16124" width="18.7109375" style="78" customWidth="1"/>
    <col min="16125" max="16144" width="2.85546875" style="78" customWidth="1"/>
    <col min="16145" max="16145" width="3" style="78" bestFit="1" customWidth="1"/>
    <col min="16146" max="16146" width="10.5703125" style="78" bestFit="1" customWidth="1"/>
    <col min="16147" max="16149" width="0" style="78" hidden="1" customWidth="1"/>
    <col min="16150" max="16384" width="9.140625" style="78"/>
  </cols>
  <sheetData>
    <row r="1" spans="1:36" s="74" customFormat="1" x14ac:dyDescent="0.2">
      <c r="A1" s="605" t="str">
        <f>UPPER((Kalend!E14)&amp;" - "&amp;(Kalend!C14)&amp;" - "&amp;(Kalend!D14))</f>
        <v>3M - 18. EESTI MV - TULISTAMINE</v>
      </c>
      <c r="B1" s="130"/>
      <c r="C1" s="130"/>
      <c r="D1" s="130"/>
      <c r="E1" s="130"/>
      <c r="I1" s="128" t="s">
        <v>166</v>
      </c>
      <c r="Q1" s="46" t="str">
        <f>HYPERLINK("#Üldreiting!I1","Reiting")</f>
        <v>Reiting</v>
      </c>
      <c r="R1" s="130"/>
      <c r="S1" s="130"/>
      <c r="T1" s="130"/>
      <c r="U1" s="130"/>
      <c r="V1" s="130"/>
      <c r="AH1" s="683" t="s">
        <v>774</v>
      </c>
      <c r="AI1" s="798"/>
      <c r="AJ1" s="798"/>
    </row>
    <row r="2" spans="1:36" s="74" customFormat="1" x14ac:dyDescent="0.2">
      <c r="A2" s="67" t="str">
        <f>"Toimumisaeg: "&amp;(Kalend!A14)&amp;" kell "&amp;(Kalend!B14)</f>
        <v>Toimumisaeg: L, 30.06.2018 kell 10:00</v>
      </c>
      <c r="B2" s="130"/>
      <c r="C2" s="130"/>
      <c r="D2" s="130"/>
      <c r="E2" s="130"/>
      <c r="O2" s="130"/>
      <c r="P2" s="130"/>
      <c r="Q2" s="130"/>
      <c r="R2" s="130"/>
      <c r="S2" s="130"/>
      <c r="T2" s="130"/>
    </row>
    <row r="3" spans="1:36" s="74" customFormat="1" x14ac:dyDescent="0.2">
      <c r="A3" s="67" t="str">
        <f>"Toimumiskoht: "&amp;(Kalend!H14)</f>
        <v>Toimumiskoht: Tartu</v>
      </c>
      <c r="B3" s="130"/>
      <c r="C3" s="130"/>
      <c r="D3" s="130"/>
      <c r="E3" s="130"/>
      <c r="O3" s="130"/>
      <c r="P3" s="130"/>
      <c r="Q3" s="130"/>
      <c r="R3" s="130"/>
      <c r="S3" s="130"/>
      <c r="T3" s="130"/>
    </row>
    <row r="4" spans="1:36" s="74" customFormat="1" x14ac:dyDescent="0.2">
      <c r="A4" s="67" t="str">
        <f>"Korraldaja: "&amp;(Kalend!I14)</f>
        <v xml:space="preserve">Korraldaja: </v>
      </c>
      <c r="B4" s="130"/>
      <c r="C4" s="130"/>
      <c r="D4" s="130"/>
      <c r="E4" s="130"/>
      <c r="O4" s="130"/>
      <c r="P4" s="130"/>
      <c r="Q4" s="130"/>
      <c r="R4" s="130"/>
      <c r="S4" s="130"/>
      <c r="T4" s="130"/>
    </row>
    <row r="5" spans="1:36" s="74" customFormat="1" ht="13.5" thickBot="1" x14ac:dyDescent="0.25">
      <c r="A5" s="130"/>
      <c r="B5" s="130"/>
      <c r="C5" s="130"/>
      <c r="D5" s="130"/>
      <c r="E5" s="130"/>
      <c r="F5" s="130"/>
      <c r="G5" s="130"/>
      <c r="H5" s="130"/>
      <c r="I5" s="130"/>
      <c r="J5" s="130"/>
      <c r="K5" s="130"/>
      <c r="AH5" s="681" t="s">
        <v>771</v>
      </c>
      <c r="AI5" s="69"/>
      <c r="AJ5" s="69"/>
    </row>
    <row r="6" spans="1:36" ht="58.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c r="AH6" s="667" t="s">
        <v>190</v>
      </c>
      <c r="AI6" s="625"/>
      <c r="AJ6" s="625"/>
    </row>
    <row r="7" spans="1:36" s="79" customFormat="1" ht="13.5" thickBot="1" x14ac:dyDescent="0.25">
      <c r="A7" s="155"/>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160" t="s">
        <v>153</v>
      </c>
      <c r="X7" s="161" t="s">
        <v>219</v>
      </c>
      <c r="Y7" s="161" t="s">
        <v>564</v>
      </c>
      <c r="AH7" s="667" t="s">
        <v>764</v>
      </c>
      <c r="AI7" s="670" t="s">
        <v>765</v>
      </c>
      <c r="AJ7" s="670"/>
    </row>
    <row r="8" spans="1:36" ht="13.5" thickBot="1" x14ac:dyDescent="0.25">
      <c r="A8" s="162"/>
      <c r="B8" s="163" t="s">
        <v>218</v>
      </c>
      <c r="C8" s="164"/>
      <c r="D8" s="165"/>
      <c r="E8" s="165"/>
      <c r="F8" s="166"/>
      <c r="G8" s="164"/>
      <c r="H8" s="165"/>
      <c r="I8" s="165"/>
      <c r="J8" s="166"/>
      <c r="K8" s="164"/>
      <c r="L8" s="165"/>
      <c r="M8" s="165"/>
      <c r="N8" s="166"/>
      <c r="O8" s="164"/>
      <c r="P8" s="165"/>
      <c r="Q8" s="165"/>
      <c r="R8" s="166"/>
      <c r="S8" s="164"/>
      <c r="T8" s="165"/>
      <c r="U8" s="165"/>
      <c r="V8" s="166"/>
      <c r="W8" s="162"/>
      <c r="X8" s="167"/>
      <c r="Y8" s="271"/>
      <c r="AH8" s="667" t="s">
        <v>769</v>
      </c>
      <c r="AI8" s="625"/>
      <c r="AJ8" s="625"/>
    </row>
    <row r="9" spans="1:36" ht="14.25" thickTop="1" thickBot="1" x14ac:dyDescent="0.25">
      <c r="A9" s="272">
        <v>1</v>
      </c>
      <c r="B9" s="764" t="s">
        <v>54</v>
      </c>
      <c r="C9" s="274">
        <v>3</v>
      </c>
      <c r="D9" s="275">
        <v>3</v>
      </c>
      <c r="E9" s="275">
        <v>0</v>
      </c>
      <c r="F9" s="765">
        <v>3</v>
      </c>
      <c r="G9" s="274">
        <v>3</v>
      </c>
      <c r="H9" s="436">
        <v>5</v>
      </c>
      <c r="I9" s="275">
        <v>0</v>
      </c>
      <c r="J9" s="765">
        <v>0</v>
      </c>
      <c r="K9" s="274">
        <v>0</v>
      </c>
      <c r="L9" s="275">
        <v>0</v>
      </c>
      <c r="M9" s="275">
        <v>0</v>
      </c>
      <c r="N9" s="765">
        <v>0</v>
      </c>
      <c r="O9" s="274">
        <v>0</v>
      </c>
      <c r="P9" s="275">
        <v>0</v>
      </c>
      <c r="Q9" s="275">
        <v>0</v>
      </c>
      <c r="R9" s="765">
        <v>0</v>
      </c>
      <c r="S9" s="436">
        <v>5</v>
      </c>
      <c r="T9" s="275">
        <v>0</v>
      </c>
      <c r="U9" s="275">
        <v>0</v>
      </c>
      <c r="V9" s="436">
        <v>5</v>
      </c>
      <c r="W9" s="276">
        <f>IF(COUNTA(C9:V9)=0,"",SUM(C9:V9)+COUNTIF(C9:V9,5)/100+COUNTIF(C9:V9,3)/10000)</f>
        <v>27.0304</v>
      </c>
      <c r="X9" s="276" t="str">
        <f>IF(COUNTA(C9:V9)=0,"",IF(RANK(W9,$W$9:$W$24)&lt;3,"edasi "&amp;RANK(W9,$W$9:$W$24),IF(RANK(W9,$W$9:$W$24)&lt;7,"vahevooru "&amp;RANK(W9,$W$9:$W$24)-2,RANK(W9,$W$9:$W$24))))</f>
        <v>edasi 1</v>
      </c>
      <c r="Y9" s="90"/>
      <c r="AH9" s="672">
        <f t="shared" ref="AH9:AH16" si="0">SUM(AJ300:AR300)</f>
        <v>0</v>
      </c>
      <c r="AI9" s="676" t="str">
        <f t="shared" ref="AI9:AI16" ca="1" si="1">B300</f>
        <v>Kadri Arunurm</v>
      </c>
      <c r="AJ9" s="675">
        <f ca="1">IFERROR(INDEX(Üldreiting!$M:$M,MATCH(AI9,Üldreiting!$H:$H,0)),"")</f>
        <v>509</v>
      </c>
    </row>
    <row r="10" spans="1:36" ht="14.25" thickTop="1" thickBot="1" x14ac:dyDescent="0.25">
      <c r="A10" s="272">
        <v>2</v>
      </c>
      <c r="B10" s="766" t="s">
        <v>41</v>
      </c>
      <c r="C10" s="274">
        <v>0</v>
      </c>
      <c r="D10" s="275">
        <v>3</v>
      </c>
      <c r="E10" s="275">
        <v>0</v>
      </c>
      <c r="F10" s="765">
        <v>0</v>
      </c>
      <c r="G10" s="274">
        <v>0</v>
      </c>
      <c r="H10" s="275">
        <v>0</v>
      </c>
      <c r="I10" s="275">
        <v>3</v>
      </c>
      <c r="J10" s="765">
        <v>0</v>
      </c>
      <c r="K10" s="274">
        <v>1</v>
      </c>
      <c r="L10" s="275">
        <v>0</v>
      </c>
      <c r="M10" s="275">
        <v>0</v>
      </c>
      <c r="N10" s="765">
        <v>0</v>
      </c>
      <c r="O10" s="274">
        <v>0</v>
      </c>
      <c r="P10" s="275">
        <v>0</v>
      </c>
      <c r="Q10" s="275">
        <v>0</v>
      </c>
      <c r="R10" s="765">
        <v>0</v>
      </c>
      <c r="S10" s="436">
        <v>5</v>
      </c>
      <c r="T10" s="275">
        <v>3</v>
      </c>
      <c r="U10" s="275">
        <v>3</v>
      </c>
      <c r="V10" s="765">
        <v>0</v>
      </c>
      <c r="W10" s="276">
        <f t="shared" ref="W10:W24" si="2">IF(COUNTA(C10:V10)=0,"",SUM(C10:V10)+COUNTIF(C10:V10,5)/100+COUNTIF(C10:V10,3)/10000)</f>
        <v>18.010400000000001</v>
      </c>
      <c r="X10" s="276" t="str">
        <f t="shared" ref="X10:X24" si="3">IF(COUNTA(C10:V10)=0,"",IF(RANK(W10,$W$9:$W$24)&lt;3,"edasi "&amp;RANK(W10,$W$9:$W$24),IF(RANK(W10,$W$9:$W$24)&lt;7,"vahevooru "&amp;RANK(W10,$W$9:$W$24)-2,RANK(W10,$W$9:$W$24))))</f>
        <v>edasi 2</v>
      </c>
      <c r="AH10" s="672">
        <f t="shared" si="0"/>
        <v>0</v>
      </c>
      <c r="AI10" s="676" t="str">
        <f t="shared" ca="1" si="1"/>
        <v>Varje Reede</v>
      </c>
      <c r="AJ10" s="675">
        <f ca="1">IFERROR(INDEX(Üldreiting!$M:$M,MATCH(AI10,Üldreiting!$H:$H,0)),"")</f>
        <v>841</v>
      </c>
    </row>
    <row r="11" spans="1:36" ht="14.25" thickTop="1" thickBot="1" x14ac:dyDescent="0.25">
      <c r="A11" s="277">
        <v>3</v>
      </c>
      <c r="B11" s="767" t="s">
        <v>35</v>
      </c>
      <c r="C11" s="279">
        <v>0</v>
      </c>
      <c r="D11" s="437">
        <v>5</v>
      </c>
      <c r="E11" s="280">
        <v>0</v>
      </c>
      <c r="F11" s="710">
        <v>0</v>
      </c>
      <c r="G11" s="279">
        <v>0</v>
      </c>
      <c r="H11" s="280">
        <v>0</v>
      </c>
      <c r="I11" s="280">
        <v>0</v>
      </c>
      <c r="J11" s="710">
        <v>3</v>
      </c>
      <c r="K11" s="279">
        <v>0</v>
      </c>
      <c r="L11" s="280">
        <v>1</v>
      </c>
      <c r="M11" s="280">
        <v>3</v>
      </c>
      <c r="N11" s="710">
        <v>0</v>
      </c>
      <c r="O11" s="279">
        <v>0</v>
      </c>
      <c r="P11" s="280">
        <v>0</v>
      </c>
      <c r="Q11" s="280">
        <v>0</v>
      </c>
      <c r="R11" s="710">
        <v>0</v>
      </c>
      <c r="S11" s="279">
        <v>0</v>
      </c>
      <c r="T11" s="280">
        <v>0</v>
      </c>
      <c r="U11" s="280">
        <v>0</v>
      </c>
      <c r="V11" s="710">
        <v>0</v>
      </c>
      <c r="W11" s="281">
        <f t="shared" si="2"/>
        <v>12.010199999999999</v>
      </c>
      <c r="X11" s="281" t="str">
        <f t="shared" si="3"/>
        <v>vahevooru 1</v>
      </c>
      <c r="Y11" s="90"/>
      <c r="AH11" s="672">
        <f t="shared" si="0"/>
        <v>0</v>
      </c>
      <c r="AI11" s="676" t="str">
        <f t="shared" ca="1" si="1"/>
        <v>Mare Kingissepp</v>
      </c>
      <c r="AJ11" s="675">
        <f ca="1">IFERROR(INDEX(Üldreiting!$M:$M,MATCH(AI11,Üldreiting!$H:$H,0)),"")</f>
        <v>726</v>
      </c>
    </row>
    <row r="12" spans="1:36" ht="13.5" thickTop="1" x14ac:dyDescent="0.2">
      <c r="A12" s="277">
        <v>4</v>
      </c>
      <c r="B12" s="768" t="s">
        <v>535</v>
      </c>
      <c r="C12" s="279">
        <v>0</v>
      </c>
      <c r="D12" s="280">
        <v>3</v>
      </c>
      <c r="E12" s="280">
        <v>0</v>
      </c>
      <c r="F12" s="710">
        <v>3</v>
      </c>
      <c r="G12" s="279">
        <v>0</v>
      </c>
      <c r="H12" s="280">
        <v>3</v>
      </c>
      <c r="I12" s="280">
        <v>0</v>
      </c>
      <c r="J12" s="710">
        <v>0</v>
      </c>
      <c r="K12" s="279">
        <v>0</v>
      </c>
      <c r="L12" s="280">
        <v>0</v>
      </c>
      <c r="M12" s="280">
        <v>0</v>
      </c>
      <c r="N12" s="710">
        <v>3</v>
      </c>
      <c r="O12" s="279">
        <v>0</v>
      </c>
      <c r="P12" s="280">
        <v>0</v>
      </c>
      <c r="Q12" s="280">
        <v>0</v>
      </c>
      <c r="R12" s="710">
        <v>0</v>
      </c>
      <c r="S12" s="279">
        <v>0</v>
      </c>
      <c r="T12" s="280">
        <v>0</v>
      </c>
      <c r="U12" s="280">
        <v>0</v>
      </c>
      <c r="V12" s="710">
        <v>0</v>
      </c>
      <c r="W12" s="281">
        <f t="shared" si="2"/>
        <v>12.000400000000001</v>
      </c>
      <c r="X12" s="281" t="str">
        <f t="shared" si="3"/>
        <v>vahevooru 2</v>
      </c>
      <c r="AH12" s="672">
        <f t="shared" si="0"/>
        <v>0</v>
      </c>
      <c r="AI12" s="676" t="str">
        <f t="shared" ca="1" si="1"/>
        <v>Kertu Palm</v>
      </c>
      <c r="AJ12" s="675">
        <f ca="1">IFERROR(INDEX(Üldreiting!$M:$M,MATCH(AI12,Üldreiting!$H:$H,0)),"")</f>
        <v>627</v>
      </c>
    </row>
    <row r="13" spans="1:36" ht="13.5" thickBot="1" x14ac:dyDescent="0.25">
      <c r="A13" s="277">
        <v>5</v>
      </c>
      <c r="B13" s="769" t="s">
        <v>177</v>
      </c>
      <c r="C13" s="279">
        <v>0</v>
      </c>
      <c r="D13" s="280">
        <v>0</v>
      </c>
      <c r="E13" s="280">
        <v>0</v>
      </c>
      <c r="F13" s="710">
        <v>0</v>
      </c>
      <c r="G13" s="279">
        <v>0</v>
      </c>
      <c r="H13" s="280">
        <v>0</v>
      </c>
      <c r="I13" s="280">
        <v>0</v>
      </c>
      <c r="J13" s="710">
        <v>0</v>
      </c>
      <c r="K13" s="279">
        <v>0</v>
      </c>
      <c r="L13" s="280">
        <v>0</v>
      </c>
      <c r="M13" s="280">
        <v>0</v>
      </c>
      <c r="N13" s="710">
        <v>1</v>
      </c>
      <c r="O13" s="279">
        <v>3</v>
      </c>
      <c r="P13" s="280">
        <v>0</v>
      </c>
      <c r="Q13" s="280">
        <v>0</v>
      </c>
      <c r="R13" s="710">
        <v>0</v>
      </c>
      <c r="S13" s="279">
        <v>0</v>
      </c>
      <c r="T13" s="280">
        <v>0</v>
      </c>
      <c r="U13" s="280">
        <v>3</v>
      </c>
      <c r="V13" s="710">
        <v>0</v>
      </c>
      <c r="W13" s="281">
        <f t="shared" si="2"/>
        <v>7.0002000000000004</v>
      </c>
      <c r="X13" s="281" t="str">
        <f t="shared" si="3"/>
        <v>vahevooru 3</v>
      </c>
      <c r="AH13" s="672">
        <f t="shared" si="0"/>
        <v>0</v>
      </c>
      <c r="AI13" s="676" t="str">
        <f t="shared" si="1"/>
        <v>Maris Rõõm</v>
      </c>
      <c r="AJ13" s="675">
        <f ca="1">IFERROR(INDEX(Üldreiting!$M:$M,MATCH(AI13,Üldreiting!$H:$H,0)),"")</f>
        <v>542</v>
      </c>
    </row>
    <row r="14" spans="1:36" ht="14.25" thickTop="1" thickBot="1" x14ac:dyDescent="0.25">
      <c r="A14" s="277">
        <v>6</v>
      </c>
      <c r="B14" s="767" t="s">
        <v>51</v>
      </c>
      <c r="C14" s="279">
        <v>0</v>
      </c>
      <c r="D14" s="280">
        <v>0</v>
      </c>
      <c r="E14" s="280">
        <v>0</v>
      </c>
      <c r="F14" s="710">
        <v>0</v>
      </c>
      <c r="G14" s="279">
        <v>0</v>
      </c>
      <c r="H14" s="280">
        <v>0</v>
      </c>
      <c r="I14" s="280">
        <v>0</v>
      </c>
      <c r="J14" s="710">
        <v>0</v>
      </c>
      <c r="K14" s="279">
        <v>0</v>
      </c>
      <c r="L14" s="280">
        <v>0</v>
      </c>
      <c r="M14" s="280">
        <v>0</v>
      </c>
      <c r="N14" s="710">
        <v>0</v>
      </c>
      <c r="O14" s="437">
        <v>5</v>
      </c>
      <c r="P14" s="280">
        <v>0</v>
      </c>
      <c r="Q14" s="280">
        <v>0</v>
      </c>
      <c r="R14" s="710">
        <v>0</v>
      </c>
      <c r="S14" s="279">
        <v>0</v>
      </c>
      <c r="T14" s="280">
        <v>0</v>
      </c>
      <c r="U14" s="280">
        <v>0</v>
      </c>
      <c r="V14" s="710">
        <v>0</v>
      </c>
      <c r="W14" s="281">
        <f t="shared" si="2"/>
        <v>5.01</v>
      </c>
      <c r="X14" s="281" t="str">
        <f t="shared" si="3"/>
        <v>vahevooru 4</v>
      </c>
      <c r="AH14" s="672">
        <f t="shared" si="0"/>
        <v>0</v>
      </c>
      <c r="AI14" s="676" t="str">
        <f t="shared" si="1"/>
        <v>Marge Mägi</v>
      </c>
      <c r="AJ14" s="675">
        <f ca="1">IFERROR(INDEX(Üldreiting!$M:$M,MATCH(AI14,Üldreiting!$H:$H,0)),"")</f>
        <v>745</v>
      </c>
    </row>
    <row r="15" spans="1:36" ht="13.5" thickTop="1" x14ac:dyDescent="0.2">
      <c r="A15" s="283">
        <v>7</v>
      </c>
      <c r="B15" s="748" t="s">
        <v>204</v>
      </c>
      <c r="C15" s="284">
        <v>0</v>
      </c>
      <c r="D15" s="285">
        <v>0</v>
      </c>
      <c r="E15" s="285">
        <v>0</v>
      </c>
      <c r="F15" s="749">
        <v>0</v>
      </c>
      <c r="G15" s="284">
        <v>0</v>
      </c>
      <c r="H15" s="285">
        <v>0</v>
      </c>
      <c r="I15" s="285">
        <v>0</v>
      </c>
      <c r="J15" s="749">
        <v>1</v>
      </c>
      <c r="K15" s="284">
        <v>1</v>
      </c>
      <c r="L15" s="285">
        <v>0</v>
      </c>
      <c r="M15" s="285">
        <v>0</v>
      </c>
      <c r="N15" s="749">
        <v>0</v>
      </c>
      <c r="O15" s="284">
        <v>0</v>
      </c>
      <c r="P15" s="285">
        <v>0</v>
      </c>
      <c r="Q15" s="285">
        <v>0</v>
      </c>
      <c r="R15" s="749">
        <v>0</v>
      </c>
      <c r="S15" s="284">
        <v>0</v>
      </c>
      <c r="T15" s="285">
        <v>0</v>
      </c>
      <c r="U15" s="285">
        <v>0</v>
      </c>
      <c r="V15" s="749">
        <v>0</v>
      </c>
      <c r="W15" s="286">
        <f t="shared" si="2"/>
        <v>2</v>
      </c>
      <c r="X15" s="286">
        <f t="shared" si="3"/>
        <v>7</v>
      </c>
      <c r="AH15" s="672">
        <f t="shared" si="0"/>
        <v>0</v>
      </c>
      <c r="AI15" s="676" t="str">
        <f t="shared" si="1"/>
        <v>Marta Ruus</v>
      </c>
      <c r="AJ15" s="675">
        <f ca="1">IFERROR(INDEX(Üldreiting!$M:$M,MATCH(AI15,Üldreiting!$H:$H,0)),"")</f>
        <v>371</v>
      </c>
    </row>
    <row r="16" spans="1:36" ht="13.5" thickBot="1" x14ac:dyDescent="0.25">
      <c r="A16" s="283">
        <v>8</v>
      </c>
      <c r="B16" s="748" t="s">
        <v>724</v>
      </c>
      <c r="C16" s="284">
        <v>0</v>
      </c>
      <c r="D16" s="285">
        <v>0</v>
      </c>
      <c r="E16" s="285">
        <v>0</v>
      </c>
      <c r="F16" s="749">
        <v>0</v>
      </c>
      <c r="G16" s="284">
        <v>0</v>
      </c>
      <c r="H16" s="285">
        <v>0</v>
      </c>
      <c r="I16" s="285">
        <v>0</v>
      </c>
      <c r="J16" s="749">
        <v>0</v>
      </c>
      <c r="K16" s="284">
        <v>0</v>
      </c>
      <c r="L16" s="285">
        <v>0</v>
      </c>
      <c r="M16" s="285">
        <v>0</v>
      </c>
      <c r="N16" s="749">
        <v>0</v>
      </c>
      <c r="O16" s="284">
        <v>0</v>
      </c>
      <c r="P16" s="285">
        <v>0</v>
      </c>
      <c r="Q16" s="285">
        <v>0</v>
      </c>
      <c r="R16" s="749">
        <v>0</v>
      </c>
      <c r="S16" s="284">
        <v>0</v>
      </c>
      <c r="T16" s="285">
        <v>0</v>
      </c>
      <c r="U16" s="285">
        <v>0</v>
      </c>
      <c r="V16" s="749">
        <v>0</v>
      </c>
      <c r="W16" s="286">
        <f t="shared" si="2"/>
        <v>0</v>
      </c>
      <c r="X16" s="286">
        <f t="shared" si="3"/>
        <v>8</v>
      </c>
      <c r="Y16" s="90"/>
      <c r="AH16" s="672">
        <f t="shared" si="0"/>
        <v>0</v>
      </c>
      <c r="AI16" s="676" t="str">
        <f t="shared" si="1"/>
        <v>Jelena Brakina</v>
      </c>
      <c r="AJ16" s="675">
        <f ca="1">IFERROR(INDEX(Üldreiting!$M:$M,MATCH(AI16,Üldreiting!$H:$H,0)),"")</f>
        <v>276</v>
      </c>
    </row>
    <row r="17" spans="1:25" ht="13.5" hidden="1" thickBot="1" x14ac:dyDescent="0.25">
      <c r="A17" s="283">
        <v>9</v>
      </c>
      <c r="B17" s="750"/>
      <c r="C17" s="284"/>
      <c r="D17" s="285"/>
      <c r="E17" s="285"/>
      <c r="F17" s="749"/>
      <c r="G17" s="284"/>
      <c r="H17" s="285"/>
      <c r="I17" s="285"/>
      <c r="J17" s="749"/>
      <c r="K17" s="284"/>
      <c r="L17" s="285"/>
      <c r="M17" s="285"/>
      <c r="N17" s="749"/>
      <c r="O17" s="284"/>
      <c r="P17" s="285"/>
      <c r="Q17" s="285"/>
      <c r="R17" s="749"/>
      <c r="S17" s="284"/>
      <c r="T17" s="285"/>
      <c r="U17" s="285"/>
      <c r="V17" s="749"/>
      <c r="W17" s="286" t="str">
        <f t="shared" si="2"/>
        <v/>
      </c>
      <c r="X17" s="286" t="str">
        <f t="shared" si="3"/>
        <v/>
      </c>
      <c r="Y17" s="90"/>
    </row>
    <row r="18" spans="1:25" ht="13.5" hidden="1" thickBot="1" x14ac:dyDescent="0.25">
      <c r="A18" s="283">
        <v>10</v>
      </c>
      <c r="B18" s="748"/>
      <c r="C18" s="284"/>
      <c r="D18" s="285"/>
      <c r="E18" s="285"/>
      <c r="F18" s="749"/>
      <c r="G18" s="284"/>
      <c r="H18" s="285"/>
      <c r="I18" s="285"/>
      <c r="J18" s="749"/>
      <c r="K18" s="284"/>
      <c r="L18" s="285"/>
      <c r="M18" s="285"/>
      <c r="N18" s="749"/>
      <c r="O18" s="284"/>
      <c r="P18" s="285"/>
      <c r="Q18" s="285"/>
      <c r="R18" s="749"/>
      <c r="S18" s="284"/>
      <c r="T18" s="285"/>
      <c r="U18" s="285"/>
      <c r="V18" s="749"/>
      <c r="W18" s="286" t="str">
        <f t="shared" si="2"/>
        <v/>
      </c>
      <c r="X18" s="286" t="str">
        <f t="shared" si="3"/>
        <v/>
      </c>
      <c r="Y18" s="90"/>
    </row>
    <row r="19" spans="1:25" ht="13.5" hidden="1" thickBot="1" x14ac:dyDescent="0.25">
      <c r="A19" s="283">
        <v>11</v>
      </c>
      <c r="B19" s="750"/>
      <c r="C19" s="284"/>
      <c r="D19" s="285"/>
      <c r="E19" s="285"/>
      <c r="F19" s="749"/>
      <c r="G19" s="284"/>
      <c r="H19" s="285"/>
      <c r="I19" s="285"/>
      <c r="J19" s="749"/>
      <c r="K19" s="284"/>
      <c r="L19" s="285"/>
      <c r="M19" s="285"/>
      <c r="N19" s="749"/>
      <c r="O19" s="284"/>
      <c r="P19" s="285"/>
      <c r="Q19" s="285"/>
      <c r="R19" s="749"/>
      <c r="S19" s="284"/>
      <c r="T19" s="285"/>
      <c r="U19" s="285"/>
      <c r="V19" s="749"/>
      <c r="W19" s="286" t="str">
        <f t="shared" si="2"/>
        <v/>
      </c>
      <c r="X19" s="286" t="str">
        <f t="shared" si="3"/>
        <v/>
      </c>
    </row>
    <row r="20" spans="1:25" ht="13.5" hidden="1" thickBot="1" x14ac:dyDescent="0.25">
      <c r="A20" s="283">
        <v>12</v>
      </c>
      <c r="B20" s="770"/>
      <c r="C20" s="284"/>
      <c r="D20" s="285"/>
      <c r="E20" s="285"/>
      <c r="F20" s="749"/>
      <c r="G20" s="284"/>
      <c r="H20" s="285"/>
      <c r="I20" s="285"/>
      <c r="J20" s="749"/>
      <c r="K20" s="284"/>
      <c r="L20" s="285"/>
      <c r="M20" s="285"/>
      <c r="N20" s="749"/>
      <c r="O20" s="284"/>
      <c r="P20" s="285"/>
      <c r="Q20" s="285"/>
      <c r="R20" s="749"/>
      <c r="S20" s="284"/>
      <c r="T20" s="285"/>
      <c r="U20" s="285"/>
      <c r="V20" s="749"/>
      <c r="W20" s="286" t="str">
        <f t="shared" si="2"/>
        <v/>
      </c>
      <c r="X20" s="286" t="str">
        <f t="shared" si="3"/>
        <v/>
      </c>
      <c r="Y20" s="90"/>
    </row>
    <row r="21" spans="1:25" ht="13.5" hidden="1" thickBot="1" x14ac:dyDescent="0.25">
      <c r="A21" s="283">
        <v>13</v>
      </c>
      <c r="B21" s="750"/>
      <c r="C21" s="284"/>
      <c r="D21" s="285"/>
      <c r="E21" s="285"/>
      <c r="F21" s="749"/>
      <c r="G21" s="284"/>
      <c r="H21" s="285"/>
      <c r="I21" s="285"/>
      <c r="J21" s="749"/>
      <c r="K21" s="284"/>
      <c r="L21" s="285"/>
      <c r="M21" s="285"/>
      <c r="N21" s="749"/>
      <c r="O21" s="284"/>
      <c r="P21" s="285"/>
      <c r="Q21" s="285"/>
      <c r="R21" s="749"/>
      <c r="S21" s="284"/>
      <c r="T21" s="285"/>
      <c r="U21" s="285"/>
      <c r="V21" s="749"/>
      <c r="W21" s="286" t="str">
        <f t="shared" si="2"/>
        <v/>
      </c>
      <c r="X21" s="286" t="str">
        <f t="shared" si="3"/>
        <v/>
      </c>
    </row>
    <row r="22" spans="1:25" ht="13.5" hidden="1" thickBot="1" x14ac:dyDescent="0.25">
      <c r="A22" s="283">
        <v>14</v>
      </c>
      <c r="B22" s="748"/>
      <c r="C22" s="284"/>
      <c r="D22" s="285"/>
      <c r="E22" s="285"/>
      <c r="F22" s="749"/>
      <c r="G22" s="284"/>
      <c r="H22" s="285"/>
      <c r="I22" s="285"/>
      <c r="J22" s="749"/>
      <c r="K22" s="284"/>
      <c r="L22" s="285"/>
      <c r="M22" s="285"/>
      <c r="N22" s="749"/>
      <c r="O22" s="284"/>
      <c r="P22" s="285"/>
      <c r="Q22" s="285"/>
      <c r="R22" s="749"/>
      <c r="S22" s="284"/>
      <c r="T22" s="285"/>
      <c r="U22" s="285"/>
      <c r="V22" s="749"/>
      <c r="W22" s="286" t="str">
        <f t="shared" si="2"/>
        <v/>
      </c>
      <c r="X22" s="286" t="str">
        <f t="shared" si="3"/>
        <v/>
      </c>
    </row>
    <row r="23" spans="1:25" ht="13.5" hidden="1" thickBot="1" x14ac:dyDescent="0.25">
      <c r="A23" s="283">
        <v>15</v>
      </c>
      <c r="B23" s="750"/>
      <c r="C23" s="284"/>
      <c r="D23" s="285"/>
      <c r="E23" s="285"/>
      <c r="F23" s="749"/>
      <c r="G23" s="284"/>
      <c r="H23" s="285"/>
      <c r="I23" s="285"/>
      <c r="J23" s="749"/>
      <c r="K23" s="284"/>
      <c r="L23" s="285"/>
      <c r="M23" s="285"/>
      <c r="N23" s="749"/>
      <c r="O23" s="284"/>
      <c r="P23" s="285"/>
      <c r="Q23" s="285"/>
      <c r="R23" s="749"/>
      <c r="S23" s="284"/>
      <c r="T23" s="285"/>
      <c r="U23" s="285"/>
      <c r="V23" s="749"/>
      <c r="W23" s="286" t="str">
        <f t="shared" si="2"/>
        <v/>
      </c>
      <c r="X23" s="286" t="str">
        <f t="shared" si="3"/>
        <v/>
      </c>
      <c r="Y23" s="90"/>
    </row>
    <row r="24" spans="1:25" ht="13.5" hidden="1" thickBot="1" x14ac:dyDescent="0.25">
      <c r="A24" s="283">
        <v>16</v>
      </c>
      <c r="B24" s="770"/>
      <c r="C24" s="284"/>
      <c r="D24" s="285"/>
      <c r="E24" s="285"/>
      <c r="F24" s="749"/>
      <c r="G24" s="284"/>
      <c r="H24" s="285"/>
      <c r="I24" s="285"/>
      <c r="J24" s="749"/>
      <c r="K24" s="284"/>
      <c r="L24" s="285"/>
      <c r="M24" s="285"/>
      <c r="N24" s="749"/>
      <c r="O24" s="284"/>
      <c r="P24" s="285"/>
      <c r="Q24" s="285"/>
      <c r="R24" s="749"/>
      <c r="S24" s="284"/>
      <c r="T24" s="285"/>
      <c r="U24" s="285"/>
      <c r="V24" s="749"/>
      <c r="W24" s="286" t="str">
        <f t="shared" si="2"/>
        <v/>
      </c>
      <c r="X24" s="286" t="str">
        <f t="shared" si="3"/>
        <v/>
      </c>
      <c r="Y24" s="739"/>
    </row>
    <row r="25" spans="1:25" ht="13.5" thickBot="1" x14ac:dyDescent="0.25">
      <c r="A25" s="105"/>
      <c r="B25" s="109" t="s">
        <v>217</v>
      </c>
      <c r="C25" s="80"/>
      <c r="D25" s="81"/>
      <c r="E25" s="81"/>
      <c r="F25" s="82"/>
      <c r="G25" s="80"/>
      <c r="H25" s="81"/>
      <c r="I25" s="81"/>
      <c r="J25" s="82"/>
      <c r="K25" s="80"/>
      <c r="L25" s="81"/>
      <c r="M25" s="81"/>
      <c r="N25" s="82"/>
      <c r="O25" s="80"/>
      <c r="P25" s="81"/>
      <c r="Q25" s="81"/>
      <c r="R25" s="82"/>
      <c r="S25" s="80"/>
      <c r="T25" s="81"/>
      <c r="U25" s="81"/>
      <c r="V25" s="82"/>
      <c r="W25" s="105"/>
      <c r="X25" s="744"/>
      <c r="Y25" s="313" t="s">
        <v>564</v>
      </c>
    </row>
    <row r="26" spans="1:25" ht="14.25" thickTop="1" thickBot="1" x14ac:dyDescent="0.25">
      <c r="A26" s="106">
        <v>1</v>
      </c>
      <c r="B26" s="330" t="str">
        <f>IFERROR(INDEX(B$9:B$24,MATCH("vahevooru "&amp;A26,X$9:X$24,0)),"")</f>
        <v>Mare Kingissepp</v>
      </c>
      <c r="C26" s="98">
        <v>1</v>
      </c>
      <c r="D26" s="99">
        <v>3</v>
      </c>
      <c r="E26" s="99">
        <v>0</v>
      </c>
      <c r="F26" s="100">
        <v>0</v>
      </c>
      <c r="G26" s="740">
        <v>5</v>
      </c>
      <c r="H26" s="99">
        <v>0</v>
      </c>
      <c r="I26" s="99">
        <v>3</v>
      </c>
      <c r="J26" s="100">
        <v>0</v>
      </c>
      <c r="K26" s="98">
        <v>1</v>
      </c>
      <c r="L26" s="99">
        <v>0</v>
      </c>
      <c r="M26" s="99">
        <v>0</v>
      </c>
      <c r="N26" s="100">
        <v>0</v>
      </c>
      <c r="O26" s="740">
        <v>5</v>
      </c>
      <c r="P26" s="99">
        <v>0</v>
      </c>
      <c r="Q26" s="99">
        <v>0</v>
      </c>
      <c r="R26" s="100">
        <v>0</v>
      </c>
      <c r="S26" s="98">
        <v>0</v>
      </c>
      <c r="T26" s="99">
        <v>0</v>
      </c>
      <c r="U26" s="740">
        <v>5</v>
      </c>
      <c r="V26" s="100">
        <v>0</v>
      </c>
      <c r="W26" s="742">
        <f>IF(COUNTA(C26:V26)=0,"",SUM(C26:V26)+COUNTIF(C26:V26,5)/100+COUNTIF(C26:V26,3)/10000)</f>
        <v>23.030200000000001</v>
      </c>
      <c r="X26" s="276" t="str">
        <f>IF(RANK(Y26,$Y$26:$Y$29)&lt;3,"edasi "&amp;RANK(Y26,$Y$26:$Y$29)+2,RANK(Y26,$Y$26:$Y$29)+2)</f>
        <v>edasi 3</v>
      </c>
      <c r="Y26" s="320">
        <f>W26+IFERROR(INDEX(W$9:W$24,MATCH(B26,B$9:B$24,0)),0)</f>
        <v>35.040399999999998</v>
      </c>
    </row>
    <row r="27" spans="1:25" ht="14.25" thickTop="1" thickBot="1" x14ac:dyDescent="0.25">
      <c r="A27" s="106">
        <v>2</v>
      </c>
      <c r="B27" s="746" t="str">
        <f t="shared" ref="B27:B29" si="4">IFERROR(INDEX(B$9:B$24,MATCH("vahevooru "&amp;A27,X$9:X$24,0)),"")</f>
        <v>Kertu Palm</v>
      </c>
      <c r="C27" s="98">
        <v>1</v>
      </c>
      <c r="D27" s="740">
        <v>5</v>
      </c>
      <c r="E27" s="99">
        <v>0</v>
      </c>
      <c r="F27" s="100">
        <v>0</v>
      </c>
      <c r="G27" s="98">
        <v>0</v>
      </c>
      <c r="H27" s="99">
        <v>0</v>
      </c>
      <c r="I27" s="99">
        <v>0</v>
      </c>
      <c r="J27" s="100">
        <v>0</v>
      </c>
      <c r="K27" s="98">
        <v>1</v>
      </c>
      <c r="L27" s="99">
        <v>0</v>
      </c>
      <c r="M27" s="99">
        <v>0</v>
      </c>
      <c r="N27" s="100">
        <v>0</v>
      </c>
      <c r="O27" s="98">
        <v>0</v>
      </c>
      <c r="P27" s="99">
        <v>0</v>
      </c>
      <c r="Q27" s="99">
        <v>0</v>
      </c>
      <c r="R27" s="100">
        <v>0</v>
      </c>
      <c r="S27" s="98">
        <v>0</v>
      </c>
      <c r="T27" s="99">
        <v>0</v>
      </c>
      <c r="U27" s="99">
        <v>0</v>
      </c>
      <c r="V27" s="100">
        <v>0</v>
      </c>
      <c r="W27" s="742">
        <f t="shared" ref="W27:W29" si="5">IF(COUNTA(C27:V27)=0,"",SUM(C27:V27)+COUNTIF(C27:V27,5)/100+COUNTIF(C27:V27,3)/10000)</f>
        <v>7.01</v>
      </c>
      <c r="X27" s="276" t="str">
        <f>IF(RANK(Y27,$Y$26:$Y$29)&lt;3,"edasi "&amp;RANK(Y27,$Y$26:$Y$29)+2,RANK(Y27,$Y$26:$Y$29)+2)</f>
        <v>edasi 4</v>
      </c>
      <c r="Y27" s="320">
        <f t="shared" ref="Y27:Y29" si="6">W27+IFERROR(INDEX(W$9:W$24,MATCH(B27,B$9:B$24,0)),0)</f>
        <v>19.010400000000001</v>
      </c>
    </row>
    <row r="28" spans="1:25" ht="13.5" thickTop="1" x14ac:dyDescent="0.2">
      <c r="A28" s="105">
        <v>3</v>
      </c>
      <c r="B28" s="383" t="str">
        <f t="shared" si="4"/>
        <v>Maris Rõõm</v>
      </c>
      <c r="C28" s="102">
        <v>3</v>
      </c>
      <c r="D28" s="103">
        <v>0</v>
      </c>
      <c r="E28" s="103">
        <v>0</v>
      </c>
      <c r="F28" s="104">
        <v>0</v>
      </c>
      <c r="G28" s="102">
        <v>0</v>
      </c>
      <c r="H28" s="103">
        <v>0</v>
      </c>
      <c r="I28" s="103">
        <v>0</v>
      </c>
      <c r="J28" s="104">
        <v>3</v>
      </c>
      <c r="K28" s="102">
        <v>3</v>
      </c>
      <c r="L28" s="103">
        <v>0</v>
      </c>
      <c r="M28" s="103">
        <v>0</v>
      </c>
      <c r="N28" s="104">
        <v>0</v>
      </c>
      <c r="O28" s="102">
        <v>0</v>
      </c>
      <c r="P28" s="103">
        <v>3</v>
      </c>
      <c r="Q28" s="103">
        <v>0</v>
      </c>
      <c r="R28" s="104">
        <v>0</v>
      </c>
      <c r="S28" s="102">
        <v>0</v>
      </c>
      <c r="T28" s="103">
        <v>0</v>
      </c>
      <c r="U28" s="103">
        <v>0</v>
      </c>
      <c r="V28" s="104">
        <v>0</v>
      </c>
      <c r="W28" s="743">
        <f t="shared" si="5"/>
        <v>12.000400000000001</v>
      </c>
      <c r="X28" s="276">
        <f>IF(RANK(Y28,$Y$26:$Y$29)&lt;3,"edasi "&amp;RANK(Y28,$Y$26:$Y$29)+2,RANK(Y28,$Y$26:$Y$29)+2)</f>
        <v>5</v>
      </c>
      <c r="Y28" s="320">
        <f t="shared" si="6"/>
        <v>19.000600000000002</v>
      </c>
    </row>
    <row r="29" spans="1:25" x14ac:dyDescent="0.2">
      <c r="A29" s="105">
        <v>4</v>
      </c>
      <c r="B29" s="383" t="str">
        <f t="shared" si="4"/>
        <v>Marge Mägi</v>
      </c>
      <c r="C29" s="102">
        <v>0</v>
      </c>
      <c r="D29" s="103">
        <v>0</v>
      </c>
      <c r="E29" s="103">
        <v>0</v>
      </c>
      <c r="F29" s="104">
        <v>0</v>
      </c>
      <c r="G29" s="102">
        <v>0</v>
      </c>
      <c r="H29" s="103">
        <v>0</v>
      </c>
      <c r="I29" s="103">
        <v>0</v>
      </c>
      <c r="J29" s="104">
        <v>1</v>
      </c>
      <c r="K29" s="102">
        <v>1</v>
      </c>
      <c r="L29" s="103">
        <v>0</v>
      </c>
      <c r="M29" s="103">
        <v>0</v>
      </c>
      <c r="N29" s="104">
        <v>0</v>
      </c>
      <c r="O29" s="102">
        <v>1</v>
      </c>
      <c r="P29" s="103">
        <v>0</v>
      </c>
      <c r="Q29" s="103">
        <v>0</v>
      </c>
      <c r="R29" s="104">
        <v>0</v>
      </c>
      <c r="S29" s="102">
        <v>0</v>
      </c>
      <c r="T29" s="103">
        <v>0</v>
      </c>
      <c r="U29" s="103">
        <v>0</v>
      </c>
      <c r="V29" s="104">
        <v>0</v>
      </c>
      <c r="W29" s="743">
        <f t="shared" si="5"/>
        <v>3</v>
      </c>
      <c r="X29" s="276">
        <f>IF(RANK(Y29,$Y$26:$Y$29)&lt;3,"edasi "&amp;RANK(Y29,$Y$26:$Y$29)+2,RANK(Y29,$Y$26:$Y$29)+2)</f>
        <v>6</v>
      </c>
      <c r="Y29" s="320">
        <f t="shared" si="6"/>
        <v>8.01</v>
      </c>
    </row>
    <row r="30" spans="1:25" ht="13.5" thickBot="1" x14ac:dyDescent="0.25">
      <c r="A30" s="108"/>
      <c r="B30" s="109" t="s">
        <v>214</v>
      </c>
      <c r="C30" s="80"/>
      <c r="D30" s="81"/>
      <c r="E30" s="81"/>
      <c r="F30" s="82"/>
      <c r="G30" s="80"/>
      <c r="H30" s="81"/>
      <c r="I30" s="81"/>
      <c r="J30" s="82"/>
      <c r="K30" s="80"/>
      <c r="L30" s="81"/>
      <c r="M30" s="81"/>
      <c r="N30" s="82"/>
      <c r="O30" s="80"/>
      <c r="P30" s="81"/>
      <c r="Q30" s="81"/>
      <c r="R30" s="82"/>
      <c r="S30" s="80"/>
      <c r="T30" s="81"/>
      <c r="U30" s="81"/>
      <c r="V30" s="82"/>
      <c r="W30" s="83"/>
      <c r="X30" s="745"/>
    </row>
    <row r="31" spans="1:25" ht="14.25" thickTop="1" thickBot="1" x14ac:dyDescent="0.25">
      <c r="A31" s="168">
        <v>1</v>
      </c>
      <c r="B31" s="746" t="str">
        <f>IFERROR(INDEX(B$9:B$29,MATCH("edasi "&amp;A31,X$9:X$29,0)),"")</f>
        <v>Varje Reede</v>
      </c>
      <c r="C31" s="762">
        <v>5</v>
      </c>
      <c r="D31" s="170">
        <v>1</v>
      </c>
      <c r="E31" s="170">
        <v>3</v>
      </c>
      <c r="F31" s="171">
        <v>0</v>
      </c>
      <c r="G31" s="169">
        <v>3</v>
      </c>
      <c r="H31" s="170">
        <v>0</v>
      </c>
      <c r="I31" s="170">
        <v>0</v>
      </c>
      <c r="J31" s="171">
        <v>0</v>
      </c>
      <c r="K31" s="169">
        <v>0</v>
      </c>
      <c r="L31" s="170">
        <v>1</v>
      </c>
      <c r="M31" s="170">
        <v>3</v>
      </c>
      <c r="N31" s="171">
        <v>0</v>
      </c>
      <c r="O31" s="169">
        <v>0</v>
      </c>
      <c r="P31" s="170">
        <v>1</v>
      </c>
      <c r="Q31" s="170">
        <v>0</v>
      </c>
      <c r="R31" s="171">
        <v>0</v>
      </c>
      <c r="S31" s="169">
        <v>0</v>
      </c>
      <c r="T31" s="170">
        <v>0</v>
      </c>
      <c r="U31" s="170">
        <v>0</v>
      </c>
      <c r="V31" s="171">
        <v>0</v>
      </c>
      <c r="W31" s="101">
        <f>SUM(C31:V31)</f>
        <v>17</v>
      </c>
      <c r="X31" s="172" t="str">
        <f>IF(COUNTA(C31:V31)=0,"",IF(W31=W32,"ümbervisk",IF(W31&gt;W32,"finaali "&amp;(IF(W31&lt;MAX(W33:W34),2,IF(W31=MAX(W33:W34),"",1))),"pronksi "&amp;(IF(W31&lt;MIN(W33:W34),2,IF(W31=MIN(W33:W34),"",1))))))</f>
        <v>finaali 1</v>
      </c>
    </row>
    <row r="32" spans="1:25" ht="14.25" thickTop="1" thickBot="1" x14ac:dyDescent="0.25">
      <c r="A32" s="168">
        <v>4</v>
      </c>
      <c r="B32" s="330" t="str">
        <f>IFERROR(INDEX(B$9:B$29,MATCH("edasi "&amp;A32,X$9:X$29,0)),"")</f>
        <v>Kertu Palm</v>
      </c>
      <c r="C32" s="169">
        <v>3</v>
      </c>
      <c r="D32" s="170">
        <v>0</v>
      </c>
      <c r="E32" s="170">
        <v>0</v>
      </c>
      <c r="F32" s="171">
        <v>0</v>
      </c>
      <c r="G32" s="169">
        <v>0</v>
      </c>
      <c r="H32" s="170">
        <v>0</v>
      </c>
      <c r="I32" s="170">
        <v>0</v>
      </c>
      <c r="J32" s="171">
        <v>0</v>
      </c>
      <c r="K32" s="169">
        <v>0</v>
      </c>
      <c r="L32" s="170">
        <v>0</v>
      </c>
      <c r="M32" s="170">
        <v>1</v>
      </c>
      <c r="N32" s="171">
        <v>1</v>
      </c>
      <c r="O32" s="169">
        <v>0</v>
      </c>
      <c r="P32" s="170">
        <v>0</v>
      </c>
      <c r="Q32" s="170">
        <v>0</v>
      </c>
      <c r="R32" s="171">
        <v>0</v>
      </c>
      <c r="S32" s="169">
        <v>0</v>
      </c>
      <c r="T32" s="170">
        <v>0</v>
      </c>
      <c r="U32" s="170">
        <v>0</v>
      </c>
      <c r="V32" s="171">
        <v>0</v>
      </c>
      <c r="W32" s="101">
        <f>SUM(C32:V32)</f>
        <v>5</v>
      </c>
      <c r="X32" s="172" t="str">
        <f>IF(COUNTA(C32:V32)=0,"",IF(W31=W32,"ümbervisk",IF(W32&gt;W31,"finaali "&amp;(IF(W32&lt;MAX(W33:W34),2,IF(W32=MAX(W33:W34),"",1))),"pronksi "&amp;(IF(W32&lt;MIN(W33:W34),2,IF(W32=MIN(W33:W34),"",1))))))</f>
        <v>pronksi 2</v>
      </c>
    </row>
    <row r="33" spans="1:24" ht="14.25" thickTop="1" thickBot="1" x14ac:dyDescent="0.25">
      <c r="A33" s="108">
        <v>2</v>
      </c>
      <c r="B33" s="383" t="str">
        <f>IFERROR(INDEX(B$9:B$29,MATCH("edasi "&amp;A33,X$9:X$29,0)),"")</f>
        <v>Kadri Arunurm</v>
      </c>
      <c r="C33" s="80">
        <v>0</v>
      </c>
      <c r="D33" s="81">
        <v>0</v>
      </c>
      <c r="E33" s="730">
        <v>5</v>
      </c>
      <c r="F33" s="82">
        <v>0</v>
      </c>
      <c r="G33" s="80">
        <v>0</v>
      </c>
      <c r="H33" s="81">
        <v>0</v>
      </c>
      <c r="I33" s="81">
        <v>0</v>
      </c>
      <c r="J33" s="82">
        <v>0</v>
      </c>
      <c r="K33" s="80">
        <v>3</v>
      </c>
      <c r="L33" s="81">
        <v>0</v>
      </c>
      <c r="M33" s="81">
        <v>0</v>
      </c>
      <c r="N33" s="82">
        <v>0</v>
      </c>
      <c r="O33" s="80">
        <v>0</v>
      </c>
      <c r="P33" s="81">
        <v>0</v>
      </c>
      <c r="Q33" s="81">
        <v>0</v>
      </c>
      <c r="R33" s="82">
        <v>0</v>
      </c>
      <c r="S33" s="80">
        <v>0</v>
      </c>
      <c r="T33" s="730">
        <v>5</v>
      </c>
      <c r="U33" s="81">
        <v>0</v>
      </c>
      <c r="V33" s="82">
        <v>0</v>
      </c>
      <c r="W33" s="86">
        <f>SUM(C33:V33)</f>
        <v>13</v>
      </c>
      <c r="X33" s="83" t="str">
        <f>IF(COUNTA(C33:V33)=0,"",IF(W33=W34,"ümbervisk",IF(W33&gt;W34,"finaali "&amp;(IF(W33&lt;MAX(W31:W32),2,IF(W33=MAX(W31:W32),"",1))),"pronksi "&amp;(IF(W33&lt;MIN(W31:W32),2,IF(W33=MIN(W31:W32),"",1))))))</f>
        <v>finaali 2</v>
      </c>
    </row>
    <row r="34" spans="1:24" ht="14.25" thickTop="1" thickBot="1" x14ac:dyDescent="0.25">
      <c r="A34" s="754">
        <v>3</v>
      </c>
      <c r="B34" s="755" t="str">
        <f>IFERROR(INDEX(B$9:B$29,MATCH("edasi "&amp;A34,X$9:X$29,0)),"")</f>
        <v>Mare Kingissepp</v>
      </c>
      <c r="C34" s="726">
        <v>3</v>
      </c>
      <c r="D34" s="723">
        <v>0</v>
      </c>
      <c r="E34" s="723">
        <v>0</v>
      </c>
      <c r="F34" s="720">
        <v>0</v>
      </c>
      <c r="G34" s="726">
        <v>0</v>
      </c>
      <c r="H34" s="723">
        <v>0</v>
      </c>
      <c r="I34" s="723">
        <v>3</v>
      </c>
      <c r="J34" s="720">
        <v>0</v>
      </c>
      <c r="K34" s="726">
        <v>0</v>
      </c>
      <c r="L34" s="723">
        <v>0</v>
      </c>
      <c r="M34" s="723">
        <v>0</v>
      </c>
      <c r="N34" s="720">
        <v>0</v>
      </c>
      <c r="O34" s="726">
        <v>0</v>
      </c>
      <c r="P34" s="723">
        <v>0</v>
      </c>
      <c r="Q34" s="723">
        <v>0</v>
      </c>
      <c r="R34" s="720">
        <v>0</v>
      </c>
      <c r="S34" s="730">
        <v>5</v>
      </c>
      <c r="T34" s="723">
        <v>0</v>
      </c>
      <c r="U34" s="723">
        <v>0</v>
      </c>
      <c r="V34" s="720">
        <v>0</v>
      </c>
      <c r="W34" s="756">
        <f>SUM(C34:V34)</f>
        <v>11</v>
      </c>
      <c r="X34" s="744" t="str">
        <f>IF(COUNTA(C34:V34)=0,"",IF(W33=W34,"ümbervisk",IF(W34&gt;W33,"finaali "&amp;(IF(W34&lt;MAX(W31:W32),2,IF(W34=MAX(W31:W32),"",1))),"pronksi "&amp;(IF(W34&lt;MIN(W31:W32),2,IF(W34=MIN(W31:W32),"",1))))))</f>
        <v>pronksi 1</v>
      </c>
    </row>
    <row r="35" spans="1:24" ht="14.25" thickTop="1" thickBot="1" x14ac:dyDescent="0.25">
      <c r="A35" s="294"/>
      <c r="B35" s="347" t="s">
        <v>215</v>
      </c>
      <c r="C35" s="164"/>
      <c r="D35" s="165"/>
      <c r="E35" s="165"/>
      <c r="F35" s="166"/>
      <c r="G35" s="164"/>
      <c r="H35" s="165"/>
      <c r="I35" s="165"/>
      <c r="J35" s="166"/>
      <c r="K35" s="164"/>
      <c r="L35" s="165"/>
      <c r="M35" s="165"/>
      <c r="N35" s="166"/>
      <c r="O35" s="164"/>
      <c r="P35" s="165"/>
      <c r="Q35" s="165"/>
      <c r="R35" s="166"/>
      <c r="S35" s="164"/>
      <c r="T35" s="165"/>
      <c r="U35" s="165"/>
      <c r="V35" s="166"/>
      <c r="W35" s="329"/>
      <c r="X35" s="167"/>
    </row>
    <row r="36" spans="1:24" ht="14.25" thickTop="1" thickBot="1" x14ac:dyDescent="0.25">
      <c r="A36" s="108">
        <v>1</v>
      </c>
      <c r="B36" s="383" t="str">
        <f>IFERROR(INDEX(B$31:B$34,MATCH("pronksi "&amp;A36,X$31:X$34,0)),"")</f>
        <v>Mare Kingissepp</v>
      </c>
      <c r="C36" s="80">
        <v>3</v>
      </c>
      <c r="D36" s="81">
        <v>0</v>
      </c>
      <c r="E36" s="81">
        <v>0</v>
      </c>
      <c r="F36" s="82">
        <v>0</v>
      </c>
      <c r="G36" s="80">
        <v>0</v>
      </c>
      <c r="H36" s="81">
        <v>0</v>
      </c>
      <c r="I36" s="81">
        <v>1</v>
      </c>
      <c r="J36" s="82">
        <v>0</v>
      </c>
      <c r="K36" s="80">
        <v>1</v>
      </c>
      <c r="L36" s="81">
        <v>3</v>
      </c>
      <c r="M36" s="81">
        <v>1</v>
      </c>
      <c r="N36" s="82">
        <v>0</v>
      </c>
      <c r="O36" s="80">
        <v>0</v>
      </c>
      <c r="P36" s="81">
        <v>0</v>
      </c>
      <c r="Q36" s="81">
        <v>0</v>
      </c>
      <c r="R36" s="82">
        <v>1</v>
      </c>
      <c r="S36" s="730">
        <v>5</v>
      </c>
      <c r="T36" s="81">
        <v>0</v>
      </c>
      <c r="U36" s="81">
        <v>0</v>
      </c>
      <c r="V36" s="82">
        <v>0</v>
      </c>
      <c r="W36" s="86">
        <f>SUM(C36:V36)</f>
        <v>15</v>
      </c>
      <c r="X36" s="91">
        <f ca="1">IF( INDIRECT("RC[-1]",0)=MAX(( INDIRECT("R[-1]C[-1]",0)):( INDIRECT("R[1]C[-1]",0))),3,4)</f>
        <v>3</v>
      </c>
    </row>
    <row r="37" spans="1:24" ht="14.25" thickTop="1" thickBot="1" x14ac:dyDescent="0.25">
      <c r="A37" s="112">
        <v>2</v>
      </c>
      <c r="B37" s="761" t="str">
        <f>IFERROR(INDEX(B$31:B$34,MATCH("pronksi "&amp;A37,X$31:X$34,0)),"")</f>
        <v>Kertu Palm</v>
      </c>
      <c r="C37" s="92">
        <v>1</v>
      </c>
      <c r="D37" s="93">
        <v>0</v>
      </c>
      <c r="E37" s="93">
        <v>0</v>
      </c>
      <c r="F37" s="94">
        <v>0</v>
      </c>
      <c r="G37" s="92">
        <v>0</v>
      </c>
      <c r="H37" s="93">
        <v>3</v>
      </c>
      <c r="I37" s="93">
        <v>0</v>
      </c>
      <c r="J37" s="410">
        <v>0</v>
      </c>
      <c r="K37" s="92">
        <v>1</v>
      </c>
      <c r="L37" s="93">
        <v>0</v>
      </c>
      <c r="M37" s="93">
        <v>0</v>
      </c>
      <c r="N37" s="94">
        <v>0</v>
      </c>
      <c r="O37" s="92">
        <v>0</v>
      </c>
      <c r="P37" s="93">
        <v>0</v>
      </c>
      <c r="Q37" s="93">
        <v>0</v>
      </c>
      <c r="R37" s="94">
        <v>0</v>
      </c>
      <c r="S37" s="92">
        <v>3</v>
      </c>
      <c r="T37" s="93">
        <v>0</v>
      </c>
      <c r="U37" s="93">
        <v>0</v>
      </c>
      <c r="V37" s="94">
        <v>0</v>
      </c>
      <c r="W37" s="95">
        <f>SUM(C37:V37)</f>
        <v>8</v>
      </c>
      <c r="X37" s="96">
        <f ca="1">IF( INDIRECT("RC[-1]",0)=MAX(( INDIRECT("R[-1]C[-1]",0)):( INDIRECT("R[1]C[-1]",0))),3,4)</f>
        <v>4</v>
      </c>
    </row>
    <row r="38" spans="1:24" x14ac:dyDescent="0.2">
      <c r="A38" s="757"/>
      <c r="B38" s="758" t="s">
        <v>216</v>
      </c>
      <c r="C38" s="759"/>
      <c r="D38" s="724"/>
      <c r="E38" s="724"/>
      <c r="F38" s="721"/>
      <c r="G38" s="759"/>
      <c r="H38" s="724"/>
      <c r="I38" s="724"/>
      <c r="J38" s="721"/>
      <c r="K38" s="759"/>
      <c r="L38" s="724"/>
      <c r="M38" s="724"/>
      <c r="N38" s="721"/>
      <c r="O38" s="759"/>
      <c r="P38" s="724"/>
      <c r="Q38" s="724"/>
      <c r="R38" s="721"/>
      <c r="S38" s="759"/>
      <c r="T38" s="724"/>
      <c r="U38" s="724"/>
      <c r="V38" s="721"/>
      <c r="W38" s="760"/>
      <c r="X38" s="745"/>
    </row>
    <row r="39" spans="1:24" ht="13.5" thickBot="1" x14ac:dyDescent="0.25">
      <c r="A39" s="108">
        <v>1</v>
      </c>
      <c r="B39" s="383" t="str">
        <f>IFERROR(INDEX(B$31:B$34,MATCH("finaali "&amp;A39,X$31:X$34,0)),"")</f>
        <v>Varje Reede</v>
      </c>
      <c r="C39" s="80">
        <v>0</v>
      </c>
      <c r="D39" s="81">
        <v>0</v>
      </c>
      <c r="E39" s="81">
        <v>0</v>
      </c>
      <c r="F39" s="82">
        <v>1</v>
      </c>
      <c r="G39" s="80">
        <v>0</v>
      </c>
      <c r="H39" s="81">
        <v>0</v>
      </c>
      <c r="I39" s="81">
        <v>0</v>
      </c>
      <c r="J39" s="82">
        <v>0</v>
      </c>
      <c r="K39" s="80">
        <v>0</v>
      </c>
      <c r="L39" s="81">
        <v>0</v>
      </c>
      <c r="M39" s="81">
        <v>1</v>
      </c>
      <c r="N39" s="82">
        <v>0</v>
      </c>
      <c r="O39" s="80">
        <v>0</v>
      </c>
      <c r="P39" s="81">
        <v>0</v>
      </c>
      <c r="Q39" s="81">
        <v>0</v>
      </c>
      <c r="R39" s="82">
        <v>0</v>
      </c>
      <c r="S39" s="80">
        <v>0</v>
      </c>
      <c r="T39" s="81">
        <v>0</v>
      </c>
      <c r="U39" s="81">
        <v>0</v>
      </c>
      <c r="V39" s="82">
        <v>0</v>
      </c>
      <c r="W39" s="86">
        <f>SUM(C39:V39)</f>
        <v>2</v>
      </c>
      <c r="X39" s="91">
        <f ca="1">IF( INDIRECT("RC[-1]",0)=MAX(( INDIRECT("R[-1]C[-1]",0)):( INDIRECT("R[1]C[-1]",0))),1,2)</f>
        <v>2</v>
      </c>
    </row>
    <row r="40" spans="1:24" ht="14.25" thickTop="1" thickBot="1" x14ac:dyDescent="0.25">
      <c r="A40" s="112">
        <v>2</v>
      </c>
      <c r="B40" s="725" t="str">
        <f>IFERROR(INDEX(B$31:B$34,MATCH("finaali "&amp;A40,X$31:X$34,0)),"")</f>
        <v>Kadri Arunurm</v>
      </c>
      <c r="C40" s="92">
        <v>0</v>
      </c>
      <c r="D40" s="93">
        <v>0</v>
      </c>
      <c r="E40" s="730">
        <v>5</v>
      </c>
      <c r="F40" s="94">
        <v>0</v>
      </c>
      <c r="G40" s="92">
        <v>0</v>
      </c>
      <c r="H40" s="93">
        <v>0</v>
      </c>
      <c r="I40" s="93">
        <v>3</v>
      </c>
      <c r="J40" s="94">
        <v>0</v>
      </c>
      <c r="K40" s="92">
        <v>3</v>
      </c>
      <c r="L40" s="93">
        <v>0</v>
      </c>
      <c r="M40" s="93">
        <v>0</v>
      </c>
      <c r="N40" s="94">
        <v>0</v>
      </c>
      <c r="O40" s="92">
        <v>3</v>
      </c>
      <c r="P40" s="93">
        <v>0</v>
      </c>
      <c r="Q40" s="93">
        <v>0</v>
      </c>
      <c r="R40" s="94">
        <v>0</v>
      </c>
      <c r="S40" s="730">
        <v>5</v>
      </c>
      <c r="T40" s="93">
        <v>0</v>
      </c>
      <c r="U40" s="93">
        <v>3</v>
      </c>
      <c r="V40" s="94">
        <v>0</v>
      </c>
      <c r="W40" s="95">
        <f>SUM(C40:V40)</f>
        <v>22</v>
      </c>
      <c r="X40" s="96">
        <f ca="1">IF( INDIRECT("RC[-1]",0)=MAX(( INDIRECT("R[-1]C[-1]",0)):( INDIRECT("R[1]C[-1]",0))),1,2)</f>
        <v>1</v>
      </c>
    </row>
    <row r="41" spans="1:24" x14ac:dyDescent="0.2">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row>
    <row r="42" spans="1:24" x14ac:dyDescent="0.2">
      <c r="B42" s="354" t="s">
        <v>569</v>
      </c>
      <c r="C42" s="80">
        <f>SUM(C9:C40)</f>
        <v>23</v>
      </c>
      <c r="D42" s="81">
        <f t="shared" ref="D42:V42" si="7">SUM(D9:D40)</f>
        <v>23</v>
      </c>
      <c r="E42" s="81">
        <f t="shared" si="7"/>
        <v>13</v>
      </c>
      <c r="F42" s="366">
        <f t="shared" si="7"/>
        <v>7</v>
      </c>
      <c r="G42" s="773">
        <f t="shared" si="7"/>
        <v>11</v>
      </c>
      <c r="H42" s="81">
        <f t="shared" si="7"/>
        <v>11</v>
      </c>
      <c r="I42" s="81">
        <f t="shared" si="7"/>
        <v>13</v>
      </c>
      <c r="J42" s="82">
        <f t="shared" si="7"/>
        <v>8</v>
      </c>
      <c r="K42" s="80">
        <f t="shared" si="7"/>
        <v>16</v>
      </c>
      <c r="L42" s="81">
        <f t="shared" si="7"/>
        <v>5</v>
      </c>
      <c r="M42" s="81">
        <f t="shared" si="7"/>
        <v>9</v>
      </c>
      <c r="N42" s="366">
        <f t="shared" si="7"/>
        <v>5</v>
      </c>
      <c r="O42" s="773">
        <f t="shared" si="7"/>
        <v>17</v>
      </c>
      <c r="P42" s="81">
        <f t="shared" si="7"/>
        <v>4</v>
      </c>
      <c r="Q42" s="81">
        <f t="shared" si="7"/>
        <v>0</v>
      </c>
      <c r="R42" s="82">
        <f t="shared" si="7"/>
        <v>1</v>
      </c>
      <c r="S42" s="80">
        <f t="shared" si="7"/>
        <v>28</v>
      </c>
      <c r="T42" s="81">
        <f t="shared" si="7"/>
        <v>8</v>
      </c>
      <c r="U42" s="81">
        <f t="shared" si="7"/>
        <v>14</v>
      </c>
      <c r="V42" s="366">
        <f t="shared" si="7"/>
        <v>5</v>
      </c>
      <c r="W42" s="107"/>
      <c r="X42" s="107"/>
    </row>
    <row r="43" spans="1:24" x14ac:dyDescent="0.2">
      <c r="C43" s="357">
        <f>SUM(C9:C40)</f>
        <v>23</v>
      </c>
      <c r="D43" s="355">
        <f t="shared" ref="D43:V43" si="8">SUM(D9:D40)</f>
        <v>23</v>
      </c>
      <c r="E43" s="355">
        <f t="shared" si="8"/>
        <v>13</v>
      </c>
      <c r="F43" s="356">
        <f t="shared" si="8"/>
        <v>7</v>
      </c>
      <c r="G43" s="774">
        <f t="shared" si="8"/>
        <v>11</v>
      </c>
      <c r="H43" s="355">
        <f t="shared" si="8"/>
        <v>11</v>
      </c>
      <c r="I43" s="355">
        <f t="shared" si="8"/>
        <v>13</v>
      </c>
      <c r="J43" s="772">
        <f t="shared" si="8"/>
        <v>8</v>
      </c>
      <c r="K43" s="357">
        <f t="shared" si="8"/>
        <v>16</v>
      </c>
      <c r="L43" s="355">
        <f t="shared" si="8"/>
        <v>5</v>
      </c>
      <c r="M43" s="355">
        <f t="shared" si="8"/>
        <v>9</v>
      </c>
      <c r="N43" s="356">
        <f t="shared" si="8"/>
        <v>5</v>
      </c>
      <c r="O43" s="774">
        <f t="shared" si="8"/>
        <v>17</v>
      </c>
      <c r="P43" s="355">
        <f t="shared" si="8"/>
        <v>4</v>
      </c>
      <c r="Q43" s="355">
        <f t="shared" si="8"/>
        <v>0</v>
      </c>
      <c r="R43" s="772">
        <f t="shared" si="8"/>
        <v>1</v>
      </c>
      <c r="S43" s="357">
        <f t="shared" si="8"/>
        <v>28</v>
      </c>
      <c r="T43" s="355">
        <f t="shared" si="8"/>
        <v>8</v>
      </c>
      <c r="U43" s="355">
        <f t="shared" si="8"/>
        <v>14</v>
      </c>
      <c r="V43" s="356">
        <f t="shared" si="8"/>
        <v>5</v>
      </c>
      <c r="W43" s="107"/>
      <c r="X43" s="107"/>
    </row>
    <row r="44" spans="1:24" x14ac:dyDescent="0.2">
      <c r="B44" s="350"/>
      <c r="C44" s="935">
        <f>SUM(C9:F40)</f>
        <v>66</v>
      </c>
      <c r="D44" s="936"/>
      <c r="E44" s="936"/>
      <c r="F44" s="937"/>
      <c r="G44" s="941">
        <f t="shared" ref="G44" si="9">SUM(G9:J40)</f>
        <v>43</v>
      </c>
      <c r="H44" s="936"/>
      <c r="I44" s="936"/>
      <c r="J44" s="942"/>
      <c r="K44" s="935">
        <f t="shared" ref="K44" si="10">SUM(K9:N40)</f>
        <v>35</v>
      </c>
      <c r="L44" s="936"/>
      <c r="M44" s="936"/>
      <c r="N44" s="937"/>
      <c r="O44" s="941">
        <f t="shared" ref="O44" si="11">SUM(O9:R40)</f>
        <v>22</v>
      </c>
      <c r="P44" s="936"/>
      <c r="Q44" s="936"/>
      <c r="R44" s="942"/>
      <c r="S44" s="935">
        <f t="shared" ref="S44" si="12">SUM(S9:V40)</f>
        <v>55</v>
      </c>
      <c r="T44" s="936"/>
      <c r="U44" s="936"/>
      <c r="V44" s="937"/>
      <c r="W44" s="107"/>
      <c r="X44" s="107"/>
    </row>
    <row r="45" spans="1:24" hidden="1" x14ac:dyDescent="0.2">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1:24" hidden="1" x14ac:dyDescent="0.2">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1:24" hidden="1" x14ac:dyDescent="0.2">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1:24" hidden="1" x14ac:dyDescent="0.2">
      <c r="C48" s="107"/>
      <c r="D48" s="107"/>
      <c r="E48" s="107"/>
      <c r="F48" s="107"/>
      <c r="G48" s="107"/>
      <c r="H48" s="107"/>
      <c r="I48" s="107"/>
      <c r="J48" s="107"/>
      <c r="K48" s="107"/>
      <c r="L48" s="107"/>
      <c r="M48" s="107"/>
      <c r="N48" s="107"/>
      <c r="O48" s="107"/>
      <c r="P48" s="107"/>
      <c r="Q48" s="107"/>
      <c r="R48" s="107"/>
      <c r="S48" s="107"/>
      <c r="T48" s="107"/>
      <c r="U48" s="107"/>
      <c r="V48" s="107"/>
      <c r="W48" s="107"/>
      <c r="X48" s="107"/>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C299" s="775" t="s">
        <v>790</v>
      </c>
      <c r="D299" s="775" t="s">
        <v>28</v>
      </c>
    </row>
    <row r="300" spans="1:4" x14ac:dyDescent="0.2">
      <c r="A300" s="113">
        <v>1</v>
      </c>
      <c r="B300" s="127" t="str">
        <f t="shared" ref="B300:B307" ca="1" si="13">IF(IFERROR(INDEX($B$9:$B$121,MATCH($A300,$X$9:$X$121,0)),"")=0,"",IFERROR(INDEX($B$9:$B$121,MATCH($A300,$X$9:$X$121,0)),""))</f>
        <v>Kadri Arunurm</v>
      </c>
      <c r="C300" s="664">
        <v>173</v>
      </c>
      <c r="D300" s="776">
        <v>105</v>
      </c>
    </row>
    <row r="301" spans="1:4" x14ac:dyDescent="0.2">
      <c r="A301" s="113">
        <v>2</v>
      </c>
      <c r="B301" s="114" t="str">
        <f t="shared" ca="1" si="13"/>
        <v>Varje Reede</v>
      </c>
      <c r="C301" s="665">
        <v>158</v>
      </c>
      <c r="D301" s="776">
        <v>93</v>
      </c>
    </row>
    <row r="302" spans="1:4" x14ac:dyDescent="0.2">
      <c r="A302" s="113">
        <v>3</v>
      </c>
      <c r="B302" s="115" t="str">
        <f t="shared" ca="1" si="13"/>
        <v>Mare Kingissepp</v>
      </c>
      <c r="C302" s="665">
        <v>146</v>
      </c>
      <c r="D302" s="776">
        <v>83</v>
      </c>
    </row>
    <row r="303" spans="1:4" x14ac:dyDescent="0.2">
      <c r="A303" s="113">
        <v>4</v>
      </c>
      <c r="B303" s="201" t="str">
        <f t="shared" ca="1" si="13"/>
        <v>Kertu Palm</v>
      </c>
      <c r="C303" s="665">
        <v>135</v>
      </c>
      <c r="D303" s="776">
        <v>74</v>
      </c>
    </row>
    <row r="304" spans="1:4" x14ac:dyDescent="0.2">
      <c r="A304" s="113">
        <v>5</v>
      </c>
      <c r="B304" s="201" t="str">
        <f t="shared" si="13"/>
        <v>Maris Rõõm</v>
      </c>
      <c r="C304" s="665">
        <v>126</v>
      </c>
      <c r="D304" s="776">
        <v>65</v>
      </c>
    </row>
    <row r="305" spans="1:36" x14ac:dyDescent="0.2">
      <c r="A305" s="113">
        <v>6</v>
      </c>
      <c r="B305" s="201" t="str">
        <f t="shared" si="13"/>
        <v>Marge Mägi</v>
      </c>
      <c r="C305" s="665">
        <v>119</v>
      </c>
      <c r="D305" s="776">
        <v>57</v>
      </c>
    </row>
    <row r="306" spans="1:36" x14ac:dyDescent="0.2">
      <c r="A306" s="113">
        <v>7</v>
      </c>
      <c r="B306" s="201" t="str">
        <f t="shared" si="13"/>
        <v>Marta Ruus</v>
      </c>
      <c r="C306" s="665">
        <v>111</v>
      </c>
      <c r="D306" s="776">
        <v>50</v>
      </c>
    </row>
    <row r="307" spans="1:36" x14ac:dyDescent="0.2">
      <c r="A307" s="113">
        <v>8</v>
      </c>
      <c r="B307" s="201" t="str">
        <f t="shared" si="13"/>
        <v>Jelena Brakina</v>
      </c>
      <c r="C307" s="665">
        <v>104</v>
      </c>
      <c r="D307" s="776">
        <v>42</v>
      </c>
    </row>
    <row r="308" spans="1:36" hidden="1" x14ac:dyDescent="0.2">
      <c r="C308" s="665">
        <v>96</v>
      </c>
      <c r="D308" s="776">
        <v>35</v>
      </c>
      <c r="AH308" s="672">
        <f t="shared" ref="AH308:AH332" si="14">SUM(AJ308:AR308)</f>
        <v>0</v>
      </c>
      <c r="AI308" s="676">
        <f t="shared" ref="AI308:AI332" si="15">B308</f>
        <v>0</v>
      </c>
      <c r="AJ308" s="675" t="str">
        <f>IFERROR(INDEX(Üldreiting!$M:$M,MATCH(AI308,Üldreiting!$H:$H,0)),"")</f>
        <v/>
      </c>
    </row>
    <row r="309" spans="1:36" hidden="1" x14ac:dyDescent="0.2">
      <c r="C309" s="665">
        <v>90</v>
      </c>
      <c r="D309" s="776">
        <v>29</v>
      </c>
      <c r="AH309" s="672">
        <f t="shared" si="14"/>
        <v>0</v>
      </c>
      <c r="AI309" s="676">
        <f t="shared" si="15"/>
        <v>0</v>
      </c>
      <c r="AJ309" s="675" t="str">
        <f>IFERROR(INDEX(Üldreiting!$M:$M,MATCH(AI309,Üldreiting!$H:$H,0)),"")</f>
        <v/>
      </c>
    </row>
    <row r="310" spans="1:36" hidden="1" x14ac:dyDescent="0.2">
      <c r="C310" s="665">
        <v>84</v>
      </c>
      <c r="D310" s="776">
        <v>23</v>
      </c>
      <c r="AH310" s="672">
        <f t="shared" si="14"/>
        <v>0</v>
      </c>
      <c r="AI310" s="676">
        <f t="shared" si="15"/>
        <v>0</v>
      </c>
      <c r="AJ310" s="675" t="str">
        <f>IFERROR(INDEX(Üldreiting!$M:$M,MATCH(AI310,Üldreiting!$H:$H,0)),"")</f>
        <v/>
      </c>
    </row>
    <row r="311" spans="1:36" hidden="1" x14ac:dyDescent="0.2">
      <c r="C311" s="666">
        <v>78</v>
      </c>
      <c r="D311" s="776">
        <v>17</v>
      </c>
      <c r="AH311" s="672">
        <f t="shared" si="14"/>
        <v>0</v>
      </c>
      <c r="AI311" s="676">
        <f t="shared" si="15"/>
        <v>0</v>
      </c>
      <c r="AJ311" s="675" t="str">
        <f>IFERROR(INDEX(Üldreiting!$M:$M,MATCH(AI311,Üldreiting!$H:$H,0)),"")</f>
        <v/>
      </c>
    </row>
    <row r="312" spans="1:36" hidden="1" x14ac:dyDescent="0.2">
      <c r="C312" s="666">
        <v>74</v>
      </c>
      <c r="D312" s="776">
        <v>12</v>
      </c>
      <c r="AH312" s="672">
        <f t="shared" si="14"/>
        <v>0</v>
      </c>
      <c r="AI312" s="676">
        <f t="shared" si="15"/>
        <v>0</v>
      </c>
      <c r="AJ312" s="675" t="str">
        <f>IFERROR(INDEX(Üldreiting!$M:$M,MATCH(AI312,Üldreiting!$H:$H,0)),"")</f>
        <v/>
      </c>
    </row>
    <row r="313" spans="1:36" hidden="1" x14ac:dyDescent="0.2">
      <c r="C313" s="666">
        <v>69</v>
      </c>
      <c r="D313" s="776">
        <v>8</v>
      </c>
      <c r="AH313" s="672">
        <f t="shared" si="14"/>
        <v>0</v>
      </c>
      <c r="AI313" s="676">
        <f t="shared" si="15"/>
        <v>0</v>
      </c>
      <c r="AJ313" s="675" t="str">
        <f>IFERROR(INDEX(Üldreiting!$M:$M,MATCH(AI313,Üldreiting!$H:$H,0)),"")</f>
        <v/>
      </c>
    </row>
    <row r="314" spans="1:36" hidden="1" x14ac:dyDescent="0.2">
      <c r="C314" s="666">
        <v>65</v>
      </c>
      <c r="D314" s="776">
        <v>5</v>
      </c>
      <c r="AH314" s="672">
        <f t="shared" si="14"/>
        <v>0</v>
      </c>
      <c r="AI314" s="676">
        <f t="shared" si="15"/>
        <v>0</v>
      </c>
      <c r="AJ314" s="675" t="str">
        <f>IFERROR(INDEX(Üldreiting!$M:$M,MATCH(AI314,Üldreiting!$H:$H,0)),"")</f>
        <v/>
      </c>
    </row>
    <row r="315" spans="1:36" hidden="1" x14ac:dyDescent="0.2">
      <c r="C315" s="666">
        <v>60</v>
      </c>
      <c r="D315" s="776">
        <v>3</v>
      </c>
      <c r="AH315" s="672">
        <f t="shared" si="14"/>
        <v>0</v>
      </c>
      <c r="AI315" s="676">
        <f t="shared" si="15"/>
        <v>0</v>
      </c>
      <c r="AJ315" s="675" t="str">
        <f>IFERROR(INDEX(Üldreiting!$M:$M,MATCH(AI315,Üldreiting!$H:$H,0)),"")</f>
        <v/>
      </c>
    </row>
    <row r="316" spans="1:36" hidden="1" x14ac:dyDescent="0.2">
      <c r="C316" s="666">
        <v>56</v>
      </c>
      <c r="D316" s="776">
        <v>1</v>
      </c>
      <c r="AH316" s="672">
        <f t="shared" si="14"/>
        <v>0</v>
      </c>
      <c r="AI316" s="676">
        <f t="shared" si="15"/>
        <v>0</v>
      </c>
      <c r="AJ316" s="675" t="str">
        <f>IFERROR(INDEX(Üldreiting!$M:$M,MATCH(AI316,Üldreiting!$H:$H,0)),"")</f>
        <v/>
      </c>
    </row>
    <row r="317" spans="1:36" hidden="1" x14ac:dyDescent="0.2">
      <c r="C317" s="666">
        <v>51</v>
      </c>
      <c r="D317" s="776">
        <v>1</v>
      </c>
      <c r="AH317" s="672">
        <f t="shared" si="14"/>
        <v>0</v>
      </c>
      <c r="AI317" s="676">
        <f t="shared" si="15"/>
        <v>0</v>
      </c>
      <c r="AJ317" s="675" t="str">
        <f>IFERROR(INDEX(Üldreiting!$M:$M,MATCH(AI317,Üldreiting!$H:$H,0)),"")</f>
        <v/>
      </c>
    </row>
    <row r="318" spans="1:36" hidden="1" x14ac:dyDescent="0.2">
      <c r="C318" s="666">
        <v>47</v>
      </c>
      <c r="D318" s="776">
        <v>1</v>
      </c>
      <c r="AH318" s="672">
        <f t="shared" si="14"/>
        <v>0</v>
      </c>
      <c r="AI318" s="676">
        <f t="shared" si="15"/>
        <v>0</v>
      </c>
      <c r="AJ318" s="675" t="str">
        <f>IFERROR(INDEX(Üldreiting!$M:$M,MATCH(AI318,Üldreiting!$H:$H,0)),"")</f>
        <v/>
      </c>
    </row>
    <row r="319" spans="1:36" hidden="1" x14ac:dyDescent="0.2">
      <c r="C319" s="666">
        <v>42</v>
      </c>
      <c r="D319" s="776">
        <v>1</v>
      </c>
      <c r="AH319" s="672">
        <f t="shared" si="14"/>
        <v>0</v>
      </c>
      <c r="AI319" s="676">
        <f t="shared" si="15"/>
        <v>0</v>
      </c>
      <c r="AJ319" s="675" t="str">
        <f>IFERROR(INDEX(Üldreiting!$M:$M,MATCH(AI319,Üldreiting!$H:$H,0)),"")</f>
        <v/>
      </c>
    </row>
    <row r="320" spans="1:36" hidden="1" x14ac:dyDescent="0.2">
      <c r="C320" s="666">
        <v>38</v>
      </c>
      <c r="D320" s="776">
        <v>1</v>
      </c>
      <c r="AH320" s="672">
        <f t="shared" si="14"/>
        <v>0</v>
      </c>
      <c r="AI320" s="676">
        <f t="shared" si="15"/>
        <v>0</v>
      </c>
      <c r="AJ320" s="675" t="str">
        <f>IFERROR(INDEX(Üldreiting!$M:$M,MATCH(AI320,Üldreiting!$H:$H,0)),"")</f>
        <v/>
      </c>
    </row>
    <row r="321" spans="3:36" hidden="1" x14ac:dyDescent="0.2">
      <c r="C321" s="666">
        <v>33</v>
      </c>
      <c r="D321" s="776">
        <v>1</v>
      </c>
      <c r="AH321" s="672">
        <f t="shared" si="14"/>
        <v>0</v>
      </c>
      <c r="AI321" s="676">
        <f t="shared" si="15"/>
        <v>0</v>
      </c>
      <c r="AJ321" s="675" t="str">
        <f>IFERROR(INDEX(Üldreiting!$M:$M,MATCH(AI321,Üldreiting!$H:$H,0)),"")</f>
        <v/>
      </c>
    </row>
    <row r="322" spans="3:36" hidden="1" x14ac:dyDescent="0.2">
      <c r="C322" s="666">
        <v>29</v>
      </c>
      <c r="D322" s="776">
        <v>1</v>
      </c>
      <c r="AH322" s="672">
        <f t="shared" si="14"/>
        <v>0</v>
      </c>
      <c r="AI322" s="676">
        <f t="shared" si="15"/>
        <v>0</v>
      </c>
      <c r="AJ322" s="675" t="str">
        <f>IFERROR(INDEX(Üldreiting!$M:$M,MATCH(AI322,Üldreiting!$H:$H,0)),"")</f>
        <v/>
      </c>
    </row>
    <row r="323" spans="3:36" hidden="1" x14ac:dyDescent="0.2">
      <c r="C323" s="666">
        <v>24</v>
      </c>
      <c r="D323" s="776">
        <v>1</v>
      </c>
      <c r="AH323" s="672">
        <f t="shared" si="14"/>
        <v>0</v>
      </c>
      <c r="AI323" s="676">
        <f t="shared" si="15"/>
        <v>0</v>
      </c>
      <c r="AJ323" s="675" t="str">
        <f>IFERROR(INDEX(Üldreiting!$M:$M,MATCH(AI323,Üldreiting!$H:$H,0)),"")</f>
        <v/>
      </c>
    </row>
    <row r="324" spans="3:36" hidden="1" x14ac:dyDescent="0.2">
      <c r="C324" s="666">
        <v>21</v>
      </c>
      <c r="D324" s="776">
        <v>1</v>
      </c>
      <c r="AH324" s="672">
        <f t="shared" si="14"/>
        <v>0</v>
      </c>
      <c r="AI324" s="676">
        <f t="shared" si="15"/>
        <v>0</v>
      </c>
      <c r="AJ324" s="675" t="str">
        <f>IFERROR(INDEX(Üldreiting!$M:$M,MATCH(AI324,Üldreiting!$H:$H,0)),"")</f>
        <v/>
      </c>
    </row>
    <row r="325" spans="3:36" hidden="1" x14ac:dyDescent="0.2">
      <c r="C325" s="666">
        <v>18</v>
      </c>
      <c r="D325" s="776">
        <v>1</v>
      </c>
      <c r="AH325" s="672">
        <f t="shared" si="14"/>
        <v>0</v>
      </c>
      <c r="AI325" s="676">
        <f t="shared" si="15"/>
        <v>0</v>
      </c>
      <c r="AJ325" s="675" t="str">
        <f>IFERROR(INDEX(Üldreiting!$M:$M,MATCH(AI325,Üldreiting!$H:$H,0)),"")</f>
        <v/>
      </c>
    </row>
    <row r="326" spans="3:36" hidden="1" x14ac:dyDescent="0.2">
      <c r="C326" s="666">
        <v>16</v>
      </c>
      <c r="D326" s="776">
        <v>1</v>
      </c>
      <c r="AH326" s="672">
        <f t="shared" si="14"/>
        <v>0</v>
      </c>
      <c r="AI326" s="676">
        <f t="shared" si="15"/>
        <v>0</v>
      </c>
      <c r="AJ326" s="675" t="str">
        <f>IFERROR(INDEX(Üldreiting!$M:$M,MATCH(AI326,Üldreiting!$H:$H,0)),"")</f>
        <v/>
      </c>
    </row>
    <row r="327" spans="3:36" hidden="1" x14ac:dyDescent="0.2">
      <c r="C327" s="666">
        <v>14</v>
      </c>
      <c r="D327" s="776">
        <v>1</v>
      </c>
      <c r="AH327" s="672">
        <f t="shared" si="14"/>
        <v>0</v>
      </c>
      <c r="AI327" s="676">
        <f t="shared" si="15"/>
        <v>0</v>
      </c>
      <c r="AJ327" s="675" t="str">
        <f>IFERROR(INDEX(Üldreiting!$M:$M,MATCH(AI327,Üldreiting!$H:$H,0)),"")</f>
        <v/>
      </c>
    </row>
    <row r="328" spans="3:36" hidden="1" x14ac:dyDescent="0.2">
      <c r="C328" s="666">
        <v>12</v>
      </c>
      <c r="D328" s="776">
        <v>1</v>
      </c>
      <c r="AH328" s="672">
        <f t="shared" si="14"/>
        <v>0</v>
      </c>
      <c r="AI328" s="676">
        <f t="shared" si="15"/>
        <v>0</v>
      </c>
      <c r="AJ328" s="675" t="str">
        <f>IFERROR(INDEX(Üldreiting!$M:$M,MATCH(AI328,Üldreiting!$H:$H,0)),"")</f>
        <v/>
      </c>
    </row>
    <row r="329" spans="3:36" hidden="1" x14ac:dyDescent="0.2">
      <c r="C329" s="666">
        <v>10</v>
      </c>
      <c r="D329" s="776">
        <v>1</v>
      </c>
      <c r="AH329" s="672">
        <f t="shared" si="14"/>
        <v>0</v>
      </c>
      <c r="AI329" s="676">
        <f t="shared" si="15"/>
        <v>0</v>
      </c>
      <c r="AJ329" s="675" t="str">
        <f>IFERROR(INDEX(Üldreiting!$M:$M,MATCH(AI329,Üldreiting!$H:$H,0)),"")</f>
        <v/>
      </c>
    </row>
    <row r="330" spans="3:36" hidden="1" x14ac:dyDescent="0.2">
      <c r="C330" s="666">
        <v>8</v>
      </c>
      <c r="D330" s="776">
        <v>1</v>
      </c>
      <c r="AH330" s="672">
        <f t="shared" si="14"/>
        <v>0</v>
      </c>
      <c r="AI330" s="676">
        <f t="shared" si="15"/>
        <v>0</v>
      </c>
      <c r="AJ330" s="675" t="str">
        <f>IFERROR(INDEX(Üldreiting!$M:$M,MATCH(AI330,Üldreiting!$H:$H,0)),"")</f>
        <v/>
      </c>
    </row>
    <row r="331" spans="3:36" hidden="1" x14ac:dyDescent="0.2">
      <c r="C331" s="666">
        <v>6</v>
      </c>
      <c r="D331" s="776">
        <v>1</v>
      </c>
      <c r="AH331" s="672">
        <f t="shared" si="14"/>
        <v>0</v>
      </c>
      <c r="AI331" s="676">
        <f t="shared" si="15"/>
        <v>0</v>
      </c>
      <c r="AJ331" s="675" t="str">
        <f>IFERROR(INDEX(Üldreiting!$M:$M,MATCH(AI331,Üldreiting!$H:$H,0)),"")</f>
        <v/>
      </c>
    </row>
    <row r="332" spans="3:36" hidden="1" x14ac:dyDescent="0.2">
      <c r="C332" s="666">
        <v>3</v>
      </c>
      <c r="D332" s="776">
        <v>1</v>
      </c>
      <c r="AH332" s="672">
        <f t="shared" si="14"/>
        <v>0</v>
      </c>
      <c r="AI332" s="676">
        <f t="shared" si="15"/>
        <v>0</v>
      </c>
      <c r="AJ332" s="675" t="str">
        <f>IFERROR(INDEX(Üldreiting!$M:$M,MATCH(AI332,Üldreiting!$H:$H,0)),"")</f>
        <v/>
      </c>
    </row>
    <row r="333" spans="3:36" x14ac:dyDescent="0.2">
      <c r="C333" s="666"/>
    </row>
    <row r="334" spans="3:36" x14ac:dyDescent="0.2">
      <c r="C334" s="69"/>
    </row>
  </sheetData>
  <mergeCells count="5">
    <mergeCell ref="C44:F44"/>
    <mergeCell ref="G44:J44"/>
    <mergeCell ref="K44:N44"/>
    <mergeCell ref="O44:R44"/>
    <mergeCell ref="S44:V44"/>
  </mergeCells>
  <conditionalFormatting sqref="W39:W40">
    <cfRule type="top10" dxfId="1504" priority="28" rank="1"/>
  </conditionalFormatting>
  <conditionalFormatting sqref="W31:W32">
    <cfRule type="top10" dxfId="1503" priority="31" rank="1"/>
  </conditionalFormatting>
  <conditionalFormatting sqref="W33:W34">
    <cfRule type="top10" dxfId="1502" priority="30" rank="1"/>
  </conditionalFormatting>
  <conditionalFormatting sqref="W36:W37">
    <cfRule type="top10" dxfId="1501" priority="29" rank="1"/>
  </conditionalFormatting>
  <conditionalFormatting sqref="X33:X34">
    <cfRule type="duplicateValues" dxfId="1500" priority="26"/>
  </conditionalFormatting>
  <conditionalFormatting sqref="X31:X32">
    <cfRule type="duplicateValues" dxfId="1499" priority="27"/>
  </conditionalFormatting>
  <conditionalFormatting sqref="X9:X24">
    <cfRule type="duplicateValues" dxfId="1498" priority="25"/>
  </conditionalFormatting>
  <conditionalFormatting sqref="B9:B16">
    <cfRule type="duplicateValues" dxfId="1497" priority="23" stopIfTrue="1"/>
  </conditionalFormatting>
  <conditionalFormatting sqref="X9:X24">
    <cfRule type="top10" dxfId="1496" priority="34" stopIfTrue="1" rank="100"/>
  </conditionalFormatting>
  <conditionalFormatting sqref="B17:B20">
    <cfRule type="duplicateValues" dxfId="1495" priority="18" stopIfTrue="1"/>
  </conditionalFormatting>
  <conditionalFormatting sqref="B21:B24">
    <cfRule type="duplicateValues" dxfId="1494" priority="14" stopIfTrue="1"/>
  </conditionalFormatting>
  <conditionalFormatting sqref="W9:W40">
    <cfRule type="top10" dxfId="1493" priority="15487" stopIfTrue="1" rank="1"/>
  </conditionalFormatting>
  <conditionalFormatting sqref="X26:X29">
    <cfRule type="duplicateValues" dxfId="1492" priority="15489"/>
    <cfRule type="top10" dxfId="1491" priority="15490" rank="100"/>
  </conditionalFormatting>
  <conditionalFormatting sqref="Y26:Y29">
    <cfRule type="duplicateValues" dxfId="1490" priority="15491"/>
  </conditionalFormatting>
  <conditionalFormatting sqref="C44:V44">
    <cfRule type="colorScale" priority="6">
      <colorScale>
        <cfvo type="min"/>
        <cfvo type="percentile" val="50"/>
        <cfvo type="max"/>
        <color rgb="FFF8696B"/>
        <color rgb="FFFFEB84"/>
        <color rgb="FF63BE7B"/>
      </colorScale>
    </cfRule>
  </conditionalFormatting>
  <conditionalFormatting sqref="C43:V43">
    <cfRule type="dataBar" priority="5">
      <dataBar>
        <cfvo type="min"/>
        <cfvo type="max"/>
        <color rgb="FF008AEF"/>
      </dataBar>
      <extLst>
        <ext xmlns:x14="http://schemas.microsoft.com/office/spreadsheetml/2009/9/main" uri="{B025F937-C7B1-47D3-B67F-A62EFF666E3E}">
          <x14:id>{6A273BFB-47F0-479C-9621-586020837CBF}</x14:id>
        </ext>
      </extLst>
    </cfRule>
  </conditionalFormatting>
  <conditionalFormatting sqref="C42:V42">
    <cfRule type="top10" dxfId="1489" priority="3" rank="1"/>
    <cfRule type="colorScale" priority="4">
      <colorScale>
        <cfvo type="min"/>
        <cfvo type="percentile" val="50"/>
        <cfvo type="max"/>
        <color rgb="FFF8696B"/>
        <color rgb="FFFFEB84"/>
        <color rgb="FF63BE7B"/>
      </colorScale>
    </cfRule>
  </conditionalFormatting>
  <conditionalFormatting sqref="C44:V44">
    <cfRule type="top10" dxfId="1488" priority="2" rank="1"/>
  </conditionalFormatting>
  <conditionalFormatting sqref="AI308:AI332 AI9:AI16">
    <cfRule type="expression" dxfId="1487" priority="1">
      <formula>AND(AJ9="",COUNTIF(AI9,"*,*")=0)</formula>
    </cfRule>
  </conditionalFormatting>
  <pageMargins left="0.59055118110236227" right="0.27559055118110237" top="0.59055118110236227" bottom="0.39370078740157483" header="0.39370078740157483" footer="0"/>
  <pageSetup paperSize="9" fitToHeight="0" orientation="portrait" r:id="rId1"/>
  <headerFooter alignWithMargins="0">
    <oddHeader>&amp;R&amp;"Arial,Regular"&amp;9Page &amp;P of &amp;N</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6A273BFB-47F0-479C-9621-586020837CBF}">
            <x14:dataBar minLength="0" maxLength="100" gradient="0">
              <x14:cfvo type="autoMin"/>
              <x14:cfvo type="autoMax"/>
              <x14:negativeFillColor rgb="FFFF0000"/>
              <x14:axisColor rgb="FF000000"/>
            </x14:dataBar>
          </x14:cfRule>
          <xm:sqref>C43:V43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AC150"/>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78" customWidth="1"/>
    <col min="2" max="2" width="18.85546875" style="78" customWidth="1"/>
    <col min="3" max="22" width="2.7109375" style="78" customWidth="1"/>
    <col min="23" max="23" width="3" style="78" bestFit="1" customWidth="1"/>
    <col min="24" max="24" width="11.5703125" style="78" bestFit="1" customWidth="1"/>
    <col min="25" max="25" width="3" style="78" customWidth="1"/>
    <col min="26" max="27" width="4" style="78" hidden="1" customWidth="1"/>
    <col min="28" max="28" width="4.5703125" style="78" hidden="1" customWidth="1"/>
    <col min="29" max="29" width="9.140625" style="78"/>
    <col min="30" max="36" width="2.7109375" style="78" customWidth="1"/>
    <col min="37" max="226" width="9.140625" style="78"/>
    <col min="227" max="227" width="3" style="78" customWidth="1"/>
    <col min="228" max="228" width="18.7109375" style="78" customWidth="1"/>
    <col min="229" max="248" width="2.85546875" style="78" customWidth="1"/>
    <col min="249" max="249" width="3" style="78" bestFit="1" customWidth="1"/>
    <col min="250" max="250" width="10.5703125" style="78" customWidth="1"/>
    <col min="251" max="253" width="0" style="78" hidden="1" customWidth="1"/>
    <col min="254" max="482" width="9.140625" style="78"/>
    <col min="483" max="483" width="3" style="78" customWidth="1"/>
    <col min="484" max="484" width="18.7109375" style="78" customWidth="1"/>
    <col min="485" max="504" width="2.85546875" style="78" customWidth="1"/>
    <col min="505" max="505" width="3" style="78" bestFit="1" customWidth="1"/>
    <col min="506" max="506" width="10.5703125" style="78" customWidth="1"/>
    <col min="507" max="509" width="0" style="78" hidden="1" customWidth="1"/>
    <col min="510" max="738" width="9.140625" style="78"/>
    <col min="739" max="739" width="3" style="78" customWidth="1"/>
    <col min="740" max="740" width="18.7109375" style="78" customWidth="1"/>
    <col min="741" max="760" width="2.85546875" style="78" customWidth="1"/>
    <col min="761" max="761" width="3" style="78" bestFit="1" customWidth="1"/>
    <col min="762" max="762" width="10.5703125" style="78" customWidth="1"/>
    <col min="763" max="765" width="0" style="78" hidden="1" customWidth="1"/>
    <col min="766" max="994" width="9.140625" style="78"/>
    <col min="995" max="995" width="3" style="78" customWidth="1"/>
    <col min="996" max="996" width="18.7109375" style="78" customWidth="1"/>
    <col min="997" max="1016" width="2.85546875" style="78" customWidth="1"/>
    <col min="1017" max="1017" width="3" style="78" bestFit="1" customWidth="1"/>
    <col min="1018" max="1018" width="10.5703125" style="78" customWidth="1"/>
    <col min="1019" max="1021" width="0" style="78" hidden="1" customWidth="1"/>
    <col min="1022" max="1250" width="9.140625" style="78"/>
    <col min="1251" max="1251" width="3" style="78" customWidth="1"/>
    <col min="1252" max="1252" width="18.7109375" style="78" customWidth="1"/>
    <col min="1253" max="1272" width="2.85546875" style="78" customWidth="1"/>
    <col min="1273" max="1273" width="3" style="78" bestFit="1" customWidth="1"/>
    <col min="1274" max="1274" width="10.5703125" style="78" customWidth="1"/>
    <col min="1275" max="1277" width="0" style="78" hidden="1" customWidth="1"/>
    <col min="1278" max="1506" width="9.140625" style="78"/>
    <col min="1507" max="1507" width="3" style="78" customWidth="1"/>
    <col min="1508" max="1508" width="18.7109375" style="78" customWidth="1"/>
    <col min="1509" max="1528" width="2.85546875" style="78" customWidth="1"/>
    <col min="1529" max="1529" width="3" style="78" bestFit="1" customWidth="1"/>
    <col min="1530" max="1530" width="10.5703125" style="78" customWidth="1"/>
    <col min="1531" max="1533" width="0" style="78" hidden="1" customWidth="1"/>
    <col min="1534" max="1762" width="9.140625" style="78"/>
    <col min="1763" max="1763" width="3" style="78" customWidth="1"/>
    <col min="1764" max="1764" width="18.7109375" style="78" customWidth="1"/>
    <col min="1765" max="1784" width="2.85546875" style="78" customWidth="1"/>
    <col min="1785" max="1785" width="3" style="78" bestFit="1" customWidth="1"/>
    <col min="1786" max="1786" width="10.5703125" style="78" customWidth="1"/>
    <col min="1787" max="1789" width="0" style="78" hidden="1" customWidth="1"/>
    <col min="1790" max="2018" width="9.140625" style="78"/>
    <col min="2019" max="2019" width="3" style="78" customWidth="1"/>
    <col min="2020" max="2020" width="18.7109375" style="78" customWidth="1"/>
    <col min="2021" max="2040" width="2.85546875" style="78" customWidth="1"/>
    <col min="2041" max="2041" width="3" style="78" bestFit="1" customWidth="1"/>
    <col min="2042" max="2042" width="10.5703125" style="78" customWidth="1"/>
    <col min="2043" max="2045" width="0" style="78" hidden="1" customWidth="1"/>
    <col min="2046" max="2274" width="9.140625" style="78"/>
    <col min="2275" max="2275" width="3" style="78" customWidth="1"/>
    <col min="2276" max="2276" width="18.7109375" style="78" customWidth="1"/>
    <col min="2277" max="2296" width="2.85546875" style="78" customWidth="1"/>
    <col min="2297" max="2297" width="3" style="78" bestFit="1" customWidth="1"/>
    <col min="2298" max="2298" width="10.5703125" style="78" customWidth="1"/>
    <col min="2299" max="2301" width="0" style="78" hidden="1" customWidth="1"/>
    <col min="2302" max="2530" width="9.140625" style="78"/>
    <col min="2531" max="2531" width="3" style="78" customWidth="1"/>
    <col min="2532" max="2532" width="18.7109375" style="78" customWidth="1"/>
    <col min="2533" max="2552" width="2.85546875" style="78" customWidth="1"/>
    <col min="2553" max="2553" width="3" style="78" bestFit="1" customWidth="1"/>
    <col min="2554" max="2554" width="10.5703125" style="78" customWidth="1"/>
    <col min="2555" max="2557" width="0" style="78" hidden="1" customWidth="1"/>
    <col min="2558" max="2786" width="9.140625" style="78"/>
    <col min="2787" max="2787" width="3" style="78" customWidth="1"/>
    <col min="2788" max="2788" width="18.7109375" style="78" customWidth="1"/>
    <col min="2789" max="2808" width="2.85546875" style="78" customWidth="1"/>
    <col min="2809" max="2809" width="3" style="78" bestFit="1" customWidth="1"/>
    <col min="2810" max="2810" width="10.5703125" style="78" customWidth="1"/>
    <col min="2811" max="2813" width="0" style="78" hidden="1" customWidth="1"/>
    <col min="2814" max="3042" width="9.140625" style="78"/>
    <col min="3043" max="3043" width="3" style="78" customWidth="1"/>
    <col min="3044" max="3044" width="18.7109375" style="78" customWidth="1"/>
    <col min="3045" max="3064" width="2.85546875" style="78" customWidth="1"/>
    <col min="3065" max="3065" width="3" style="78" bestFit="1" customWidth="1"/>
    <col min="3066" max="3066" width="10.5703125" style="78" customWidth="1"/>
    <col min="3067" max="3069" width="0" style="78" hidden="1" customWidth="1"/>
    <col min="3070" max="3298" width="9.140625" style="78"/>
    <col min="3299" max="3299" width="3" style="78" customWidth="1"/>
    <col min="3300" max="3300" width="18.7109375" style="78" customWidth="1"/>
    <col min="3301" max="3320" width="2.85546875" style="78" customWidth="1"/>
    <col min="3321" max="3321" width="3" style="78" bestFit="1" customWidth="1"/>
    <col min="3322" max="3322" width="10.5703125" style="78" customWidth="1"/>
    <col min="3323" max="3325" width="0" style="78" hidden="1" customWidth="1"/>
    <col min="3326" max="3554" width="9.140625" style="78"/>
    <col min="3555" max="3555" width="3" style="78" customWidth="1"/>
    <col min="3556" max="3556" width="18.7109375" style="78" customWidth="1"/>
    <col min="3557" max="3576" width="2.85546875" style="78" customWidth="1"/>
    <col min="3577" max="3577" width="3" style="78" bestFit="1" customWidth="1"/>
    <col min="3578" max="3578" width="10.5703125" style="78" customWidth="1"/>
    <col min="3579" max="3581" width="0" style="78" hidden="1" customWidth="1"/>
    <col min="3582" max="3810" width="9.140625" style="78"/>
    <col min="3811" max="3811" width="3" style="78" customWidth="1"/>
    <col min="3812" max="3812" width="18.7109375" style="78" customWidth="1"/>
    <col min="3813" max="3832" width="2.85546875" style="78" customWidth="1"/>
    <col min="3833" max="3833" width="3" style="78" bestFit="1" customWidth="1"/>
    <col min="3834" max="3834" width="10.5703125" style="78" customWidth="1"/>
    <col min="3835" max="3837" width="0" style="78" hidden="1" customWidth="1"/>
    <col min="3838" max="4066" width="9.140625" style="78"/>
    <col min="4067" max="4067" width="3" style="78" customWidth="1"/>
    <col min="4068" max="4068" width="18.7109375" style="78" customWidth="1"/>
    <col min="4069" max="4088" width="2.85546875" style="78" customWidth="1"/>
    <col min="4089" max="4089" width="3" style="78" bestFit="1" customWidth="1"/>
    <col min="4090" max="4090" width="10.5703125" style="78" customWidth="1"/>
    <col min="4091" max="4093" width="0" style="78" hidden="1" customWidth="1"/>
    <col min="4094" max="4322" width="9.140625" style="78"/>
    <col min="4323" max="4323" width="3" style="78" customWidth="1"/>
    <col min="4324" max="4324" width="18.7109375" style="78" customWidth="1"/>
    <col min="4325" max="4344" width="2.85546875" style="78" customWidth="1"/>
    <col min="4345" max="4345" width="3" style="78" bestFit="1" customWidth="1"/>
    <col min="4346" max="4346" width="10.5703125" style="78" customWidth="1"/>
    <col min="4347" max="4349" width="0" style="78" hidden="1" customWidth="1"/>
    <col min="4350" max="4578" width="9.140625" style="78"/>
    <col min="4579" max="4579" width="3" style="78" customWidth="1"/>
    <col min="4580" max="4580" width="18.7109375" style="78" customWidth="1"/>
    <col min="4581" max="4600" width="2.85546875" style="78" customWidth="1"/>
    <col min="4601" max="4601" width="3" style="78" bestFit="1" customWidth="1"/>
    <col min="4602" max="4602" width="10.5703125" style="78" customWidth="1"/>
    <col min="4603" max="4605" width="0" style="78" hidden="1" customWidth="1"/>
    <col min="4606" max="4834" width="9.140625" style="78"/>
    <col min="4835" max="4835" width="3" style="78" customWidth="1"/>
    <col min="4836" max="4836" width="18.7109375" style="78" customWidth="1"/>
    <col min="4837" max="4856" width="2.85546875" style="78" customWidth="1"/>
    <col min="4857" max="4857" width="3" style="78" bestFit="1" customWidth="1"/>
    <col min="4858" max="4858" width="10.5703125" style="78" customWidth="1"/>
    <col min="4859" max="4861" width="0" style="78" hidden="1" customWidth="1"/>
    <col min="4862" max="5090" width="9.140625" style="78"/>
    <col min="5091" max="5091" width="3" style="78" customWidth="1"/>
    <col min="5092" max="5092" width="18.7109375" style="78" customWidth="1"/>
    <col min="5093" max="5112" width="2.85546875" style="78" customWidth="1"/>
    <col min="5113" max="5113" width="3" style="78" bestFit="1" customWidth="1"/>
    <col min="5114" max="5114" width="10.5703125" style="78" customWidth="1"/>
    <col min="5115" max="5117" width="0" style="78" hidden="1" customWidth="1"/>
    <col min="5118" max="5346" width="9.140625" style="78"/>
    <col min="5347" max="5347" width="3" style="78" customWidth="1"/>
    <col min="5348" max="5348" width="18.7109375" style="78" customWidth="1"/>
    <col min="5349" max="5368" width="2.85546875" style="78" customWidth="1"/>
    <col min="5369" max="5369" width="3" style="78" bestFit="1" customWidth="1"/>
    <col min="5370" max="5370" width="10.5703125" style="78" customWidth="1"/>
    <col min="5371" max="5373" width="0" style="78" hidden="1" customWidth="1"/>
    <col min="5374" max="5602" width="9.140625" style="78"/>
    <col min="5603" max="5603" width="3" style="78" customWidth="1"/>
    <col min="5604" max="5604" width="18.7109375" style="78" customWidth="1"/>
    <col min="5605" max="5624" width="2.85546875" style="78" customWidth="1"/>
    <col min="5625" max="5625" width="3" style="78" bestFit="1" customWidth="1"/>
    <col min="5626" max="5626" width="10.5703125" style="78" customWidth="1"/>
    <col min="5627" max="5629" width="0" style="78" hidden="1" customWidth="1"/>
    <col min="5630" max="5858" width="9.140625" style="78"/>
    <col min="5859" max="5859" width="3" style="78" customWidth="1"/>
    <col min="5860" max="5860" width="18.7109375" style="78" customWidth="1"/>
    <col min="5861" max="5880" width="2.85546875" style="78" customWidth="1"/>
    <col min="5881" max="5881" width="3" style="78" bestFit="1" customWidth="1"/>
    <col min="5882" max="5882" width="10.5703125" style="78" customWidth="1"/>
    <col min="5883" max="5885" width="0" style="78" hidden="1" customWidth="1"/>
    <col min="5886" max="6114" width="9.140625" style="78"/>
    <col min="6115" max="6115" width="3" style="78" customWidth="1"/>
    <col min="6116" max="6116" width="18.7109375" style="78" customWidth="1"/>
    <col min="6117" max="6136" width="2.85546875" style="78" customWidth="1"/>
    <col min="6137" max="6137" width="3" style="78" bestFit="1" customWidth="1"/>
    <col min="6138" max="6138" width="10.5703125" style="78" customWidth="1"/>
    <col min="6139" max="6141" width="0" style="78" hidden="1" customWidth="1"/>
    <col min="6142" max="6370" width="9.140625" style="78"/>
    <col min="6371" max="6371" width="3" style="78" customWidth="1"/>
    <col min="6372" max="6372" width="18.7109375" style="78" customWidth="1"/>
    <col min="6373" max="6392" width="2.85546875" style="78" customWidth="1"/>
    <col min="6393" max="6393" width="3" style="78" bestFit="1" customWidth="1"/>
    <col min="6394" max="6394" width="10.5703125" style="78" customWidth="1"/>
    <col min="6395" max="6397" width="0" style="78" hidden="1" customWidth="1"/>
    <col min="6398" max="6626" width="9.140625" style="78"/>
    <col min="6627" max="6627" width="3" style="78" customWidth="1"/>
    <col min="6628" max="6628" width="18.7109375" style="78" customWidth="1"/>
    <col min="6629" max="6648" width="2.85546875" style="78" customWidth="1"/>
    <col min="6649" max="6649" width="3" style="78" bestFit="1" customWidth="1"/>
    <col min="6650" max="6650" width="10.5703125" style="78" customWidth="1"/>
    <col min="6651" max="6653" width="0" style="78" hidden="1" customWidth="1"/>
    <col min="6654" max="6882" width="9.140625" style="78"/>
    <col min="6883" max="6883" width="3" style="78" customWidth="1"/>
    <col min="6884" max="6884" width="18.7109375" style="78" customWidth="1"/>
    <col min="6885" max="6904" width="2.85546875" style="78" customWidth="1"/>
    <col min="6905" max="6905" width="3" style="78" bestFit="1" customWidth="1"/>
    <col min="6906" max="6906" width="10.5703125" style="78" customWidth="1"/>
    <col min="6907" max="6909" width="0" style="78" hidden="1" customWidth="1"/>
    <col min="6910" max="7138" width="9.140625" style="78"/>
    <col min="7139" max="7139" width="3" style="78" customWidth="1"/>
    <col min="7140" max="7140" width="18.7109375" style="78" customWidth="1"/>
    <col min="7141" max="7160" width="2.85546875" style="78" customWidth="1"/>
    <col min="7161" max="7161" width="3" style="78" bestFit="1" customWidth="1"/>
    <col min="7162" max="7162" width="10.5703125" style="78" customWidth="1"/>
    <col min="7163" max="7165" width="0" style="78" hidden="1" customWidth="1"/>
    <col min="7166" max="7394" width="9.140625" style="78"/>
    <col min="7395" max="7395" width="3" style="78" customWidth="1"/>
    <col min="7396" max="7396" width="18.7109375" style="78" customWidth="1"/>
    <col min="7397" max="7416" width="2.85546875" style="78" customWidth="1"/>
    <col min="7417" max="7417" width="3" style="78" bestFit="1" customWidth="1"/>
    <col min="7418" max="7418" width="10.5703125" style="78" customWidth="1"/>
    <col min="7419" max="7421" width="0" style="78" hidden="1" customWidth="1"/>
    <col min="7422" max="7650" width="9.140625" style="78"/>
    <col min="7651" max="7651" width="3" style="78" customWidth="1"/>
    <col min="7652" max="7652" width="18.7109375" style="78" customWidth="1"/>
    <col min="7653" max="7672" width="2.85546875" style="78" customWidth="1"/>
    <col min="7673" max="7673" width="3" style="78" bestFit="1" customWidth="1"/>
    <col min="7674" max="7674" width="10.5703125" style="78" customWidth="1"/>
    <col min="7675" max="7677" width="0" style="78" hidden="1" customWidth="1"/>
    <col min="7678" max="7906" width="9.140625" style="78"/>
    <col min="7907" max="7907" width="3" style="78" customWidth="1"/>
    <col min="7908" max="7908" width="18.7109375" style="78" customWidth="1"/>
    <col min="7909" max="7928" width="2.85546875" style="78" customWidth="1"/>
    <col min="7929" max="7929" width="3" style="78" bestFit="1" customWidth="1"/>
    <col min="7930" max="7930" width="10.5703125" style="78" customWidth="1"/>
    <col min="7931" max="7933" width="0" style="78" hidden="1" customWidth="1"/>
    <col min="7934" max="8162" width="9.140625" style="78"/>
    <col min="8163" max="8163" width="3" style="78" customWidth="1"/>
    <col min="8164" max="8164" width="18.7109375" style="78" customWidth="1"/>
    <col min="8165" max="8184" width="2.85546875" style="78" customWidth="1"/>
    <col min="8185" max="8185" width="3" style="78" bestFit="1" customWidth="1"/>
    <col min="8186" max="8186" width="10.5703125" style="78" customWidth="1"/>
    <col min="8187" max="8189" width="0" style="78" hidden="1" customWidth="1"/>
    <col min="8190" max="8418" width="9.140625" style="78"/>
    <col min="8419" max="8419" width="3" style="78" customWidth="1"/>
    <col min="8420" max="8420" width="18.7109375" style="78" customWidth="1"/>
    <col min="8421" max="8440" width="2.85546875" style="78" customWidth="1"/>
    <col min="8441" max="8441" width="3" style="78" bestFit="1" customWidth="1"/>
    <col min="8442" max="8442" width="10.5703125" style="78" customWidth="1"/>
    <col min="8443" max="8445" width="0" style="78" hidden="1" customWidth="1"/>
    <col min="8446" max="8674" width="9.140625" style="78"/>
    <col min="8675" max="8675" width="3" style="78" customWidth="1"/>
    <col min="8676" max="8676" width="18.7109375" style="78" customWidth="1"/>
    <col min="8677" max="8696" width="2.85546875" style="78" customWidth="1"/>
    <col min="8697" max="8697" width="3" style="78" bestFit="1" customWidth="1"/>
    <col min="8698" max="8698" width="10.5703125" style="78" customWidth="1"/>
    <col min="8699" max="8701" width="0" style="78" hidden="1" customWidth="1"/>
    <col min="8702" max="8930" width="9.140625" style="78"/>
    <col min="8931" max="8931" width="3" style="78" customWidth="1"/>
    <col min="8932" max="8932" width="18.7109375" style="78" customWidth="1"/>
    <col min="8933" max="8952" width="2.85546875" style="78" customWidth="1"/>
    <col min="8953" max="8953" width="3" style="78" bestFit="1" customWidth="1"/>
    <col min="8954" max="8954" width="10.5703125" style="78" customWidth="1"/>
    <col min="8955" max="8957" width="0" style="78" hidden="1" customWidth="1"/>
    <col min="8958" max="9186" width="9.140625" style="78"/>
    <col min="9187" max="9187" width="3" style="78" customWidth="1"/>
    <col min="9188" max="9188" width="18.7109375" style="78" customWidth="1"/>
    <col min="9189" max="9208" width="2.85546875" style="78" customWidth="1"/>
    <col min="9209" max="9209" width="3" style="78" bestFit="1" customWidth="1"/>
    <col min="9210" max="9210" width="10.5703125" style="78" customWidth="1"/>
    <col min="9211" max="9213" width="0" style="78" hidden="1" customWidth="1"/>
    <col min="9214" max="9442" width="9.140625" style="78"/>
    <col min="9443" max="9443" width="3" style="78" customWidth="1"/>
    <col min="9444" max="9444" width="18.7109375" style="78" customWidth="1"/>
    <col min="9445" max="9464" width="2.85546875" style="78" customWidth="1"/>
    <col min="9465" max="9465" width="3" style="78" bestFit="1" customWidth="1"/>
    <col min="9466" max="9466" width="10.5703125" style="78" customWidth="1"/>
    <col min="9467" max="9469" width="0" style="78" hidden="1" customWidth="1"/>
    <col min="9470" max="9698" width="9.140625" style="78"/>
    <col min="9699" max="9699" width="3" style="78" customWidth="1"/>
    <col min="9700" max="9700" width="18.7109375" style="78" customWidth="1"/>
    <col min="9701" max="9720" width="2.85546875" style="78" customWidth="1"/>
    <col min="9721" max="9721" width="3" style="78" bestFit="1" customWidth="1"/>
    <col min="9722" max="9722" width="10.5703125" style="78" customWidth="1"/>
    <col min="9723" max="9725" width="0" style="78" hidden="1" customWidth="1"/>
    <col min="9726" max="9954" width="9.140625" style="78"/>
    <col min="9955" max="9955" width="3" style="78" customWidth="1"/>
    <col min="9956" max="9956" width="18.7109375" style="78" customWidth="1"/>
    <col min="9957" max="9976" width="2.85546875" style="78" customWidth="1"/>
    <col min="9977" max="9977" width="3" style="78" bestFit="1" customWidth="1"/>
    <col min="9978" max="9978" width="10.5703125" style="78" customWidth="1"/>
    <col min="9979" max="9981" width="0" style="78" hidden="1" customWidth="1"/>
    <col min="9982" max="10210" width="9.140625" style="78"/>
    <col min="10211" max="10211" width="3" style="78" customWidth="1"/>
    <col min="10212" max="10212" width="18.7109375" style="78" customWidth="1"/>
    <col min="10213" max="10232" width="2.85546875" style="78" customWidth="1"/>
    <col min="10233" max="10233" width="3" style="78" bestFit="1" customWidth="1"/>
    <col min="10234" max="10234" width="10.5703125" style="78" customWidth="1"/>
    <col min="10235" max="10237" width="0" style="78" hidden="1" customWidth="1"/>
    <col min="10238" max="10466" width="9.140625" style="78"/>
    <col min="10467" max="10467" width="3" style="78" customWidth="1"/>
    <col min="10468" max="10468" width="18.7109375" style="78" customWidth="1"/>
    <col min="10469" max="10488" width="2.85546875" style="78" customWidth="1"/>
    <col min="10489" max="10489" width="3" style="78" bestFit="1" customWidth="1"/>
    <col min="10490" max="10490" width="10.5703125" style="78" customWidth="1"/>
    <col min="10491" max="10493" width="0" style="78" hidden="1" customWidth="1"/>
    <col min="10494" max="10722" width="9.140625" style="78"/>
    <col min="10723" max="10723" width="3" style="78" customWidth="1"/>
    <col min="10724" max="10724" width="18.7109375" style="78" customWidth="1"/>
    <col min="10725" max="10744" width="2.85546875" style="78" customWidth="1"/>
    <col min="10745" max="10745" width="3" style="78" bestFit="1" customWidth="1"/>
    <col min="10746" max="10746" width="10.5703125" style="78" customWidth="1"/>
    <col min="10747" max="10749" width="0" style="78" hidden="1" customWidth="1"/>
    <col min="10750" max="10978" width="9.140625" style="78"/>
    <col min="10979" max="10979" width="3" style="78" customWidth="1"/>
    <col min="10980" max="10980" width="18.7109375" style="78" customWidth="1"/>
    <col min="10981" max="11000" width="2.85546875" style="78" customWidth="1"/>
    <col min="11001" max="11001" width="3" style="78" bestFit="1" customWidth="1"/>
    <col min="11002" max="11002" width="10.5703125" style="78" customWidth="1"/>
    <col min="11003" max="11005" width="0" style="78" hidden="1" customWidth="1"/>
    <col min="11006" max="11234" width="9.140625" style="78"/>
    <col min="11235" max="11235" width="3" style="78" customWidth="1"/>
    <col min="11236" max="11236" width="18.7109375" style="78" customWidth="1"/>
    <col min="11237" max="11256" width="2.85546875" style="78" customWidth="1"/>
    <col min="11257" max="11257" width="3" style="78" bestFit="1" customWidth="1"/>
    <col min="11258" max="11258" width="10.5703125" style="78" customWidth="1"/>
    <col min="11259" max="11261" width="0" style="78" hidden="1" customWidth="1"/>
    <col min="11262" max="11490" width="9.140625" style="78"/>
    <col min="11491" max="11491" width="3" style="78" customWidth="1"/>
    <col min="11492" max="11492" width="18.7109375" style="78" customWidth="1"/>
    <col min="11493" max="11512" width="2.85546875" style="78" customWidth="1"/>
    <col min="11513" max="11513" width="3" style="78" bestFit="1" customWidth="1"/>
    <col min="11514" max="11514" width="10.5703125" style="78" customWidth="1"/>
    <col min="11515" max="11517" width="0" style="78" hidden="1" customWidth="1"/>
    <col min="11518" max="11746" width="9.140625" style="78"/>
    <col min="11747" max="11747" width="3" style="78" customWidth="1"/>
    <col min="11748" max="11748" width="18.7109375" style="78" customWidth="1"/>
    <col min="11749" max="11768" width="2.85546875" style="78" customWidth="1"/>
    <col min="11769" max="11769" width="3" style="78" bestFit="1" customWidth="1"/>
    <col min="11770" max="11770" width="10.5703125" style="78" customWidth="1"/>
    <col min="11771" max="11773" width="0" style="78" hidden="1" customWidth="1"/>
    <col min="11774" max="12002" width="9.140625" style="78"/>
    <col min="12003" max="12003" width="3" style="78" customWidth="1"/>
    <col min="12004" max="12004" width="18.7109375" style="78" customWidth="1"/>
    <col min="12005" max="12024" width="2.85546875" style="78" customWidth="1"/>
    <col min="12025" max="12025" width="3" style="78" bestFit="1" customWidth="1"/>
    <col min="12026" max="12026" width="10.5703125" style="78" customWidth="1"/>
    <col min="12027" max="12029" width="0" style="78" hidden="1" customWidth="1"/>
    <col min="12030" max="12258" width="9.140625" style="78"/>
    <col min="12259" max="12259" width="3" style="78" customWidth="1"/>
    <col min="12260" max="12260" width="18.7109375" style="78" customWidth="1"/>
    <col min="12261" max="12280" width="2.85546875" style="78" customWidth="1"/>
    <col min="12281" max="12281" width="3" style="78" bestFit="1" customWidth="1"/>
    <col min="12282" max="12282" width="10.5703125" style="78" customWidth="1"/>
    <col min="12283" max="12285" width="0" style="78" hidden="1" customWidth="1"/>
    <col min="12286" max="12514" width="9.140625" style="78"/>
    <col min="12515" max="12515" width="3" style="78" customWidth="1"/>
    <col min="12516" max="12516" width="18.7109375" style="78" customWidth="1"/>
    <col min="12517" max="12536" width="2.85546875" style="78" customWidth="1"/>
    <col min="12537" max="12537" width="3" style="78" bestFit="1" customWidth="1"/>
    <col min="12538" max="12538" width="10.5703125" style="78" customWidth="1"/>
    <col min="12539" max="12541" width="0" style="78" hidden="1" customWidth="1"/>
    <col min="12542" max="12770" width="9.140625" style="78"/>
    <col min="12771" max="12771" width="3" style="78" customWidth="1"/>
    <col min="12772" max="12772" width="18.7109375" style="78" customWidth="1"/>
    <col min="12773" max="12792" width="2.85546875" style="78" customWidth="1"/>
    <col min="12793" max="12793" width="3" style="78" bestFit="1" customWidth="1"/>
    <col min="12794" max="12794" width="10.5703125" style="78" customWidth="1"/>
    <col min="12795" max="12797" width="0" style="78" hidden="1" customWidth="1"/>
    <col min="12798" max="13026" width="9.140625" style="78"/>
    <col min="13027" max="13027" width="3" style="78" customWidth="1"/>
    <col min="13028" max="13028" width="18.7109375" style="78" customWidth="1"/>
    <col min="13029" max="13048" width="2.85546875" style="78" customWidth="1"/>
    <col min="13049" max="13049" width="3" style="78" bestFit="1" customWidth="1"/>
    <col min="13050" max="13050" width="10.5703125" style="78" customWidth="1"/>
    <col min="13051" max="13053" width="0" style="78" hidden="1" customWidth="1"/>
    <col min="13054" max="13282" width="9.140625" style="78"/>
    <col min="13283" max="13283" width="3" style="78" customWidth="1"/>
    <col min="13284" max="13284" width="18.7109375" style="78" customWidth="1"/>
    <col min="13285" max="13304" width="2.85546875" style="78" customWidth="1"/>
    <col min="13305" max="13305" width="3" style="78" bestFit="1" customWidth="1"/>
    <col min="13306" max="13306" width="10.5703125" style="78" customWidth="1"/>
    <col min="13307" max="13309" width="0" style="78" hidden="1" customWidth="1"/>
    <col min="13310" max="13538" width="9.140625" style="78"/>
    <col min="13539" max="13539" width="3" style="78" customWidth="1"/>
    <col min="13540" max="13540" width="18.7109375" style="78" customWidth="1"/>
    <col min="13541" max="13560" width="2.85546875" style="78" customWidth="1"/>
    <col min="13561" max="13561" width="3" style="78" bestFit="1" customWidth="1"/>
    <col min="13562" max="13562" width="10.5703125" style="78" customWidth="1"/>
    <col min="13563" max="13565" width="0" style="78" hidden="1" customWidth="1"/>
    <col min="13566" max="13794" width="9.140625" style="78"/>
    <col min="13795" max="13795" width="3" style="78" customWidth="1"/>
    <col min="13796" max="13796" width="18.7109375" style="78" customWidth="1"/>
    <col min="13797" max="13816" width="2.85546875" style="78" customWidth="1"/>
    <col min="13817" max="13817" width="3" style="78" bestFit="1" customWidth="1"/>
    <col min="13818" max="13818" width="10.5703125" style="78" customWidth="1"/>
    <col min="13819" max="13821" width="0" style="78" hidden="1" customWidth="1"/>
    <col min="13822" max="14050" width="9.140625" style="78"/>
    <col min="14051" max="14051" width="3" style="78" customWidth="1"/>
    <col min="14052" max="14052" width="18.7109375" style="78" customWidth="1"/>
    <col min="14053" max="14072" width="2.85546875" style="78" customWidth="1"/>
    <col min="14073" max="14073" width="3" style="78" bestFit="1" customWidth="1"/>
    <col min="14074" max="14074" width="10.5703125" style="78" customWidth="1"/>
    <col min="14075" max="14077" width="0" style="78" hidden="1" customWidth="1"/>
    <col min="14078" max="14306" width="9.140625" style="78"/>
    <col min="14307" max="14307" width="3" style="78" customWidth="1"/>
    <col min="14308" max="14308" width="18.7109375" style="78" customWidth="1"/>
    <col min="14309" max="14328" width="2.85546875" style="78" customWidth="1"/>
    <col min="14329" max="14329" width="3" style="78" bestFit="1" customWidth="1"/>
    <col min="14330" max="14330" width="10.5703125" style="78" customWidth="1"/>
    <col min="14331" max="14333" width="0" style="78" hidden="1" customWidth="1"/>
    <col min="14334" max="14562" width="9.140625" style="78"/>
    <col min="14563" max="14563" width="3" style="78" customWidth="1"/>
    <col min="14564" max="14564" width="18.7109375" style="78" customWidth="1"/>
    <col min="14565" max="14584" width="2.85546875" style="78" customWidth="1"/>
    <col min="14585" max="14585" width="3" style="78" bestFit="1" customWidth="1"/>
    <col min="14586" max="14586" width="10.5703125" style="78" customWidth="1"/>
    <col min="14587" max="14589" width="0" style="78" hidden="1" customWidth="1"/>
    <col min="14590" max="14818" width="9.140625" style="78"/>
    <col min="14819" max="14819" width="3" style="78" customWidth="1"/>
    <col min="14820" max="14820" width="18.7109375" style="78" customWidth="1"/>
    <col min="14821" max="14840" width="2.85546875" style="78" customWidth="1"/>
    <col min="14841" max="14841" width="3" style="78" bestFit="1" customWidth="1"/>
    <col min="14842" max="14842" width="10.5703125" style="78" customWidth="1"/>
    <col min="14843" max="14845" width="0" style="78" hidden="1" customWidth="1"/>
    <col min="14846" max="15074" width="9.140625" style="78"/>
    <col min="15075" max="15075" width="3" style="78" customWidth="1"/>
    <col min="15076" max="15076" width="18.7109375" style="78" customWidth="1"/>
    <col min="15077" max="15096" width="2.85546875" style="78" customWidth="1"/>
    <col min="15097" max="15097" width="3" style="78" bestFit="1" customWidth="1"/>
    <col min="15098" max="15098" width="10.5703125" style="78" customWidth="1"/>
    <col min="15099" max="15101" width="0" style="78" hidden="1" customWidth="1"/>
    <col min="15102" max="15330" width="9.140625" style="78"/>
    <col min="15331" max="15331" width="3" style="78" customWidth="1"/>
    <col min="15332" max="15332" width="18.7109375" style="78" customWidth="1"/>
    <col min="15333" max="15352" width="2.85546875" style="78" customWidth="1"/>
    <col min="15353" max="15353" width="3" style="78" bestFit="1" customWidth="1"/>
    <col min="15354" max="15354" width="10.5703125" style="78" customWidth="1"/>
    <col min="15355" max="15357" width="0" style="78" hidden="1" customWidth="1"/>
    <col min="15358" max="15586" width="9.140625" style="78"/>
    <col min="15587" max="15587" width="3" style="78" customWidth="1"/>
    <col min="15588" max="15588" width="18.7109375" style="78" customWidth="1"/>
    <col min="15589" max="15608" width="2.85546875" style="78" customWidth="1"/>
    <col min="15609" max="15609" width="3" style="78" bestFit="1" customWidth="1"/>
    <col min="15610" max="15610" width="10.5703125" style="78" customWidth="1"/>
    <col min="15611" max="15613" width="0" style="78" hidden="1" customWidth="1"/>
    <col min="15614" max="15842" width="9.140625" style="78"/>
    <col min="15843" max="15843" width="3" style="78" customWidth="1"/>
    <col min="15844" max="15844" width="18.7109375" style="78" customWidth="1"/>
    <col min="15845" max="15864" width="2.85546875" style="78" customWidth="1"/>
    <col min="15865" max="15865" width="3" style="78" bestFit="1" customWidth="1"/>
    <col min="15866" max="15866" width="10.5703125" style="78" customWidth="1"/>
    <col min="15867" max="15869" width="0" style="78" hidden="1" customWidth="1"/>
    <col min="15870" max="16098" width="9.140625" style="78"/>
    <col min="16099" max="16099" width="3" style="78" customWidth="1"/>
    <col min="16100" max="16100" width="18.7109375" style="78" customWidth="1"/>
    <col min="16101" max="16120" width="2.85546875" style="78" customWidth="1"/>
    <col min="16121" max="16121" width="3" style="78" bestFit="1" customWidth="1"/>
    <col min="16122" max="16122" width="10.5703125" style="78" customWidth="1"/>
    <col min="16123" max="16125" width="0" style="78" hidden="1" customWidth="1"/>
    <col min="16126" max="16384" width="9.140625" style="78"/>
  </cols>
  <sheetData>
    <row r="1" spans="1:25" s="74" customFormat="1" x14ac:dyDescent="0.2">
      <c r="A1" s="68" t="e">
        <f>UPPER((Kalend!#REF!)&amp;" - "&amp;(Kalend!#REF!)&amp;" - "&amp;(Kalend!#REF!))</f>
        <v>#REF!</v>
      </c>
      <c r="B1" s="130"/>
      <c r="C1" s="130"/>
      <c r="D1" s="130"/>
      <c r="E1" s="130"/>
      <c r="I1" s="188" t="s">
        <v>167</v>
      </c>
      <c r="J1" s="189"/>
      <c r="K1" s="189"/>
      <c r="L1" s="189"/>
      <c r="Q1" s="46" t="str">
        <f>HYPERLINK("#Üldreiting!I1","Reiting")</f>
        <v>Reiting</v>
      </c>
      <c r="R1" s="130"/>
      <c r="S1" s="130"/>
      <c r="T1" s="130"/>
      <c r="U1" s="130"/>
    </row>
    <row r="2" spans="1:25" s="74" customFormat="1" x14ac:dyDescent="0.2">
      <c r="A2" s="67" t="e">
        <f>"Toimumisaeg: "&amp;(Kalend!#REF!)&amp;" kell "&amp;(Kalend!#REF!)</f>
        <v>#REF!</v>
      </c>
      <c r="B2" s="130"/>
      <c r="C2" s="130"/>
      <c r="D2" s="130"/>
      <c r="E2" s="130"/>
      <c r="O2" s="130"/>
      <c r="P2" s="130"/>
      <c r="Q2" s="130"/>
      <c r="R2" s="130"/>
      <c r="S2" s="130"/>
      <c r="T2" s="130"/>
    </row>
    <row r="3" spans="1:25" s="74" customFormat="1" x14ac:dyDescent="0.2">
      <c r="A3" s="67" t="e">
        <f>"Toimumiskoht: "&amp;(Kalend!#REF!)</f>
        <v>#REF!</v>
      </c>
      <c r="B3" s="130"/>
      <c r="C3" s="130"/>
      <c r="D3" s="130"/>
      <c r="E3" s="130"/>
      <c r="O3" s="130"/>
      <c r="P3" s="130"/>
      <c r="Q3" s="130"/>
      <c r="R3" s="130"/>
      <c r="S3" s="130"/>
      <c r="T3" s="130"/>
    </row>
    <row r="4" spans="1:25" s="74" customFormat="1" x14ac:dyDescent="0.2">
      <c r="A4" s="67" t="e">
        <f>"Korraldaja: "&amp;(Kalend!#REF!)</f>
        <v>#REF!</v>
      </c>
      <c r="B4" s="130"/>
      <c r="C4" s="130"/>
      <c r="D4" s="130"/>
      <c r="E4" s="130"/>
      <c r="O4" s="130"/>
      <c r="P4" s="130"/>
      <c r="Q4" s="130"/>
      <c r="R4" s="130"/>
      <c r="S4" s="130"/>
      <c r="T4" s="130"/>
    </row>
    <row r="5" spans="1:25" s="74" customFormat="1" ht="13.5" thickBot="1" x14ac:dyDescent="0.25">
      <c r="A5" s="130"/>
      <c r="B5" s="130"/>
      <c r="C5" s="130"/>
      <c r="D5" s="130"/>
      <c r="E5" s="130"/>
      <c r="F5" s="130"/>
      <c r="G5" s="130"/>
      <c r="H5" s="130"/>
      <c r="I5" s="130"/>
      <c r="J5" s="130"/>
      <c r="K5" s="130"/>
    </row>
    <row r="6" spans="1:25" ht="58.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c r="Y6" s="268" t="s">
        <v>566</v>
      </c>
    </row>
    <row r="7" spans="1:25" s="79" customFormat="1" ht="13.5" thickBot="1" x14ac:dyDescent="0.25">
      <c r="A7" s="269"/>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373" t="s">
        <v>153</v>
      </c>
      <c r="X7" s="161" t="s">
        <v>219</v>
      </c>
      <c r="Y7" s="161" t="s">
        <v>564</v>
      </c>
    </row>
    <row r="8" spans="1:25" x14ac:dyDescent="0.2">
      <c r="A8" s="270" t="s">
        <v>567</v>
      </c>
      <c r="B8" s="163" t="s">
        <v>218</v>
      </c>
      <c r="C8" s="164"/>
      <c r="D8" s="165"/>
      <c r="E8" s="165"/>
      <c r="F8" s="166"/>
      <c r="G8" s="164"/>
      <c r="H8" s="165"/>
      <c r="I8" s="165"/>
      <c r="J8" s="166"/>
      <c r="K8" s="164"/>
      <c r="L8" s="165"/>
      <c r="M8" s="165"/>
      <c r="N8" s="166"/>
      <c r="O8" s="164"/>
      <c r="P8" s="165"/>
      <c r="Q8" s="165"/>
      <c r="R8" s="166"/>
      <c r="S8" s="164"/>
      <c r="T8" s="165"/>
      <c r="U8" s="165"/>
      <c r="V8" s="166"/>
      <c r="W8" s="374"/>
      <c r="X8" s="167"/>
      <c r="Y8" s="271"/>
    </row>
    <row r="9" spans="1:25" x14ac:dyDescent="0.2">
      <c r="A9" s="296">
        <v>1</v>
      </c>
      <c r="B9" s="375"/>
      <c r="C9" s="298"/>
      <c r="D9" s="300"/>
      <c r="E9" s="300"/>
      <c r="F9" s="301"/>
      <c r="G9" s="298"/>
      <c r="H9" s="300"/>
      <c r="I9" s="300"/>
      <c r="J9" s="301"/>
      <c r="K9" s="298"/>
      <c r="L9" s="300"/>
      <c r="M9" s="300"/>
      <c r="N9" s="301"/>
      <c r="O9" s="298"/>
      <c r="P9" s="300"/>
      <c r="Q9" s="300"/>
      <c r="R9" s="301"/>
      <c r="S9" s="298"/>
      <c r="T9" s="300"/>
      <c r="U9" s="300"/>
      <c r="V9" s="301"/>
      <c r="W9" s="376">
        <f>SUM(C9:V9)+COUNTIF(C9:V9,5)/100+COUNTIF(C9:V9,3)/10000</f>
        <v>0</v>
      </c>
      <c r="X9" s="302" t="str">
        <f>IF(COUNTA(C9:V9)=0,"",IF(RANK(W9,W$9:W$38)&lt;5,"edasi "&amp;RANK(W9,W$9:W$38),IF(RANK(W9,W$9:W$38)&lt;17,"vahevooru "&amp;RANK(W9,W$9:W$38)-4,RANK(W9,W$9:W$38))))</f>
        <v/>
      </c>
    </row>
    <row r="10" spans="1:25" x14ac:dyDescent="0.2">
      <c r="A10" s="296">
        <v>2</v>
      </c>
      <c r="B10" s="377"/>
      <c r="C10" s="298"/>
      <c r="D10" s="300"/>
      <c r="E10" s="300"/>
      <c r="F10" s="301"/>
      <c r="G10" s="298"/>
      <c r="H10" s="300"/>
      <c r="I10" s="300"/>
      <c r="J10" s="301"/>
      <c r="K10" s="298"/>
      <c r="L10" s="300"/>
      <c r="M10" s="300"/>
      <c r="N10" s="301"/>
      <c r="O10" s="298"/>
      <c r="P10" s="300"/>
      <c r="Q10" s="300"/>
      <c r="R10" s="301"/>
      <c r="S10" s="298"/>
      <c r="T10" s="300"/>
      <c r="U10" s="300"/>
      <c r="V10" s="301"/>
      <c r="W10" s="376">
        <f t="shared" ref="W10:W38" si="0">SUM(C10:V10)+COUNTIF(C10:V10,5)/100+COUNTIF(C10:V10,3)/10000</f>
        <v>0</v>
      </c>
      <c r="X10" s="302" t="str">
        <f t="shared" ref="X10:X38" si="1">IF(COUNTA(C10:V10)=0,"",IF(RANK(W10,W$9:W$38)&lt;5,"edasi "&amp;RANK(W10,W$9:W$38),IF(RANK(W10,W$9:W$38)&lt;17,"vahevooru "&amp;RANK(W10,W$9:W$38)-4,RANK(W10,W$9:W$38))))</f>
        <v/>
      </c>
    </row>
    <row r="11" spans="1:25" x14ac:dyDescent="0.2">
      <c r="A11" s="105">
        <v>3</v>
      </c>
      <c r="B11" s="378"/>
      <c r="C11" s="102"/>
      <c r="D11" s="103"/>
      <c r="E11" s="103"/>
      <c r="F11" s="104"/>
      <c r="G11" s="102"/>
      <c r="H11" s="103"/>
      <c r="I11" s="103"/>
      <c r="J11" s="104"/>
      <c r="K11" s="102"/>
      <c r="L11" s="103"/>
      <c r="M11" s="103"/>
      <c r="N11" s="104"/>
      <c r="O11" s="102"/>
      <c r="P11" s="103"/>
      <c r="Q11" s="103"/>
      <c r="R11" s="104"/>
      <c r="S11" s="102"/>
      <c r="T11" s="103"/>
      <c r="U11" s="103"/>
      <c r="V11" s="104"/>
      <c r="W11" s="334">
        <f t="shared" si="0"/>
        <v>0</v>
      </c>
      <c r="X11" s="379" t="str">
        <f t="shared" si="1"/>
        <v/>
      </c>
    </row>
    <row r="12" spans="1:25" x14ac:dyDescent="0.2">
      <c r="A12" s="105">
        <v>4</v>
      </c>
      <c r="B12" s="378"/>
      <c r="C12" s="102"/>
      <c r="D12" s="103"/>
      <c r="E12" s="103"/>
      <c r="F12" s="104"/>
      <c r="G12" s="102"/>
      <c r="H12" s="103"/>
      <c r="I12" s="103"/>
      <c r="J12" s="104"/>
      <c r="K12" s="102"/>
      <c r="L12" s="103"/>
      <c r="M12" s="103"/>
      <c r="N12" s="104"/>
      <c r="O12" s="102"/>
      <c r="P12" s="103"/>
      <c r="Q12" s="103"/>
      <c r="R12" s="104"/>
      <c r="S12" s="102"/>
      <c r="T12" s="103"/>
      <c r="U12" s="103"/>
      <c r="V12" s="104"/>
      <c r="W12" s="376">
        <f t="shared" si="0"/>
        <v>0</v>
      </c>
      <c r="X12" s="86" t="str">
        <f t="shared" si="1"/>
        <v/>
      </c>
    </row>
    <row r="13" spans="1:25" x14ac:dyDescent="0.2">
      <c r="A13" s="296">
        <v>5</v>
      </c>
      <c r="B13" s="375"/>
      <c r="C13" s="298"/>
      <c r="D13" s="300"/>
      <c r="E13" s="300"/>
      <c r="F13" s="301"/>
      <c r="G13" s="298"/>
      <c r="H13" s="300"/>
      <c r="I13" s="300"/>
      <c r="J13" s="301"/>
      <c r="K13" s="298"/>
      <c r="L13" s="300"/>
      <c r="M13" s="300"/>
      <c r="N13" s="301"/>
      <c r="O13" s="298"/>
      <c r="P13" s="300"/>
      <c r="Q13" s="300"/>
      <c r="R13" s="301"/>
      <c r="S13" s="298"/>
      <c r="T13" s="300"/>
      <c r="U13" s="300"/>
      <c r="V13" s="301"/>
      <c r="W13" s="376">
        <f t="shared" si="0"/>
        <v>0</v>
      </c>
      <c r="X13" s="302" t="str">
        <f t="shared" si="1"/>
        <v/>
      </c>
    </row>
    <row r="14" spans="1:25" x14ac:dyDescent="0.2">
      <c r="A14" s="296">
        <v>6</v>
      </c>
      <c r="B14" s="380"/>
      <c r="C14" s="298"/>
      <c r="D14" s="300"/>
      <c r="E14" s="300"/>
      <c r="F14" s="301"/>
      <c r="G14" s="298"/>
      <c r="H14" s="300"/>
      <c r="I14" s="300"/>
      <c r="J14" s="301"/>
      <c r="K14" s="298"/>
      <c r="L14" s="300"/>
      <c r="M14" s="300"/>
      <c r="N14" s="301"/>
      <c r="O14" s="298"/>
      <c r="P14" s="300"/>
      <c r="Q14" s="300"/>
      <c r="R14" s="301"/>
      <c r="S14" s="298"/>
      <c r="T14" s="300"/>
      <c r="U14" s="300"/>
      <c r="V14" s="301"/>
      <c r="W14" s="334">
        <f t="shared" si="0"/>
        <v>0</v>
      </c>
      <c r="X14" s="381" t="str">
        <f t="shared" si="1"/>
        <v/>
      </c>
    </row>
    <row r="15" spans="1:25" x14ac:dyDescent="0.2">
      <c r="A15" s="105">
        <v>7</v>
      </c>
      <c r="B15" s="382"/>
      <c r="C15" s="102"/>
      <c r="D15" s="103"/>
      <c r="E15" s="103"/>
      <c r="F15" s="104"/>
      <c r="G15" s="102"/>
      <c r="H15" s="103"/>
      <c r="I15" s="103"/>
      <c r="J15" s="104"/>
      <c r="K15" s="102"/>
      <c r="L15" s="103"/>
      <c r="M15" s="103"/>
      <c r="N15" s="104"/>
      <c r="O15" s="102"/>
      <c r="P15" s="103"/>
      <c r="Q15" s="103"/>
      <c r="R15" s="104"/>
      <c r="S15" s="102"/>
      <c r="T15" s="103"/>
      <c r="U15" s="103"/>
      <c r="V15" s="104"/>
      <c r="W15" s="376">
        <f t="shared" si="0"/>
        <v>0</v>
      </c>
      <c r="X15" s="86" t="str">
        <f t="shared" si="1"/>
        <v/>
      </c>
    </row>
    <row r="16" spans="1:25" x14ac:dyDescent="0.2">
      <c r="A16" s="105">
        <v>8</v>
      </c>
      <c r="B16" s="383"/>
      <c r="C16" s="102"/>
      <c r="D16" s="103"/>
      <c r="E16" s="103"/>
      <c r="F16" s="104"/>
      <c r="G16" s="102"/>
      <c r="H16" s="103"/>
      <c r="I16" s="103"/>
      <c r="J16" s="104"/>
      <c r="K16" s="102"/>
      <c r="L16" s="103"/>
      <c r="M16" s="103"/>
      <c r="N16" s="104"/>
      <c r="O16" s="102"/>
      <c r="P16" s="103"/>
      <c r="Q16" s="103"/>
      <c r="R16" s="104"/>
      <c r="S16" s="102"/>
      <c r="T16" s="103"/>
      <c r="U16" s="103"/>
      <c r="V16" s="104"/>
      <c r="W16" s="334">
        <f t="shared" si="0"/>
        <v>0</v>
      </c>
      <c r="X16" s="86" t="str">
        <f t="shared" si="1"/>
        <v/>
      </c>
    </row>
    <row r="17" spans="1:29" x14ac:dyDescent="0.2">
      <c r="A17" s="296">
        <v>9</v>
      </c>
      <c r="B17" s="384"/>
      <c r="C17" s="385"/>
      <c r="D17" s="386"/>
      <c r="E17" s="386"/>
      <c r="F17" s="387"/>
      <c r="G17" s="385"/>
      <c r="H17" s="386"/>
      <c r="I17" s="386"/>
      <c r="J17" s="387"/>
      <c r="K17" s="385"/>
      <c r="L17" s="386"/>
      <c r="M17" s="386"/>
      <c r="N17" s="387"/>
      <c r="O17" s="385"/>
      <c r="P17" s="386"/>
      <c r="Q17" s="386"/>
      <c r="R17" s="387"/>
      <c r="S17" s="385"/>
      <c r="T17" s="386"/>
      <c r="U17" s="386"/>
      <c r="V17" s="387"/>
      <c r="W17" s="334">
        <f t="shared" si="0"/>
        <v>0</v>
      </c>
      <c r="X17" s="302" t="str">
        <f t="shared" si="1"/>
        <v/>
      </c>
    </row>
    <row r="18" spans="1:29" x14ac:dyDescent="0.2">
      <c r="A18" s="296">
        <v>10</v>
      </c>
      <c r="B18" s="337"/>
      <c r="C18" s="298"/>
      <c r="D18" s="300"/>
      <c r="E18" s="300"/>
      <c r="F18" s="301"/>
      <c r="G18" s="298"/>
      <c r="H18" s="300"/>
      <c r="I18" s="300"/>
      <c r="J18" s="301"/>
      <c r="K18" s="298"/>
      <c r="L18" s="300"/>
      <c r="M18" s="300"/>
      <c r="N18" s="301"/>
      <c r="O18" s="298"/>
      <c r="P18" s="300"/>
      <c r="Q18" s="300"/>
      <c r="R18" s="301"/>
      <c r="S18" s="298"/>
      <c r="T18" s="300"/>
      <c r="U18" s="300"/>
      <c r="V18" s="301"/>
      <c r="W18" s="334">
        <f t="shared" si="0"/>
        <v>0</v>
      </c>
      <c r="X18" s="302" t="str">
        <f t="shared" si="1"/>
        <v/>
      </c>
    </row>
    <row r="19" spans="1:29" x14ac:dyDescent="0.2">
      <c r="A19" s="105">
        <v>11</v>
      </c>
      <c r="B19" s="388"/>
      <c r="C19" s="102"/>
      <c r="D19" s="103"/>
      <c r="E19" s="103"/>
      <c r="F19" s="104"/>
      <c r="G19" s="102"/>
      <c r="H19" s="103"/>
      <c r="I19" s="103"/>
      <c r="J19" s="104"/>
      <c r="K19" s="102"/>
      <c r="L19" s="103"/>
      <c r="M19" s="103"/>
      <c r="N19" s="104"/>
      <c r="O19" s="102"/>
      <c r="P19" s="103"/>
      <c r="Q19" s="103"/>
      <c r="R19" s="104"/>
      <c r="S19" s="102"/>
      <c r="T19" s="103"/>
      <c r="U19" s="103"/>
      <c r="V19" s="104"/>
      <c r="W19" s="376">
        <f t="shared" si="0"/>
        <v>0</v>
      </c>
      <c r="X19" s="86" t="str">
        <f t="shared" si="1"/>
        <v/>
      </c>
    </row>
    <row r="20" spans="1:29" x14ac:dyDescent="0.2">
      <c r="A20" s="105">
        <v>12</v>
      </c>
      <c r="B20" s="122"/>
      <c r="C20" s="102"/>
      <c r="D20" s="103"/>
      <c r="E20" s="103"/>
      <c r="F20" s="104"/>
      <c r="G20" s="102"/>
      <c r="H20" s="103"/>
      <c r="I20" s="103"/>
      <c r="J20" s="104"/>
      <c r="K20" s="102"/>
      <c r="L20" s="103"/>
      <c r="M20" s="103"/>
      <c r="N20" s="104"/>
      <c r="O20" s="102"/>
      <c r="P20" s="103"/>
      <c r="Q20" s="103"/>
      <c r="R20" s="104"/>
      <c r="S20" s="102"/>
      <c r="T20" s="103"/>
      <c r="U20" s="103"/>
      <c r="V20" s="104"/>
      <c r="W20" s="334">
        <f t="shared" si="0"/>
        <v>0</v>
      </c>
      <c r="X20" s="86" t="str">
        <f t="shared" si="1"/>
        <v/>
      </c>
      <c r="Z20" s="89"/>
      <c r="AA20" s="90"/>
      <c r="AB20" s="90"/>
      <c r="AC20" s="282"/>
    </row>
    <row r="21" spans="1:29" x14ac:dyDescent="0.2">
      <c r="A21" s="296">
        <v>13</v>
      </c>
      <c r="B21" s="389"/>
      <c r="C21" s="298"/>
      <c r="D21" s="300"/>
      <c r="E21" s="300"/>
      <c r="F21" s="301"/>
      <c r="G21" s="298"/>
      <c r="H21" s="300"/>
      <c r="I21" s="300"/>
      <c r="J21" s="301"/>
      <c r="K21" s="298"/>
      <c r="L21" s="300"/>
      <c r="M21" s="300"/>
      <c r="N21" s="301"/>
      <c r="O21" s="298"/>
      <c r="P21" s="300"/>
      <c r="Q21" s="300"/>
      <c r="R21" s="301"/>
      <c r="S21" s="298"/>
      <c r="T21" s="300"/>
      <c r="U21" s="300"/>
      <c r="V21" s="301"/>
      <c r="W21" s="334">
        <f t="shared" si="0"/>
        <v>0</v>
      </c>
      <c r="X21" s="381" t="str">
        <f t="shared" si="1"/>
        <v/>
      </c>
      <c r="AC21" s="282"/>
    </row>
    <row r="22" spans="1:29" x14ac:dyDescent="0.2">
      <c r="A22" s="296">
        <v>14</v>
      </c>
      <c r="B22" s="336"/>
      <c r="C22" s="298"/>
      <c r="D22" s="300"/>
      <c r="E22" s="300"/>
      <c r="F22" s="301"/>
      <c r="G22" s="298"/>
      <c r="H22" s="300"/>
      <c r="I22" s="300"/>
      <c r="J22" s="301"/>
      <c r="K22" s="298"/>
      <c r="L22" s="300"/>
      <c r="M22" s="300"/>
      <c r="N22" s="301"/>
      <c r="O22" s="298"/>
      <c r="P22" s="300"/>
      <c r="Q22" s="300"/>
      <c r="R22" s="301"/>
      <c r="S22" s="298"/>
      <c r="T22" s="300"/>
      <c r="U22" s="300"/>
      <c r="V22" s="301"/>
      <c r="W22" s="334">
        <f t="shared" si="0"/>
        <v>0</v>
      </c>
      <c r="X22" s="381" t="str">
        <f t="shared" si="1"/>
        <v/>
      </c>
      <c r="AC22" s="282"/>
    </row>
    <row r="23" spans="1:29" x14ac:dyDescent="0.2">
      <c r="A23" s="105">
        <v>15</v>
      </c>
      <c r="B23" s="390"/>
      <c r="C23" s="102"/>
      <c r="D23" s="103"/>
      <c r="E23" s="103"/>
      <c r="F23" s="104"/>
      <c r="G23" s="102"/>
      <c r="H23" s="103"/>
      <c r="I23" s="103"/>
      <c r="J23" s="104"/>
      <c r="K23" s="102"/>
      <c r="L23" s="103"/>
      <c r="M23" s="103"/>
      <c r="N23" s="104"/>
      <c r="O23" s="102"/>
      <c r="P23" s="103"/>
      <c r="Q23" s="103"/>
      <c r="R23" s="104"/>
      <c r="S23" s="102"/>
      <c r="T23" s="103"/>
      <c r="U23" s="103"/>
      <c r="V23" s="104"/>
      <c r="W23" s="376">
        <f t="shared" si="0"/>
        <v>0</v>
      </c>
      <c r="X23" s="86" t="str">
        <f t="shared" si="1"/>
        <v/>
      </c>
      <c r="AC23" s="282"/>
    </row>
    <row r="24" spans="1:29" x14ac:dyDescent="0.2">
      <c r="A24" s="105">
        <v>16</v>
      </c>
      <c r="B24" s="304"/>
      <c r="C24" s="102"/>
      <c r="D24" s="103"/>
      <c r="E24" s="103"/>
      <c r="F24" s="104"/>
      <c r="G24" s="102"/>
      <c r="H24" s="103"/>
      <c r="I24" s="103"/>
      <c r="J24" s="104"/>
      <c r="K24" s="102"/>
      <c r="L24" s="103"/>
      <c r="M24" s="103"/>
      <c r="N24" s="104"/>
      <c r="O24" s="102"/>
      <c r="P24" s="103"/>
      <c r="Q24" s="103"/>
      <c r="R24" s="104"/>
      <c r="S24" s="102"/>
      <c r="T24" s="103"/>
      <c r="U24" s="103"/>
      <c r="V24" s="104"/>
      <c r="W24" s="376">
        <f t="shared" si="0"/>
        <v>0</v>
      </c>
      <c r="X24" s="86" t="str">
        <f t="shared" si="1"/>
        <v/>
      </c>
      <c r="AC24" s="282"/>
    </row>
    <row r="25" spans="1:29" x14ac:dyDescent="0.2">
      <c r="A25" s="296">
        <v>17</v>
      </c>
      <c r="B25" s="303"/>
      <c r="C25" s="298"/>
      <c r="D25" s="300"/>
      <c r="E25" s="300"/>
      <c r="F25" s="301"/>
      <c r="G25" s="298"/>
      <c r="H25" s="300"/>
      <c r="I25" s="300"/>
      <c r="J25" s="301"/>
      <c r="K25" s="298"/>
      <c r="L25" s="300"/>
      <c r="M25" s="300"/>
      <c r="N25" s="301"/>
      <c r="O25" s="298"/>
      <c r="P25" s="300"/>
      <c r="Q25" s="300"/>
      <c r="R25" s="301"/>
      <c r="S25" s="298"/>
      <c r="T25" s="300"/>
      <c r="U25" s="300"/>
      <c r="V25" s="301"/>
      <c r="W25" s="376">
        <f t="shared" si="0"/>
        <v>0</v>
      </c>
      <c r="X25" s="302" t="str">
        <f t="shared" si="1"/>
        <v/>
      </c>
      <c r="AC25" s="282"/>
    </row>
    <row r="26" spans="1:29" x14ac:dyDescent="0.2">
      <c r="A26" s="296">
        <v>18</v>
      </c>
      <c r="B26" s="297"/>
      <c r="C26" s="298"/>
      <c r="D26" s="300"/>
      <c r="E26" s="300"/>
      <c r="F26" s="301"/>
      <c r="G26" s="298"/>
      <c r="H26" s="300"/>
      <c r="I26" s="300"/>
      <c r="J26" s="301"/>
      <c r="K26" s="298"/>
      <c r="L26" s="300"/>
      <c r="M26" s="300"/>
      <c r="N26" s="301"/>
      <c r="O26" s="298"/>
      <c r="P26" s="300"/>
      <c r="Q26" s="300"/>
      <c r="R26" s="301"/>
      <c r="S26" s="298"/>
      <c r="T26" s="300"/>
      <c r="U26" s="300"/>
      <c r="V26" s="301"/>
      <c r="W26" s="334">
        <f t="shared" si="0"/>
        <v>0</v>
      </c>
      <c r="X26" s="302" t="str">
        <f t="shared" si="1"/>
        <v/>
      </c>
      <c r="AC26" s="282"/>
    </row>
    <row r="27" spans="1:29" x14ac:dyDescent="0.2">
      <c r="A27" s="105">
        <v>19</v>
      </c>
      <c r="B27" s="378"/>
      <c r="C27" s="102"/>
      <c r="D27" s="103"/>
      <c r="E27" s="103"/>
      <c r="F27" s="104"/>
      <c r="G27" s="102"/>
      <c r="H27" s="103"/>
      <c r="I27" s="103"/>
      <c r="J27" s="104"/>
      <c r="K27" s="102"/>
      <c r="L27" s="103"/>
      <c r="M27" s="103"/>
      <c r="N27" s="104"/>
      <c r="O27" s="102"/>
      <c r="P27" s="103"/>
      <c r="Q27" s="103"/>
      <c r="R27" s="104"/>
      <c r="S27" s="102"/>
      <c r="T27" s="103"/>
      <c r="U27" s="103"/>
      <c r="V27" s="104"/>
      <c r="W27" s="334">
        <f t="shared" si="0"/>
        <v>0</v>
      </c>
      <c r="X27" s="379" t="str">
        <f t="shared" si="1"/>
        <v/>
      </c>
      <c r="AC27" s="282"/>
    </row>
    <row r="28" spans="1:29" x14ac:dyDescent="0.2">
      <c r="A28" s="105">
        <v>20</v>
      </c>
      <c r="B28" s="391"/>
      <c r="C28" s="102"/>
      <c r="D28" s="103"/>
      <c r="E28" s="103"/>
      <c r="F28" s="104"/>
      <c r="G28" s="102"/>
      <c r="H28" s="103"/>
      <c r="I28" s="103"/>
      <c r="J28" s="104"/>
      <c r="K28" s="102"/>
      <c r="L28" s="103"/>
      <c r="M28" s="103"/>
      <c r="N28" s="104"/>
      <c r="O28" s="102"/>
      <c r="P28" s="103"/>
      <c r="Q28" s="103"/>
      <c r="R28" s="104"/>
      <c r="S28" s="102"/>
      <c r="T28" s="103"/>
      <c r="U28" s="103"/>
      <c r="V28" s="104"/>
      <c r="W28" s="334">
        <f t="shared" si="0"/>
        <v>0</v>
      </c>
      <c r="X28" s="86" t="str">
        <f t="shared" si="1"/>
        <v/>
      </c>
      <c r="AC28" s="282"/>
    </row>
    <row r="29" spans="1:29" x14ac:dyDescent="0.2">
      <c r="A29" s="296">
        <v>21</v>
      </c>
      <c r="B29" s="346"/>
      <c r="C29" s="298"/>
      <c r="D29" s="300"/>
      <c r="E29" s="300"/>
      <c r="F29" s="301"/>
      <c r="G29" s="298"/>
      <c r="H29" s="300"/>
      <c r="I29" s="300"/>
      <c r="J29" s="301"/>
      <c r="K29" s="298"/>
      <c r="L29" s="300"/>
      <c r="M29" s="300"/>
      <c r="N29" s="301"/>
      <c r="O29" s="298"/>
      <c r="P29" s="300"/>
      <c r="Q29" s="300"/>
      <c r="R29" s="301"/>
      <c r="S29" s="298"/>
      <c r="T29" s="300"/>
      <c r="U29" s="300"/>
      <c r="V29" s="301"/>
      <c r="W29" s="376">
        <f t="shared" si="0"/>
        <v>0</v>
      </c>
      <c r="X29" s="302" t="str">
        <f t="shared" si="1"/>
        <v/>
      </c>
      <c r="AC29" s="282"/>
    </row>
    <row r="30" spans="1:29" x14ac:dyDescent="0.2">
      <c r="A30" s="296">
        <v>22</v>
      </c>
      <c r="B30" s="303"/>
      <c r="C30" s="298"/>
      <c r="D30" s="300"/>
      <c r="E30" s="300"/>
      <c r="F30" s="301"/>
      <c r="G30" s="298"/>
      <c r="H30" s="300"/>
      <c r="I30" s="300"/>
      <c r="J30" s="301"/>
      <c r="K30" s="298"/>
      <c r="L30" s="300"/>
      <c r="M30" s="300"/>
      <c r="N30" s="301"/>
      <c r="O30" s="298"/>
      <c r="P30" s="300"/>
      <c r="Q30" s="300"/>
      <c r="R30" s="301"/>
      <c r="S30" s="298"/>
      <c r="T30" s="300"/>
      <c r="U30" s="300"/>
      <c r="V30" s="301"/>
      <c r="W30" s="334">
        <f t="shared" si="0"/>
        <v>0</v>
      </c>
      <c r="X30" s="302" t="str">
        <f t="shared" si="1"/>
        <v/>
      </c>
      <c r="AC30" s="282"/>
    </row>
    <row r="31" spans="1:29" x14ac:dyDescent="0.2">
      <c r="A31" s="105">
        <v>23</v>
      </c>
      <c r="B31" s="390"/>
      <c r="C31" s="102"/>
      <c r="D31" s="103"/>
      <c r="E31" s="103"/>
      <c r="F31" s="104"/>
      <c r="G31" s="102"/>
      <c r="H31" s="103"/>
      <c r="I31" s="103"/>
      <c r="J31" s="104"/>
      <c r="K31" s="102"/>
      <c r="L31" s="103"/>
      <c r="M31" s="103"/>
      <c r="N31" s="104"/>
      <c r="O31" s="102"/>
      <c r="P31" s="103"/>
      <c r="Q31" s="103"/>
      <c r="R31" s="104"/>
      <c r="S31" s="102"/>
      <c r="T31" s="103"/>
      <c r="U31" s="103"/>
      <c r="V31" s="104"/>
      <c r="W31" s="376">
        <f t="shared" si="0"/>
        <v>0</v>
      </c>
      <c r="X31" s="86" t="str">
        <f t="shared" si="1"/>
        <v/>
      </c>
      <c r="AC31" s="282"/>
    </row>
    <row r="32" spans="1:29" x14ac:dyDescent="0.2">
      <c r="A32" s="105">
        <v>24</v>
      </c>
      <c r="B32" s="392"/>
      <c r="C32" s="102"/>
      <c r="D32" s="103"/>
      <c r="E32" s="103"/>
      <c r="F32" s="104"/>
      <c r="G32" s="102"/>
      <c r="H32" s="103"/>
      <c r="I32" s="103"/>
      <c r="J32" s="104"/>
      <c r="K32" s="102"/>
      <c r="L32" s="103"/>
      <c r="M32" s="103"/>
      <c r="N32" s="104"/>
      <c r="O32" s="102"/>
      <c r="P32" s="103"/>
      <c r="Q32" s="103"/>
      <c r="R32" s="104"/>
      <c r="S32" s="102"/>
      <c r="T32" s="103"/>
      <c r="U32" s="103"/>
      <c r="V32" s="104"/>
      <c r="W32" s="376">
        <f t="shared" si="0"/>
        <v>0</v>
      </c>
      <c r="X32" s="86" t="str">
        <f t="shared" si="1"/>
        <v/>
      </c>
      <c r="AC32" s="282"/>
    </row>
    <row r="33" spans="1:29" x14ac:dyDescent="0.2">
      <c r="A33" s="296">
        <v>25</v>
      </c>
      <c r="B33" s="346"/>
      <c r="C33" s="298"/>
      <c r="D33" s="300"/>
      <c r="E33" s="300"/>
      <c r="F33" s="301"/>
      <c r="G33" s="298"/>
      <c r="H33" s="300"/>
      <c r="I33" s="300"/>
      <c r="J33" s="301"/>
      <c r="K33" s="298"/>
      <c r="L33" s="300"/>
      <c r="M33" s="300"/>
      <c r="N33" s="301"/>
      <c r="O33" s="298"/>
      <c r="P33" s="300"/>
      <c r="Q33" s="300"/>
      <c r="R33" s="301"/>
      <c r="S33" s="298"/>
      <c r="T33" s="300"/>
      <c r="U33" s="300"/>
      <c r="V33" s="301"/>
      <c r="W33" s="334">
        <f t="shared" si="0"/>
        <v>0</v>
      </c>
      <c r="X33" s="302" t="str">
        <f t="shared" si="1"/>
        <v/>
      </c>
    </row>
    <row r="34" spans="1:29" x14ac:dyDescent="0.2">
      <c r="A34" s="296">
        <v>26</v>
      </c>
      <c r="B34" s="343"/>
      <c r="C34" s="298"/>
      <c r="D34" s="300"/>
      <c r="E34" s="300"/>
      <c r="F34" s="301"/>
      <c r="G34" s="298"/>
      <c r="H34" s="300"/>
      <c r="I34" s="300"/>
      <c r="J34" s="301"/>
      <c r="K34" s="298"/>
      <c r="L34" s="300"/>
      <c r="M34" s="300"/>
      <c r="N34" s="301"/>
      <c r="O34" s="298"/>
      <c r="P34" s="300"/>
      <c r="Q34" s="300"/>
      <c r="R34" s="301"/>
      <c r="S34" s="298"/>
      <c r="T34" s="300"/>
      <c r="U34" s="300"/>
      <c r="V34" s="301"/>
      <c r="W34" s="376">
        <f t="shared" si="0"/>
        <v>0</v>
      </c>
      <c r="X34" s="302" t="str">
        <f t="shared" si="1"/>
        <v/>
      </c>
    </row>
    <row r="35" spans="1:29" x14ac:dyDescent="0.2">
      <c r="A35" s="105">
        <v>27</v>
      </c>
      <c r="B35" s="378"/>
      <c r="C35" s="102"/>
      <c r="D35" s="103"/>
      <c r="E35" s="103"/>
      <c r="F35" s="104"/>
      <c r="G35" s="102"/>
      <c r="H35" s="103"/>
      <c r="I35" s="103"/>
      <c r="J35" s="104"/>
      <c r="K35" s="102"/>
      <c r="L35" s="103"/>
      <c r="M35" s="103"/>
      <c r="N35" s="104"/>
      <c r="O35" s="102"/>
      <c r="P35" s="103"/>
      <c r="Q35" s="103"/>
      <c r="R35" s="104"/>
      <c r="S35" s="102"/>
      <c r="T35" s="103"/>
      <c r="U35" s="103"/>
      <c r="V35" s="104"/>
      <c r="W35" s="334">
        <f t="shared" si="0"/>
        <v>0</v>
      </c>
      <c r="X35" s="379" t="str">
        <f t="shared" si="1"/>
        <v/>
      </c>
    </row>
    <row r="36" spans="1:29" x14ac:dyDescent="0.2">
      <c r="A36" s="105">
        <v>28</v>
      </c>
      <c r="B36" s="378"/>
      <c r="C36" s="102"/>
      <c r="D36" s="103"/>
      <c r="E36" s="103"/>
      <c r="F36" s="104"/>
      <c r="G36" s="102"/>
      <c r="H36" s="103"/>
      <c r="I36" s="103"/>
      <c r="J36" s="104"/>
      <c r="K36" s="102"/>
      <c r="L36" s="103"/>
      <c r="M36" s="103"/>
      <c r="N36" s="104"/>
      <c r="O36" s="102"/>
      <c r="P36" s="103"/>
      <c r="Q36" s="103"/>
      <c r="R36" s="104"/>
      <c r="S36" s="102"/>
      <c r="T36" s="103"/>
      <c r="U36" s="103"/>
      <c r="V36" s="104"/>
      <c r="W36" s="376">
        <f t="shared" si="0"/>
        <v>0</v>
      </c>
      <c r="X36" s="86" t="str">
        <f t="shared" si="1"/>
        <v/>
      </c>
    </row>
    <row r="37" spans="1:29" x14ac:dyDescent="0.2">
      <c r="A37" s="296">
        <v>29</v>
      </c>
      <c r="B37" s="346"/>
      <c r="C37" s="298"/>
      <c r="D37" s="300"/>
      <c r="E37" s="300"/>
      <c r="F37" s="301"/>
      <c r="G37" s="298"/>
      <c r="H37" s="300"/>
      <c r="I37" s="300"/>
      <c r="J37" s="301"/>
      <c r="K37" s="298"/>
      <c r="L37" s="300"/>
      <c r="M37" s="300"/>
      <c r="N37" s="301"/>
      <c r="O37" s="298"/>
      <c r="P37" s="300"/>
      <c r="Q37" s="300"/>
      <c r="R37" s="301"/>
      <c r="S37" s="298"/>
      <c r="T37" s="300"/>
      <c r="U37" s="300"/>
      <c r="V37" s="301"/>
      <c r="W37" s="334">
        <f t="shared" si="0"/>
        <v>0</v>
      </c>
      <c r="X37" s="302" t="str">
        <f t="shared" si="1"/>
        <v/>
      </c>
    </row>
    <row r="38" spans="1:29" ht="13.5" thickBot="1" x14ac:dyDescent="0.25">
      <c r="A38" s="393">
        <v>30</v>
      </c>
      <c r="B38" s="394"/>
      <c r="C38" s="395"/>
      <c r="D38" s="396"/>
      <c r="E38" s="396"/>
      <c r="F38" s="397"/>
      <c r="G38" s="395"/>
      <c r="H38" s="396"/>
      <c r="I38" s="396"/>
      <c r="J38" s="397"/>
      <c r="K38" s="395"/>
      <c r="L38" s="396"/>
      <c r="M38" s="396"/>
      <c r="N38" s="397"/>
      <c r="O38" s="395"/>
      <c r="P38" s="396"/>
      <c r="Q38" s="396"/>
      <c r="R38" s="397"/>
      <c r="S38" s="395"/>
      <c r="T38" s="396"/>
      <c r="U38" s="396"/>
      <c r="V38" s="397"/>
      <c r="W38" s="398">
        <f t="shared" si="0"/>
        <v>0</v>
      </c>
      <c r="X38" s="399" t="str">
        <f t="shared" si="1"/>
        <v/>
      </c>
    </row>
    <row r="39" spans="1:29" ht="13.5" hidden="1" thickBot="1" x14ac:dyDescent="0.25">
      <c r="A39" s="294"/>
      <c r="B39" s="295" t="s">
        <v>568</v>
      </c>
      <c r="C39" s="80"/>
      <c r="D39" s="81"/>
      <c r="E39" s="81"/>
      <c r="F39" s="82"/>
      <c r="G39" s="80"/>
      <c r="H39" s="81"/>
      <c r="I39" s="81"/>
      <c r="J39" s="82"/>
      <c r="K39" s="80"/>
      <c r="L39" s="81"/>
      <c r="M39" s="81"/>
      <c r="N39" s="82"/>
      <c r="O39" s="80"/>
      <c r="P39" s="81"/>
      <c r="Q39" s="81"/>
      <c r="R39" s="82"/>
      <c r="S39" s="80"/>
      <c r="T39" s="81"/>
      <c r="U39" s="81"/>
      <c r="V39" s="82"/>
      <c r="W39" s="400"/>
      <c r="X39" s="167"/>
      <c r="Z39" s="84"/>
      <c r="AA39" s="85" t="s">
        <v>212</v>
      </c>
      <c r="AB39" s="85" t="s">
        <v>213</v>
      </c>
    </row>
    <row r="40" spans="1:29" ht="13.5" hidden="1" thickBot="1" x14ac:dyDescent="0.25">
      <c r="A40" s="296"/>
      <c r="B40" s="297"/>
      <c r="C40" s="298"/>
      <c r="D40" s="299"/>
      <c r="E40" s="300"/>
      <c r="F40" s="301"/>
      <c r="G40" s="298"/>
      <c r="H40" s="299"/>
      <c r="I40" s="300"/>
      <c r="J40" s="301"/>
      <c r="K40" s="298"/>
      <c r="L40" s="299"/>
      <c r="M40" s="300"/>
      <c r="N40" s="301"/>
      <c r="O40" s="298"/>
      <c r="P40" s="299"/>
      <c r="Q40" s="300"/>
      <c r="R40" s="301"/>
      <c r="S40" s="298"/>
      <c r="T40" s="299"/>
      <c r="U40" s="300"/>
      <c r="V40" s="301"/>
      <c r="W40" s="334" t="str">
        <f t="shared" ref="W40:W132" si="2">IF(COUNTA(C40:V40)=0,"",SUM(C40:V40)+COUNTIF(C40:V40,5)/100+COUNTIF(C40:V40,3)/10000)</f>
        <v/>
      </c>
      <c r="X40" s="302"/>
      <c r="AC40" s="282"/>
    </row>
    <row r="41" spans="1:29" ht="13.5" hidden="1" thickBot="1" x14ac:dyDescent="0.25">
      <c r="A41" s="296"/>
      <c r="B41" s="297"/>
      <c r="C41" s="298"/>
      <c r="D41" s="299"/>
      <c r="E41" s="300"/>
      <c r="F41" s="301"/>
      <c r="G41" s="298"/>
      <c r="H41" s="299"/>
      <c r="I41" s="300"/>
      <c r="J41" s="301"/>
      <c r="K41" s="298"/>
      <c r="L41" s="299"/>
      <c r="M41" s="300"/>
      <c r="N41" s="301"/>
      <c r="O41" s="298"/>
      <c r="P41" s="299"/>
      <c r="Q41" s="300"/>
      <c r="R41" s="301"/>
      <c r="S41" s="298"/>
      <c r="T41" s="299"/>
      <c r="U41" s="300"/>
      <c r="V41" s="301"/>
      <c r="W41" s="334" t="str">
        <f t="shared" si="2"/>
        <v/>
      </c>
      <c r="X41" s="302"/>
      <c r="AC41" s="282"/>
    </row>
    <row r="42" spans="1:29" ht="13.5" hidden="1" thickBot="1" x14ac:dyDescent="0.25">
      <c r="A42" s="296"/>
      <c r="B42" s="303"/>
      <c r="C42" s="298"/>
      <c r="D42" s="299"/>
      <c r="E42" s="300"/>
      <c r="F42" s="301"/>
      <c r="G42" s="298"/>
      <c r="H42" s="299"/>
      <c r="I42" s="300"/>
      <c r="J42" s="301"/>
      <c r="K42" s="298"/>
      <c r="L42" s="299"/>
      <c r="M42" s="300"/>
      <c r="N42" s="301"/>
      <c r="O42" s="298"/>
      <c r="P42" s="299"/>
      <c r="Q42" s="300"/>
      <c r="R42" s="301"/>
      <c r="S42" s="298"/>
      <c r="T42" s="299"/>
      <c r="U42" s="300"/>
      <c r="V42" s="301"/>
      <c r="W42" s="334" t="str">
        <f t="shared" si="2"/>
        <v/>
      </c>
      <c r="X42" s="302"/>
      <c r="AC42" s="282"/>
    </row>
    <row r="43" spans="1:29" ht="13.5" hidden="1" thickBot="1" x14ac:dyDescent="0.25">
      <c r="A43" s="296"/>
      <c r="B43" s="297"/>
      <c r="C43" s="298"/>
      <c r="D43" s="299"/>
      <c r="E43" s="300"/>
      <c r="F43" s="301"/>
      <c r="G43" s="298"/>
      <c r="H43" s="299"/>
      <c r="I43" s="300"/>
      <c r="J43" s="301"/>
      <c r="K43" s="298"/>
      <c r="L43" s="299"/>
      <c r="M43" s="300"/>
      <c r="N43" s="301"/>
      <c r="O43" s="298"/>
      <c r="P43" s="299"/>
      <c r="Q43" s="300"/>
      <c r="R43" s="301"/>
      <c r="S43" s="298"/>
      <c r="T43" s="299"/>
      <c r="U43" s="300"/>
      <c r="V43" s="301"/>
      <c r="W43" s="334" t="str">
        <f t="shared" si="2"/>
        <v/>
      </c>
      <c r="X43" s="302"/>
      <c r="AC43" s="282"/>
    </row>
    <row r="44" spans="1:29" ht="13.5" hidden="1" thickBot="1" x14ac:dyDescent="0.25">
      <c r="A44" s="105"/>
      <c r="B44" s="304"/>
      <c r="C44" s="102"/>
      <c r="D44" s="99"/>
      <c r="E44" s="103"/>
      <c r="F44" s="104"/>
      <c r="G44" s="102"/>
      <c r="H44" s="99"/>
      <c r="I44" s="103"/>
      <c r="J44" s="104"/>
      <c r="K44" s="102"/>
      <c r="L44" s="99"/>
      <c r="M44" s="103"/>
      <c r="N44" s="104"/>
      <c r="O44" s="102"/>
      <c r="P44" s="99"/>
      <c r="Q44" s="103"/>
      <c r="R44" s="104"/>
      <c r="S44" s="102"/>
      <c r="T44" s="99"/>
      <c r="U44" s="103"/>
      <c r="V44" s="104"/>
      <c r="W44" s="334" t="str">
        <f t="shared" si="2"/>
        <v/>
      </c>
      <c r="X44" s="86"/>
      <c r="AC44" s="282"/>
    </row>
    <row r="45" spans="1:29" ht="13.5" hidden="1" thickBot="1" x14ac:dyDescent="0.25">
      <c r="A45" s="105"/>
      <c r="B45" s="175"/>
      <c r="C45" s="102"/>
      <c r="D45" s="99"/>
      <c r="E45" s="103"/>
      <c r="F45" s="104"/>
      <c r="G45" s="102"/>
      <c r="H45" s="99"/>
      <c r="I45" s="103"/>
      <c r="J45" s="104"/>
      <c r="K45" s="102"/>
      <c r="L45" s="99"/>
      <c r="M45" s="103"/>
      <c r="N45" s="104"/>
      <c r="O45" s="102"/>
      <c r="P45" s="99"/>
      <c r="Q45" s="103"/>
      <c r="R45" s="104"/>
      <c r="S45" s="102"/>
      <c r="T45" s="99"/>
      <c r="U45" s="103"/>
      <c r="V45" s="104"/>
      <c r="W45" s="334" t="str">
        <f t="shared" si="2"/>
        <v/>
      </c>
      <c r="X45" s="86"/>
      <c r="AC45" s="282"/>
    </row>
    <row r="46" spans="1:29" ht="13.5" hidden="1" thickBot="1" x14ac:dyDescent="0.25">
      <c r="A46" s="305"/>
      <c r="B46" s="124"/>
      <c r="C46" s="102"/>
      <c r="D46" s="99"/>
      <c r="E46" s="103"/>
      <c r="F46" s="104"/>
      <c r="G46" s="102"/>
      <c r="H46" s="99"/>
      <c r="I46" s="103"/>
      <c r="J46" s="104"/>
      <c r="K46" s="102"/>
      <c r="L46" s="99"/>
      <c r="M46" s="103"/>
      <c r="N46" s="104"/>
      <c r="O46" s="102"/>
      <c r="P46" s="99"/>
      <c r="Q46" s="103"/>
      <c r="R46" s="104"/>
      <c r="S46" s="102"/>
      <c r="T46" s="99"/>
      <c r="U46" s="103"/>
      <c r="V46" s="104"/>
      <c r="W46" s="334" t="str">
        <f t="shared" ref="W46:W71" si="3">IF(COUNTA(C46:V46)=0,"",SUM(C46:V46)+COUNTIF(C46:V46,5)/100+COUNTIF(C46:V46,3)/10000)</f>
        <v/>
      </c>
      <c r="X46" s="86"/>
    </row>
    <row r="47" spans="1:29" ht="13.5" hidden="1" thickBot="1" x14ac:dyDescent="0.25">
      <c r="A47" s="305"/>
      <c r="B47" s="124"/>
      <c r="C47" s="102"/>
      <c r="D47" s="99"/>
      <c r="E47" s="103"/>
      <c r="F47" s="104"/>
      <c r="G47" s="102"/>
      <c r="H47" s="99"/>
      <c r="I47" s="103"/>
      <c r="J47" s="104"/>
      <c r="K47" s="102"/>
      <c r="L47" s="99"/>
      <c r="M47" s="103"/>
      <c r="N47" s="104"/>
      <c r="O47" s="102"/>
      <c r="P47" s="99"/>
      <c r="Q47" s="103"/>
      <c r="R47" s="104"/>
      <c r="S47" s="102"/>
      <c r="T47" s="99"/>
      <c r="U47" s="103"/>
      <c r="V47" s="104"/>
      <c r="W47" s="334" t="str">
        <f t="shared" si="3"/>
        <v/>
      </c>
      <c r="X47" s="86"/>
    </row>
    <row r="48" spans="1:29" ht="13.5" hidden="1" thickBot="1" x14ac:dyDescent="0.25">
      <c r="A48" s="296"/>
      <c r="B48" s="297"/>
      <c r="C48" s="298"/>
      <c r="D48" s="299"/>
      <c r="E48" s="300"/>
      <c r="F48" s="301"/>
      <c r="G48" s="298"/>
      <c r="H48" s="299"/>
      <c r="I48" s="300"/>
      <c r="J48" s="301"/>
      <c r="K48" s="298"/>
      <c r="L48" s="299"/>
      <c r="M48" s="300"/>
      <c r="N48" s="301"/>
      <c r="O48" s="298"/>
      <c r="P48" s="299"/>
      <c r="Q48" s="300"/>
      <c r="R48" s="301"/>
      <c r="S48" s="298"/>
      <c r="T48" s="299"/>
      <c r="U48" s="300"/>
      <c r="V48" s="301"/>
      <c r="W48" s="334" t="str">
        <f t="shared" si="3"/>
        <v/>
      </c>
      <c r="X48" s="302"/>
      <c r="AC48" s="282"/>
    </row>
    <row r="49" spans="1:29" ht="13.5" hidden="1" thickBot="1" x14ac:dyDescent="0.25">
      <c r="A49" s="296"/>
      <c r="B49" s="297"/>
      <c r="C49" s="298"/>
      <c r="D49" s="299"/>
      <c r="E49" s="300"/>
      <c r="F49" s="301"/>
      <c r="G49" s="298"/>
      <c r="H49" s="299"/>
      <c r="I49" s="300"/>
      <c r="J49" s="301"/>
      <c r="K49" s="298"/>
      <c r="L49" s="299"/>
      <c r="M49" s="300"/>
      <c r="N49" s="301"/>
      <c r="O49" s="298"/>
      <c r="P49" s="299"/>
      <c r="Q49" s="300"/>
      <c r="R49" s="301"/>
      <c r="S49" s="298"/>
      <c r="T49" s="299"/>
      <c r="U49" s="300"/>
      <c r="V49" s="301"/>
      <c r="W49" s="334" t="str">
        <f t="shared" si="3"/>
        <v/>
      </c>
      <c r="X49" s="302"/>
      <c r="AC49" s="282"/>
    </row>
    <row r="50" spans="1:29" ht="13.5" hidden="1" thickBot="1" x14ac:dyDescent="0.25">
      <c r="A50" s="296"/>
      <c r="B50" s="303"/>
      <c r="C50" s="298"/>
      <c r="D50" s="299"/>
      <c r="E50" s="300"/>
      <c r="F50" s="301"/>
      <c r="G50" s="298"/>
      <c r="H50" s="299"/>
      <c r="I50" s="300"/>
      <c r="J50" s="301"/>
      <c r="K50" s="298"/>
      <c r="L50" s="299"/>
      <c r="M50" s="300"/>
      <c r="N50" s="301"/>
      <c r="O50" s="298"/>
      <c r="P50" s="299"/>
      <c r="Q50" s="300"/>
      <c r="R50" s="301"/>
      <c r="S50" s="298"/>
      <c r="T50" s="299"/>
      <c r="U50" s="300"/>
      <c r="V50" s="301"/>
      <c r="W50" s="334" t="str">
        <f t="shared" si="3"/>
        <v/>
      </c>
      <c r="X50" s="302"/>
      <c r="AC50" s="282"/>
    </row>
    <row r="51" spans="1:29" ht="13.5" hidden="1" thickBot="1" x14ac:dyDescent="0.25">
      <c r="A51" s="296"/>
      <c r="B51" s="297"/>
      <c r="C51" s="298"/>
      <c r="D51" s="299"/>
      <c r="E51" s="300"/>
      <c r="F51" s="301"/>
      <c r="G51" s="298"/>
      <c r="H51" s="299"/>
      <c r="I51" s="300"/>
      <c r="J51" s="301"/>
      <c r="K51" s="298"/>
      <c r="L51" s="299"/>
      <c r="M51" s="300"/>
      <c r="N51" s="301"/>
      <c r="O51" s="298"/>
      <c r="P51" s="299"/>
      <c r="Q51" s="300"/>
      <c r="R51" s="301"/>
      <c r="S51" s="298"/>
      <c r="T51" s="299"/>
      <c r="U51" s="300"/>
      <c r="V51" s="301"/>
      <c r="W51" s="334" t="str">
        <f t="shared" si="3"/>
        <v/>
      </c>
      <c r="X51" s="302"/>
      <c r="AC51" s="282"/>
    </row>
    <row r="52" spans="1:29" ht="13.5" hidden="1" thickBot="1" x14ac:dyDescent="0.25">
      <c r="A52" s="105"/>
      <c r="B52" s="304"/>
      <c r="C52" s="102"/>
      <c r="D52" s="99"/>
      <c r="E52" s="103"/>
      <c r="F52" s="104"/>
      <c r="G52" s="102"/>
      <c r="H52" s="99"/>
      <c r="I52" s="103"/>
      <c r="J52" s="104"/>
      <c r="K52" s="102"/>
      <c r="L52" s="99"/>
      <c r="M52" s="103"/>
      <c r="N52" s="104"/>
      <c r="O52" s="102"/>
      <c r="P52" s="99"/>
      <c r="Q52" s="103"/>
      <c r="R52" s="104"/>
      <c r="S52" s="102"/>
      <c r="T52" s="99"/>
      <c r="U52" s="103"/>
      <c r="V52" s="104"/>
      <c r="W52" s="334" t="str">
        <f t="shared" si="3"/>
        <v/>
      </c>
      <c r="X52" s="86"/>
      <c r="AC52" s="282"/>
    </row>
    <row r="53" spans="1:29" ht="13.5" hidden="1" thickBot="1" x14ac:dyDescent="0.25">
      <c r="A53" s="105"/>
      <c r="B53" s="175"/>
      <c r="C53" s="102"/>
      <c r="D53" s="99"/>
      <c r="E53" s="103"/>
      <c r="F53" s="104"/>
      <c r="G53" s="102"/>
      <c r="H53" s="99"/>
      <c r="I53" s="103"/>
      <c r="J53" s="104"/>
      <c r="K53" s="102"/>
      <c r="L53" s="99"/>
      <c r="M53" s="103"/>
      <c r="N53" s="104"/>
      <c r="O53" s="102"/>
      <c r="P53" s="99"/>
      <c r="Q53" s="103"/>
      <c r="R53" s="104"/>
      <c r="S53" s="102"/>
      <c r="T53" s="99"/>
      <c r="U53" s="103"/>
      <c r="V53" s="104"/>
      <c r="W53" s="334" t="str">
        <f t="shared" si="3"/>
        <v/>
      </c>
      <c r="X53" s="86"/>
      <c r="AC53" s="282"/>
    </row>
    <row r="54" spans="1:29" ht="13.5" hidden="1" thickBot="1" x14ac:dyDescent="0.25">
      <c r="A54" s="305"/>
      <c r="B54" s="124"/>
      <c r="C54" s="102"/>
      <c r="D54" s="99"/>
      <c r="E54" s="103"/>
      <c r="F54" s="104"/>
      <c r="G54" s="102"/>
      <c r="H54" s="99"/>
      <c r="I54" s="103"/>
      <c r="J54" s="104"/>
      <c r="K54" s="102"/>
      <c r="L54" s="99"/>
      <c r="M54" s="103"/>
      <c r="N54" s="104"/>
      <c r="O54" s="102"/>
      <c r="P54" s="99"/>
      <c r="Q54" s="103"/>
      <c r="R54" s="104"/>
      <c r="S54" s="102"/>
      <c r="T54" s="99"/>
      <c r="U54" s="103"/>
      <c r="V54" s="104"/>
      <c r="W54" s="334" t="str">
        <f t="shared" si="3"/>
        <v/>
      </c>
      <c r="X54" s="86"/>
    </row>
    <row r="55" spans="1:29" ht="13.5" hidden="1" thickBot="1" x14ac:dyDescent="0.25">
      <c r="A55" s="305"/>
      <c r="B55" s="124"/>
      <c r="C55" s="102"/>
      <c r="D55" s="99"/>
      <c r="E55" s="103"/>
      <c r="F55" s="104"/>
      <c r="G55" s="102"/>
      <c r="H55" s="99"/>
      <c r="I55" s="103"/>
      <c r="J55" s="104"/>
      <c r="K55" s="102"/>
      <c r="L55" s="99"/>
      <c r="M55" s="103"/>
      <c r="N55" s="104"/>
      <c r="O55" s="102"/>
      <c r="P55" s="99"/>
      <c r="Q55" s="103"/>
      <c r="R55" s="104"/>
      <c r="S55" s="102"/>
      <c r="T55" s="99"/>
      <c r="U55" s="103"/>
      <c r="V55" s="104"/>
      <c r="W55" s="334" t="str">
        <f t="shared" si="3"/>
        <v/>
      </c>
      <c r="X55" s="86"/>
    </row>
    <row r="56" spans="1:29" ht="13.5" hidden="1" thickBot="1" x14ac:dyDescent="0.25">
      <c r="A56" s="296"/>
      <c r="B56" s="297"/>
      <c r="C56" s="298"/>
      <c r="D56" s="299"/>
      <c r="E56" s="300"/>
      <c r="F56" s="301"/>
      <c r="G56" s="298"/>
      <c r="H56" s="299"/>
      <c r="I56" s="300"/>
      <c r="J56" s="301"/>
      <c r="K56" s="298"/>
      <c r="L56" s="299"/>
      <c r="M56" s="300"/>
      <c r="N56" s="301"/>
      <c r="O56" s="298"/>
      <c r="P56" s="299"/>
      <c r="Q56" s="300"/>
      <c r="R56" s="301"/>
      <c r="S56" s="298"/>
      <c r="T56" s="299"/>
      <c r="U56" s="300"/>
      <c r="V56" s="301"/>
      <c r="W56" s="334" t="str">
        <f t="shared" si="3"/>
        <v/>
      </c>
      <c r="X56" s="302"/>
      <c r="AC56" s="282"/>
    </row>
    <row r="57" spans="1:29" ht="13.5" hidden="1" thickBot="1" x14ac:dyDescent="0.25">
      <c r="A57" s="296"/>
      <c r="B57" s="297"/>
      <c r="C57" s="298"/>
      <c r="D57" s="299"/>
      <c r="E57" s="300"/>
      <c r="F57" s="301"/>
      <c r="G57" s="298"/>
      <c r="H57" s="299"/>
      <c r="I57" s="300"/>
      <c r="J57" s="301"/>
      <c r="K57" s="298"/>
      <c r="L57" s="299"/>
      <c r="M57" s="300"/>
      <c r="N57" s="301"/>
      <c r="O57" s="298"/>
      <c r="P57" s="299"/>
      <c r="Q57" s="300"/>
      <c r="R57" s="301"/>
      <c r="S57" s="298"/>
      <c r="T57" s="299"/>
      <c r="U57" s="300"/>
      <c r="V57" s="301"/>
      <c r="W57" s="334" t="str">
        <f t="shared" si="3"/>
        <v/>
      </c>
      <c r="X57" s="302"/>
      <c r="AC57" s="282"/>
    </row>
    <row r="58" spans="1:29" ht="13.5" hidden="1" thickBot="1" x14ac:dyDescent="0.25">
      <c r="A58" s="296"/>
      <c r="B58" s="303"/>
      <c r="C58" s="298"/>
      <c r="D58" s="299"/>
      <c r="E58" s="300"/>
      <c r="F58" s="301"/>
      <c r="G58" s="298"/>
      <c r="H58" s="299"/>
      <c r="I58" s="300"/>
      <c r="J58" s="301"/>
      <c r="K58" s="298"/>
      <c r="L58" s="299"/>
      <c r="M58" s="300"/>
      <c r="N58" s="301"/>
      <c r="O58" s="298"/>
      <c r="P58" s="299"/>
      <c r="Q58" s="300"/>
      <c r="R58" s="301"/>
      <c r="S58" s="298"/>
      <c r="T58" s="299"/>
      <c r="U58" s="300"/>
      <c r="V58" s="301"/>
      <c r="W58" s="334" t="str">
        <f t="shared" si="3"/>
        <v/>
      </c>
      <c r="X58" s="302"/>
      <c r="AC58" s="282"/>
    </row>
    <row r="59" spans="1:29" ht="13.5" hidden="1" thickBot="1" x14ac:dyDescent="0.25">
      <c r="A59" s="296"/>
      <c r="B59" s="297"/>
      <c r="C59" s="298"/>
      <c r="D59" s="299"/>
      <c r="E59" s="300"/>
      <c r="F59" s="301"/>
      <c r="G59" s="298"/>
      <c r="H59" s="299"/>
      <c r="I59" s="300"/>
      <c r="J59" s="301"/>
      <c r="K59" s="298"/>
      <c r="L59" s="299"/>
      <c r="M59" s="300"/>
      <c r="N59" s="301"/>
      <c r="O59" s="298"/>
      <c r="P59" s="299"/>
      <c r="Q59" s="300"/>
      <c r="R59" s="301"/>
      <c r="S59" s="298"/>
      <c r="T59" s="299"/>
      <c r="U59" s="300"/>
      <c r="V59" s="301"/>
      <c r="W59" s="334" t="str">
        <f t="shared" si="3"/>
        <v/>
      </c>
      <c r="X59" s="302"/>
      <c r="AC59" s="282"/>
    </row>
    <row r="60" spans="1:29" ht="13.5" hidden="1" thickBot="1" x14ac:dyDescent="0.25">
      <c r="A60" s="105"/>
      <c r="B60" s="304"/>
      <c r="C60" s="102"/>
      <c r="D60" s="99"/>
      <c r="E60" s="103"/>
      <c r="F60" s="104"/>
      <c r="G60" s="102"/>
      <c r="H60" s="99"/>
      <c r="I60" s="103"/>
      <c r="J60" s="104"/>
      <c r="K60" s="102"/>
      <c r="L60" s="99"/>
      <c r="M60" s="103"/>
      <c r="N60" s="104"/>
      <c r="O60" s="102"/>
      <c r="P60" s="99"/>
      <c r="Q60" s="103"/>
      <c r="R60" s="104"/>
      <c r="S60" s="102"/>
      <c r="T60" s="99"/>
      <c r="U60" s="103"/>
      <c r="V60" s="104"/>
      <c r="W60" s="334" t="str">
        <f t="shared" si="3"/>
        <v/>
      </c>
      <c r="X60" s="86"/>
      <c r="AC60" s="282"/>
    </row>
    <row r="61" spans="1:29" ht="13.5" hidden="1" thickBot="1" x14ac:dyDescent="0.25">
      <c r="A61" s="105"/>
      <c r="B61" s="175"/>
      <c r="C61" s="102"/>
      <c r="D61" s="99"/>
      <c r="E61" s="103"/>
      <c r="F61" s="104"/>
      <c r="G61" s="102"/>
      <c r="H61" s="99"/>
      <c r="I61" s="103"/>
      <c r="J61" s="104"/>
      <c r="K61" s="102"/>
      <c r="L61" s="99"/>
      <c r="M61" s="103"/>
      <c r="N61" s="104"/>
      <c r="O61" s="102"/>
      <c r="P61" s="99"/>
      <c r="Q61" s="103"/>
      <c r="R61" s="104"/>
      <c r="S61" s="102"/>
      <c r="T61" s="99"/>
      <c r="U61" s="103"/>
      <c r="V61" s="104"/>
      <c r="W61" s="334" t="str">
        <f t="shared" si="3"/>
        <v/>
      </c>
      <c r="X61" s="86"/>
      <c r="AC61" s="282"/>
    </row>
    <row r="62" spans="1:29" ht="13.5" hidden="1" thickBot="1" x14ac:dyDescent="0.25">
      <c r="A62" s="305"/>
      <c r="B62" s="124"/>
      <c r="C62" s="102"/>
      <c r="D62" s="99"/>
      <c r="E62" s="103"/>
      <c r="F62" s="104"/>
      <c r="G62" s="102"/>
      <c r="H62" s="99"/>
      <c r="I62" s="103"/>
      <c r="J62" s="104"/>
      <c r="K62" s="102"/>
      <c r="L62" s="99"/>
      <c r="M62" s="103"/>
      <c r="N62" s="104"/>
      <c r="O62" s="102"/>
      <c r="P62" s="99"/>
      <c r="Q62" s="103"/>
      <c r="R62" s="104"/>
      <c r="S62" s="102"/>
      <c r="T62" s="99"/>
      <c r="U62" s="103"/>
      <c r="V62" s="104"/>
      <c r="W62" s="334" t="str">
        <f t="shared" si="3"/>
        <v/>
      </c>
      <c r="X62" s="86"/>
    </row>
    <row r="63" spans="1:29" ht="13.5" hidden="1" thickBot="1" x14ac:dyDescent="0.25">
      <c r="A63" s="305"/>
      <c r="B63" s="124"/>
      <c r="C63" s="102"/>
      <c r="D63" s="99"/>
      <c r="E63" s="103"/>
      <c r="F63" s="104"/>
      <c r="G63" s="102"/>
      <c r="H63" s="99"/>
      <c r="I63" s="103"/>
      <c r="J63" s="104"/>
      <c r="K63" s="102"/>
      <c r="L63" s="99"/>
      <c r="M63" s="103"/>
      <c r="N63" s="104"/>
      <c r="O63" s="102"/>
      <c r="P63" s="99"/>
      <c r="Q63" s="103"/>
      <c r="R63" s="104"/>
      <c r="S63" s="102"/>
      <c r="T63" s="99"/>
      <c r="U63" s="103"/>
      <c r="V63" s="104"/>
      <c r="W63" s="334" t="str">
        <f t="shared" si="3"/>
        <v/>
      </c>
      <c r="X63" s="86"/>
    </row>
    <row r="64" spans="1:29" ht="13.5" hidden="1" thickBot="1" x14ac:dyDescent="0.25">
      <c r="A64" s="296"/>
      <c r="B64" s="303"/>
      <c r="C64" s="298"/>
      <c r="D64" s="299"/>
      <c r="E64" s="300"/>
      <c r="F64" s="301"/>
      <c r="G64" s="298"/>
      <c r="H64" s="299"/>
      <c r="I64" s="300"/>
      <c r="J64" s="301"/>
      <c r="K64" s="298"/>
      <c r="L64" s="299"/>
      <c r="M64" s="300"/>
      <c r="N64" s="301"/>
      <c r="O64" s="298"/>
      <c r="P64" s="299"/>
      <c r="Q64" s="300"/>
      <c r="R64" s="301"/>
      <c r="S64" s="298"/>
      <c r="T64" s="299"/>
      <c r="U64" s="300"/>
      <c r="V64" s="301"/>
      <c r="W64" s="334" t="str">
        <f t="shared" si="3"/>
        <v/>
      </c>
      <c r="X64" s="302"/>
    </row>
    <row r="65" spans="1:29" ht="13.5" hidden="1" thickBot="1" x14ac:dyDescent="0.25">
      <c r="A65" s="296"/>
      <c r="B65" s="303"/>
      <c r="C65" s="298"/>
      <c r="D65" s="299"/>
      <c r="E65" s="300"/>
      <c r="F65" s="301"/>
      <c r="G65" s="298"/>
      <c r="H65" s="299"/>
      <c r="I65" s="300"/>
      <c r="J65" s="301"/>
      <c r="K65" s="298"/>
      <c r="L65" s="299"/>
      <c r="M65" s="300"/>
      <c r="N65" s="301"/>
      <c r="O65" s="298"/>
      <c r="P65" s="299"/>
      <c r="Q65" s="300"/>
      <c r="R65" s="301"/>
      <c r="S65" s="298"/>
      <c r="T65" s="299"/>
      <c r="U65" s="300"/>
      <c r="V65" s="301"/>
      <c r="W65" s="334" t="str">
        <f t="shared" si="3"/>
        <v/>
      </c>
      <c r="X65" s="302"/>
    </row>
    <row r="66" spans="1:29" ht="13.5" hidden="1" thickBot="1" x14ac:dyDescent="0.25">
      <c r="A66" s="296"/>
      <c r="B66" s="297"/>
      <c r="C66" s="298"/>
      <c r="D66" s="299"/>
      <c r="E66" s="300"/>
      <c r="F66" s="301"/>
      <c r="G66" s="298"/>
      <c r="H66" s="299"/>
      <c r="I66" s="300"/>
      <c r="J66" s="301"/>
      <c r="K66" s="298"/>
      <c r="L66" s="299"/>
      <c r="M66" s="300"/>
      <c r="N66" s="301"/>
      <c r="O66" s="298"/>
      <c r="P66" s="299"/>
      <c r="Q66" s="300"/>
      <c r="R66" s="301"/>
      <c r="S66" s="298"/>
      <c r="T66" s="299"/>
      <c r="U66" s="300"/>
      <c r="V66" s="301"/>
      <c r="W66" s="334" t="str">
        <f t="shared" si="3"/>
        <v/>
      </c>
      <c r="X66" s="302"/>
    </row>
    <row r="67" spans="1:29" ht="13.5" hidden="1" thickBot="1" x14ac:dyDescent="0.25">
      <c r="A67" s="296"/>
      <c r="B67" s="306"/>
      <c r="C67" s="298"/>
      <c r="D67" s="299"/>
      <c r="E67" s="300"/>
      <c r="F67" s="301"/>
      <c r="G67" s="298"/>
      <c r="H67" s="299"/>
      <c r="I67" s="300"/>
      <c r="J67" s="301"/>
      <c r="K67" s="298"/>
      <c r="L67" s="299"/>
      <c r="M67" s="300"/>
      <c r="N67" s="301"/>
      <c r="O67" s="298"/>
      <c r="P67" s="299"/>
      <c r="Q67" s="300"/>
      <c r="R67" s="301"/>
      <c r="S67" s="298"/>
      <c r="T67" s="299"/>
      <c r="U67" s="300"/>
      <c r="V67" s="301"/>
      <c r="W67" s="334" t="str">
        <f t="shared" si="3"/>
        <v/>
      </c>
      <c r="X67" s="302"/>
    </row>
    <row r="68" spans="1:29" ht="13.5" hidden="1" thickBot="1" x14ac:dyDescent="0.25">
      <c r="A68" s="105"/>
      <c r="B68" s="304"/>
      <c r="C68" s="102"/>
      <c r="D68" s="99"/>
      <c r="E68" s="103"/>
      <c r="F68" s="104"/>
      <c r="G68" s="102"/>
      <c r="H68" s="99"/>
      <c r="I68" s="103"/>
      <c r="J68" s="104"/>
      <c r="K68" s="102"/>
      <c r="L68" s="99"/>
      <c r="M68" s="103"/>
      <c r="N68" s="104"/>
      <c r="O68" s="102"/>
      <c r="P68" s="99"/>
      <c r="Q68" s="103"/>
      <c r="R68" s="104"/>
      <c r="S68" s="102"/>
      <c r="T68" s="99"/>
      <c r="U68" s="103"/>
      <c r="V68" s="104"/>
      <c r="W68" s="334" t="str">
        <f t="shared" si="3"/>
        <v/>
      </c>
      <c r="X68" s="86"/>
      <c r="AC68" s="282"/>
    </row>
    <row r="69" spans="1:29" ht="13.5" hidden="1" thickBot="1" x14ac:dyDescent="0.25">
      <c r="A69" s="105"/>
      <c r="B69" s="175"/>
      <c r="C69" s="102"/>
      <c r="D69" s="99"/>
      <c r="E69" s="103"/>
      <c r="F69" s="104"/>
      <c r="G69" s="102"/>
      <c r="H69" s="99"/>
      <c r="I69" s="103"/>
      <c r="J69" s="104"/>
      <c r="K69" s="102"/>
      <c r="L69" s="99"/>
      <c r="M69" s="103"/>
      <c r="N69" s="104"/>
      <c r="O69" s="102"/>
      <c r="P69" s="99"/>
      <c r="Q69" s="103"/>
      <c r="R69" s="104"/>
      <c r="S69" s="102"/>
      <c r="T69" s="99"/>
      <c r="U69" s="103"/>
      <c r="V69" s="104"/>
      <c r="W69" s="334" t="str">
        <f t="shared" si="3"/>
        <v/>
      </c>
      <c r="X69" s="86"/>
      <c r="AC69" s="282"/>
    </row>
    <row r="70" spans="1:29" ht="13.5" hidden="1" thickBot="1" x14ac:dyDescent="0.25">
      <c r="A70" s="305"/>
      <c r="B70" s="124"/>
      <c r="C70" s="102"/>
      <c r="D70" s="99"/>
      <c r="E70" s="103"/>
      <c r="F70" s="104"/>
      <c r="G70" s="102"/>
      <c r="H70" s="99"/>
      <c r="I70" s="103"/>
      <c r="J70" s="104"/>
      <c r="K70" s="102"/>
      <c r="L70" s="99"/>
      <c r="M70" s="103"/>
      <c r="N70" s="104"/>
      <c r="O70" s="102"/>
      <c r="P70" s="99"/>
      <c r="Q70" s="103"/>
      <c r="R70" s="104"/>
      <c r="S70" s="102"/>
      <c r="T70" s="99"/>
      <c r="U70" s="103"/>
      <c r="V70" s="104"/>
      <c r="W70" s="334" t="str">
        <f t="shared" si="3"/>
        <v/>
      </c>
      <c r="X70" s="86"/>
    </row>
    <row r="71" spans="1:29" ht="13.5" hidden="1" thickBot="1" x14ac:dyDescent="0.25">
      <c r="A71" s="307"/>
      <c r="B71" s="308"/>
      <c r="C71" s="309"/>
      <c r="D71" s="118"/>
      <c r="E71" s="310"/>
      <c r="F71" s="311"/>
      <c r="G71" s="309"/>
      <c r="H71" s="118"/>
      <c r="I71" s="310"/>
      <c r="J71" s="311"/>
      <c r="K71" s="309"/>
      <c r="L71" s="118"/>
      <c r="M71" s="310"/>
      <c r="N71" s="311"/>
      <c r="O71" s="309"/>
      <c r="P71" s="118"/>
      <c r="Q71" s="310"/>
      <c r="R71" s="311"/>
      <c r="S71" s="309"/>
      <c r="T71" s="118"/>
      <c r="U71" s="310"/>
      <c r="V71" s="311"/>
      <c r="W71" s="341" t="str">
        <f t="shared" si="3"/>
        <v/>
      </c>
      <c r="X71" s="95"/>
      <c r="Y71" s="90"/>
    </row>
    <row r="72" spans="1:29" x14ac:dyDescent="0.2">
      <c r="A72" s="312" t="s">
        <v>567</v>
      </c>
      <c r="B72" s="295" t="s">
        <v>217</v>
      </c>
      <c r="C72" s="164"/>
      <c r="D72" s="165"/>
      <c r="E72" s="165"/>
      <c r="F72" s="166"/>
      <c r="G72" s="164"/>
      <c r="H72" s="165"/>
      <c r="I72" s="165"/>
      <c r="J72" s="166"/>
      <c r="K72" s="164"/>
      <c r="L72" s="165"/>
      <c r="M72" s="165"/>
      <c r="N72" s="166"/>
      <c r="O72" s="164"/>
      <c r="P72" s="165"/>
      <c r="Q72" s="165"/>
      <c r="R72" s="166"/>
      <c r="S72" s="164"/>
      <c r="T72" s="165"/>
      <c r="U72" s="165"/>
      <c r="V72" s="166"/>
      <c r="W72" s="400"/>
      <c r="X72" s="167"/>
      <c r="Y72" s="313" t="s">
        <v>564</v>
      </c>
      <c r="Z72" s="84"/>
      <c r="AA72" s="85" t="s">
        <v>212</v>
      </c>
      <c r="AB72" s="85" t="s">
        <v>213</v>
      </c>
    </row>
    <row r="73" spans="1:29" x14ac:dyDescent="0.2">
      <c r="A73" s="306">
        <v>1</v>
      </c>
      <c r="B73" s="330"/>
      <c r="C73" s="331"/>
      <c r="D73" s="332"/>
      <c r="E73" s="332"/>
      <c r="F73" s="333"/>
      <c r="G73" s="331"/>
      <c r="H73" s="332"/>
      <c r="I73" s="332"/>
      <c r="J73" s="333"/>
      <c r="K73" s="331"/>
      <c r="L73" s="332"/>
      <c r="M73" s="332"/>
      <c r="N73" s="333"/>
      <c r="O73" s="331"/>
      <c r="P73" s="332"/>
      <c r="Q73" s="332"/>
      <c r="R73" s="333"/>
      <c r="S73" s="331"/>
      <c r="T73" s="332"/>
      <c r="U73" s="332"/>
      <c r="V73" s="333"/>
      <c r="W73" s="334">
        <f>SUM(C73:V73)+COUNTIF(C73:V73,5)/100+COUNTIF(C73:V73,3)/10000</f>
        <v>0</v>
      </c>
      <c r="X73" s="302" t="str">
        <f t="shared" ref="X73:X84" si="4">IF(RANK(Y73,$Y$73:$Y$84)&lt;5,"edasi "&amp;RANK(Y73,$Y$73:$Y$84)+4,RANK(Y73,$Y$73:$Y$84)+4)</f>
        <v>edasi 5</v>
      </c>
      <c r="Y73" s="302">
        <f>W73+IFERROR(INDEX(W$9:W$38,MATCH(B73,B$9:B$38,0)),0)</f>
        <v>0</v>
      </c>
      <c r="Z73" s="87">
        <f>IF(COUNTA(C73:V73)=0,100,W73+IF(RANK(W73,$W$111:$W$112)=1,100,0))</f>
        <v>100</v>
      </c>
      <c r="AA73" s="85">
        <f>MIN(W73:W74)</f>
        <v>0</v>
      </c>
      <c r="AB73" s="85">
        <f>MAX(W73:W74)</f>
        <v>0</v>
      </c>
    </row>
    <row r="74" spans="1:29" x14ac:dyDescent="0.2">
      <c r="A74" s="306">
        <v>2</v>
      </c>
      <c r="B74" s="401"/>
      <c r="C74" s="331"/>
      <c r="D74" s="332"/>
      <c r="E74" s="332"/>
      <c r="F74" s="333"/>
      <c r="G74" s="331"/>
      <c r="H74" s="332"/>
      <c r="I74" s="332"/>
      <c r="J74" s="333"/>
      <c r="K74" s="331"/>
      <c r="L74" s="332"/>
      <c r="M74" s="332"/>
      <c r="N74" s="333"/>
      <c r="O74" s="331"/>
      <c r="P74" s="332"/>
      <c r="Q74" s="332"/>
      <c r="R74" s="333"/>
      <c r="S74" s="331"/>
      <c r="T74" s="332"/>
      <c r="U74" s="332"/>
      <c r="V74" s="333"/>
      <c r="W74" s="334">
        <f t="shared" ref="W74:W84" si="5">SUM(C74:V74)+COUNTIF(C74:V74,5)/100+COUNTIF(C74:V74,3)/10000</f>
        <v>0</v>
      </c>
      <c r="X74" s="381" t="str">
        <f t="shared" si="4"/>
        <v>edasi 5</v>
      </c>
      <c r="Y74" s="302">
        <f t="shared" ref="Y74:Y84" si="6">W74+IFERROR(INDEX(W$9:W$38,MATCH(B74,B$9:B$38,0)),0)</f>
        <v>0</v>
      </c>
      <c r="Z74" s="87"/>
      <c r="AA74" s="85"/>
      <c r="AB74" s="85"/>
    </row>
    <row r="75" spans="1:29" x14ac:dyDescent="0.2">
      <c r="A75" s="108">
        <v>3</v>
      </c>
      <c r="B75" s="119"/>
      <c r="C75" s="80"/>
      <c r="D75" s="81"/>
      <c r="E75" s="81"/>
      <c r="F75" s="82"/>
      <c r="G75" s="80"/>
      <c r="H75" s="81"/>
      <c r="I75" s="81"/>
      <c r="J75" s="82"/>
      <c r="K75" s="80"/>
      <c r="L75" s="81"/>
      <c r="M75" s="81"/>
      <c r="N75" s="82"/>
      <c r="O75" s="80"/>
      <c r="P75" s="81"/>
      <c r="Q75" s="81"/>
      <c r="R75" s="82"/>
      <c r="S75" s="80"/>
      <c r="T75" s="81"/>
      <c r="U75" s="81"/>
      <c r="V75" s="82"/>
      <c r="W75" s="334">
        <f t="shared" ref="W75:W78" si="7">SUM(C75:V75)+COUNTIF(C75:V75,5)/100+COUNTIF(C75:V75,3)/10000</f>
        <v>0</v>
      </c>
      <c r="X75" s="86" t="str">
        <f t="shared" si="4"/>
        <v>edasi 5</v>
      </c>
      <c r="Y75" s="381">
        <f t="shared" si="6"/>
        <v>0</v>
      </c>
      <c r="Z75" s="87">
        <f>IF(COUNTA(C75:V75)=0,100,W75+IF(RANK(W75,$W$113:$W$114)=1,100,0))</f>
        <v>100</v>
      </c>
      <c r="AA75" s="85">
        <f>MIN(W75:W76)</f>
        <v>0</v>
      </c>
      <c r="AB75" s="85">
        <f>MAX(W75:W76)</f>
        <v>0</v>
      </c>
    </row>
    <row r="76" spans="1:29" x14ac:dyDescent="0.2">
      <c r="A76" s="108">
        <v>4</v>
      </c>
      <c r="B76" s="122"/>
      <c r="C76" s="80"/>
      <c r="D76" s="81"/>
      <c r="E76" s="81"/>
      <c r="F76" s="82"/>
      <c r="G76" s="80"/>
      <c r="H76" s="81"/>
      <c r="I76" s="81"/>
      <c r="J76" s="82"/>
      <c r="K76" s="80"/>
      <c r="L76" s="81"/>
      <c r="M76" s="81"/>
      <c r="N76" s="82"/>
      <c r="O76" s="80"/>
      <c r="P76" s="81"/>
      <c r="Q76" s="81"/>
      <c r="R76" s="82"/>
      <c r="S76" s="80"/>
      <c r="T76" s="81"/>
      <c r="U76" s="81"/>
      <c r="V76" s="82"/>
      <c r="W76" s="334">
        <f t="shared" si="7"/>
        <v>0</v>
      </c>
      <c r="X76" s="86" t="str">
        <f t="shared" si="4"/>
        <v>edasi 5</v>
      </c>
      <c r="Y76" s="302">
        <f t="shared" si="6"/>
        <v>0</v>
      </c>
      <c r="Z76" s="88">
        <f>IF(COUNTA(C76:V76)=0,0,W76+IF(RANK(W76,$W$113:$W$114)=1,100,0))</f>
        <v>0</v>
      </c>
      <c r="AA76" s="85"/>
      <c r="AB76" s="85"/>
    </row>
    <row r="77" spans="1:29" x14ac:dyDescent="0.2">
      <c r="A77" s="306">
        <v>5</v>
      </c>
      <c r="B77" s="338"/>
      <c r="C77" s="331"/>
      <c r="D77" s="332"/>
      <c r="E77" s="332"/>
      <c r="F77" s="333"/>
      <c r="G77" s="331"/>
      <c r="H77" s="332"/>
      <c r="I77" s="332"/>
      <c r="J77" s="333"/>
      <c r="K77" s="331"/>
      <c r="L77" s="332"/>
      <c r="M77" s="332"/>
      <c r="N77" s="333"/>
      <c r="O77" s="331"/>
      <c r="P77" s="332"/>
      <c r="Q77" s="332"/>
      <c r="R77" s="333"/>
      <c r="S77" s="331"/>
      <c r="T77" s="332"/>
      <c r="U77" s="332"/>
      <c r="V77" s="333"/>
      <c r="W77" s="334">
        <f t="shared" si="7"/>
        <v>0</v>
      </c>
      <c r="X77" s="381">
        <v>14</v>
      </c>
      <c r="Y77" s="302">
        <f t="shared" si="6"/>
        <v>0</v>
      </c>
      <c r="Z77" s="87">
        <f>IF(COUNTA(C77:V77)=0,100,W77+IF(RANK(W77,$W$115:$W$116)=1,100,0))</f>
        <v>100</v>
      </c>
      <c r="AA77" s="85">
        <f>MIN(W77:W78)</f>
        <v>0</v>
      </c>
      <c r="AB77" s="85">
        <f>MAX(W77:W78)</f>
        <v>0</v>
      </c>
    </row>
    <row r="78" spans="1:29" x14ac:dyDescent="0.2">
      <c r="A78" s="306">
        <v>6</v>
      </c>
      <c r="B78" s="338"/>
      <c r="C78" s="331"/>
      <c r="D78" s="332"/>
      <c r="E78" s="332"/>
      <c r="F78" s="333"/>
      <c r="G78" s="331"/>
      <c r="H78" s="332"/>
      <c r="I78" s="332"/>
      <c r="J78" s="333"/>
      <c r="K78" s="331"/>
      <c r="L78" s="332"/>
      <c r="M78" s="332"/>
      <c r="N78" s="333"/>
      <c r="O78" s="331"/>
      <c r="P78" s="332"/>
      <c r="Q78" s="332"/>
      <c r="R78" s="333"/>
      <c r="S78" s="331"/>
      <c r="T78" s="332"/>
      <c r="U78" s="332"/>
      <c r="V78" s="333"/>
      <c r="W78" s="334">
        <f t="shared" si="7"/>
        <v>0</v>
      </c>
      <c r="X78" s="302" t="str">
        <f t="shared" si="4"/>
        <v>edasi 5</v>
      </c>
      <c r="Y78" s="302">
        <f t="shared" si="6"/>
        <v>0</v>
      </c>
      <c r="Z78" s="88">
        <f>IF(COUNTA(C78:V78)=0,0,W78+IF(RANK(W78,$W$115:$W$116)=1,100,0))</f>
        <v>0</v>
      </c>
      <c r="AA78" s="85"/>
      <c r="AB78" s="85"/>
    </row>
    <row r="79" spans="1:29" x14ac:dyDescent="0.2">
      <c r="A79" s="108">
        <v>7</v>
      </c>
      <c r="B79" s="119"/>
      <c r="C79" s="80"/>
      <c r="D79" s="81"/>
      <c r="E79" s="81"/>
      <c r="F79" s="82"/>
      <c r="G79" s="80"/>
      <c r="H79" s="81"/>
      <c r="I79" s="81"/>
      <c r="J79" s="82"/>
      <c r="K79" s="80"/>
      <c r="L79" s="81"/>
      <c r="M79" s="81"/>
      <c r="N79" s="82"/>
      <c r="O79" s="80"/>
      <c r="P79" s="81"/>
      <c r="Q79" s="81"/>
      <c r="R79" s="82"/>
      <c r="S79" s="80"/>
      <c r="T79" s="81"/>
      <c r="U79" s="81"/>
      <c r="V79" s="82"/>
      <c r="W79" s="334">
        <f t="shared" si="5"/>
        <v>0</v>
      </c>
      <c r="X79" s="86" t="str">
        <f t="shared" si="4"/>
        <v>edasi 5</v>
      </c>
      <c r="Y79" s="302">
        <f t="shared" si="6"/>
        <v>0</v>
      </c>
      <c r="Z79" s="87">
        <f>IF(COUNTA(C79:V79)=0,100,W79+IF(RANK(W79,$W$113:$W$114)=1,100,0))</f>
        <v>100</v>
      </c>
      <c r="AA79" s="85">
        <f>MIN(W79:W80)</f>
        <v>0</v>
      </c>
      <c r="AB79" s="85">
        <f>MAX(W79:W80)</f>
        <v>0</v>
      </c>
    </row>
    <row r="80" spans="1:29" x14ac:dyDescent="0.2">
      <c r="A80" s="108">
        <v>8</v>
      </c>
      <c r="B80" s="122"/>
      <c r="C80" s="80"/>
      <c r="D80" s="81"/>
      <c r="E80" s="81"/>
      <c r="F80" s="82"/>
      <c r="G80" s="80"/>
      <c r="H80" s="81"/>
      <c r="I80" s="81"/>
      <c r="J80" s="82"/>
      <c r="K80" s="80"/>
      <c r="L80" s="81"/>
      <c r="M80" s="81"/>
      <c r="N80" s="82"/>
      <c r="O80" s="80"/>
      <c r="P80" s="81"/>
      <c r="Q80" s="81"/>
      <c r="R80" s="82"/>
      <c r="S80" s="80"/>
      <c r="T80" s="81"/>
      <c r="U80" s="81"/>
      <c r="V80" s="82"/>
      <c r="W80" s="334">
        <f t="shared" si="5"/>
        <v>0</v>
      </c>
      <c r="X80" s="86" t="str">
        <f t="shared" si="4"/>
        <v>edasi 5</v>
      </c>
      <c r="Y80" s="302">
        <f t="shared" si="6"/>
        <v>0</v>
      </c>
      <c r="Z80" s="88">
        <f>IF(COUNTA(C80:V80)=0,0,W80+IF(RANK(W80,$W$113:$W$114)=1,100,0))</f>
        <v>0</v>
      </c>
      <c r="AA80" s="85"/>
      <c r="AB80" s="85"/>
    </row>
    <row r="81" spans="1:29" x14ac:dyDescent="0.2">
      <c r="A81" s="306">
        <v>9</v>
      </c>
      <c r="B81" s="338"/>
      <c r="C81" s="331"/>
      <c r="D81" s="332"/>
      <c r="E81" s="332"/>
      <c r="F81" s="333"/>
      <c r="G81" s="331"/>
      <c r="H81" s="332"/>
      <c r="I81" s="332"/>
      <c r="J81" s="333"/>
      <c r="K81" s="331"/>
      <c r="L81" s="332"/>
      <c r="M81" s="332"/>
      <c r="N81" s="333"/>
      <c r="O81" s="331"/>
      <c r="P81" s="332"/>
      <c r="Q81" s="332"/>
      <c r="R81" s="333"/>
      <c r="S81" s="331"/>
      <c r="T81" s="332"/>
      <c r="U81" s="332"/>
      <c r="V81" s="333"/>
      <c r="W81" s="334">
        <f t="shared" si="5"/>
        <v>0</v>
      </c>
      <c r="X81" s="302" t="str">
        <f t="shared" si="4"/>
        <v>edasi 5</v>
      </c>
      <c r="Y81" s="381">
        <f t="shared" si="6"/>
        <v>0</v>
      </c>
      <c r="Z81" s="87">
        <f>IF(COUNTA(C81:V81)=0,100,W81+IF(RANK(W81,$W$115:$W$116)=1,100,0))</f>
        <v>100</v>
      </c>
      <c r="AA81" s="85">
        <f>MIN(W81:W82)</f>
        <v>0</v>
      </c>
      <c r="AB81" s="85">
        <f>MAX(W81:W82)</f>
        <v>0</v>
      </c>
    </row>
    <row r="82" spans="1:29" x14ac:dyDescent="0.2">
      <c r="A82" s="306">
        <v>10</v>
      </c>
      <c r="B82" s="338"/>
      <c r="C82" s="331"/>
      <c r="D82" s="332"/>
      <c r="E82" s="332"/>
      <c r="F82" s="333"/>
      <c r="G82" s="331"/>
      <c r="H82" s="332"/>
      <c r="I82" s="332"/>
      <c r="J82" s="333"/>
      <c r="K82" s="331"/>
      <c r="L82" s="332"/>
      <c r="M82" s="332"/>
      <c r="N82" s="333"/>
      <c r="O82" s="331"/>
      <c r="P82" s="332"/>
      <c r="Q82" s="332"/>
      <c r="R82" s="333"/>
      <c r="S82" s="331"/>
      <c r="T82" s="332"/>
      <c r="U82" s="332"/>
      <c r="V82" s="333"/>
      <c r="W82" s="334">
        <f t="shared" si="5"/>
        <v>0</v>
      </c>
      <c r="X82" s="302" t="str">
        <f t="shared" si="4"/>
        <v>edasi 5</v>
      </c>
      <c r="Y82" s="302">
        <f t="shared" si="6"/>
        <v>0</v>
      </c>
      <c r="Z82" s="88">
        <f>IF(COUNTA(C82:V82)=0,0,W82+IF(RANK(W82,$W$115:$W$116)=1,100,0))</f>
        <v>0</v>
      </c>
      <c r="AA82" s="85"/>
      <c r="AB82" s="85"/>
    </row>
    <row r="83" spans="1:29" x14ac:dyDescent="0.2">
      <c r="A83" s="402">
        <v>11</v>
      </c>
      <c r="B83" s="403"/>
      <c r="C83" s="404"/>
      <c r="D83" s="405"/>
      <c r="E83" s="405"/>
      <c r="F83" s="111"/>
      <c r="G83" s="404"/>
      <c r="H83" s="405"/>
      <c r="I83" s="405"/>
      <c r="J83" s="111"/>
      <c r="K83" s="404"/>
      <c r="L83" s="405"/>
      <c r="M83" s="405"/>
      <c r="N83" s="111"/>
      <c r="O83" s="404"/>
      <c r="P83" s="405"/>
      <c r="Q83" s="405"/>
      <c r="R83" s="111"/>
      <c r="S83" s="404"/>
      <c r="T83" s="405"/>
      <c r="U83" s="405"/>
      <c r="V83" s="111"/>
      <c r="W83" s="334">
        <f t="shared" si="5"/>
        <v>0</v>
      </c>
      <c r="X83" s="86" t="str">
        <f t="shared" si="4"/>
        <v>edasi 5</v>
      </c>
      <c r="Y83" s="381">
        <f t="shared" si="6"/>
        <v>0</v>
      </c>
      <c r="Z83" s="87">
        <f>IF(COUNTA(C83:V83)=0,100,W83+IF(RANK(W83,$W$117:$W$118)=1,100,0))</f>
        <v>100</v>
      </c>
      <c r="AA83" s="85">
        <f>MIN(W83:W84)</f>
        <v>0</v>
      </c>
      <c r="AB83" s="85">
        <f>MAX(W83:W84)</f>
        <v>0</v>
      </c>
    </row>
    <row r="84" spans="1:29" ht="13.5" thickBot="1" x14ac:dyDescent="0.25">
      <c r="A84" s="406">
        <v>12</v>
      </c>
      <c r="B84" s="407"/>
      <c r="C84" s="408"/>
      <c r="D84" s="409"/>
      <c r="E84" s="409"/>
      <c r="F84" s="410"/>
      <c r="G84" s="408"/>
      <c r="H84" s="409"/>
      <c r="I84" s="409"/>
      <c r="J84" s="410"/>
      <c r="K84" s="408"/>
      <c r="L84" s="409"/>
      <c r="M84" s="409"/>
      <c r="N84" s="410"/>
      <c r="O84" s="408"/>
      <c r="P84" s="409"/>
      <c r="Q84" s="409"/>
      <c r="R84" s="410"/>
      <c r="S84" s="408"/>
      <c r="T84" s="409"/>
      <c r="U84" s="409"/>
      <c r="V84" s="410"/>
      <c r="W84" s="341">
        <f t="shared" si="5"/>
        <v>0</v>
      </c>
      <c r="X84" s="95" t="str">
        <f t="shared" si="4"/>
        <v>edasi 5</v>
      </c>
      <c r="Y84" s="411">
        <f t="shared" si="6"/>
        <v>0</v>
      </c>
      <c r="Z84" s="88">
        <f>IF(COUNTA(C84:V84)=0,0,W84+IF(RANK(W84,$W$117:$W$118)=1,100,0))</f>
        <v>0</v>
      </c>
      <c r="AA84" s="85"/>
      <c r="AB84" s="85"/>
    </row>
    <row r="85" spans="1:29" ht="13.5" hidden="1" thickBot="1" x14ac:dyDescent="0.25">
      <c r="A85" s="294"/>
      <c r="B85" s="295" t="s">
        <v>568</v>
      </c>
      <c r="C85" s="80"/>
      <c r="D85" s="81"/>
      <c r="E85" s="81"/>
      <c r="F85" s="82"/>
      <c r="G85" s="80"/>
      <c r="H85" s="81"/>
      <c r="I85" s="81"/>
      <c r="J85" s="82"/>
      <c r="K85" s="80"/>
      <c r="L85" s="81"/>
      <c r="M85" s="81"/>
      <c r="N85" s="82"/>
      <c r="O85" s="80"/>
      <c r="P85" s="81"/>
      <c r="Q85" s="81"/>
      <c r="R85" s="82"/>
      <c r="S85" s="80"/>
      <c r="T85" s="81"/>
      <c r="U85" s="81"/>
      <c r="V85" s="82"/>
      <c r="W85" s="400"/>
      <c r="X85" s="167"/>
      <c r="Z85" s="84"/>
      <c r="AA85" s="85" t="s">
        <v>212</v>
      </c>
      <c r="AB85" s="85" t="s">
        <v>213</v>
      </c>
    </row>
    <row r="86" spans="1:29" ht="13.5" hidden="1" thickBot="1" x14ac:dyDescent="0.25">
      <c r="A86" s="296"/>
      <c r="B86" s="297"/>
      <c r="C86" s="298"/>
      <c r="D86" s="299"/>
      <c r="E86" s="300"/>
      <c r="F86" s="301"/>
      <c r="G86" s="298"/>
      <c r="H86" s="299"/>
      <c r="I86" s="300"/>
      <c r="J86" s="301"/>
      <c r="K86" s="298"/>
      <c r="L86" s="299"/>
      <c r="M86" s="300"/>
      <c r="N86" s="301"/>
      <c r="O86" s="298"/>
      <c r="P86" s="299"/>
      <c r="Q86" s="300"/>
      <c r="R86" s="301"/>
      <c r="S86" s="298"/>
      <c r="T86" s="299"/>
      <c r="U86" s="300"/>
      <c r="V86" s="301"/>
      <c r="W86" s="334" t="str">
        <f t="shared" ref="W86:W105" si="8">IF(COUNTA(C86:V86)=0,"",SUM(C86:V86)+COUNTIF(C86:V86,5)/100+COUNTIF(C86:V86,3)/10000)</f>
        <v/>
      </c>
      <c r="X86" s="302"/>
      <c r="AC86" s="282"/>
    </row>
    <row r="87" spans="1:29" ht="13.5" hidden="1" thickBot="1" x14ac:dyDescent="0.25">
      <c r="A87" s="296"/>
      <c r="B87" s="297"/>
      <c r="C87" s="298"/>
      <c r="D87" s="299"/>
      <c r="E87" s="300"/>
      <c r="F87" s="301"/>
      <c r="G87" s="298"/>
      <c r="H87" s="299"/>
      <c r="I87" s="300"/>
      <c r="J87" s="301"/>
      <c r="K87" s="298"/>
      <c r="L87" s="299"/>
      <c r="M87" s="300"/>
      <c r="N87" s="301"/>
      <c r="O87" s="298"/>
      <c r="P87" s="299"/>
      <c r="Q87" s="300"/>
      <c r="R87" s="301"/>
      <c r="S87" s="298"/>
      <c r="T87" s="299"/>
      <c r="U87" s="300"/>
      <c r="V87" s="301"/>
      <c r="W87" s="334" t="str">
        <f t="shared" si="8"/>
        <v/>
      </c>
      <c r="X87" s="302"/>
      <c r="AC87" s="282"/>
    </row>
    <row r="88" spans="1:29" ht="13.5" hidden="1" thickBot="1" x14ac:dyDescent="0.25">
      <c r="A88" s="296"/>
      <c r="B88" s="303"/>
      <c r="C88" s="298"/>
      <c r="D88" s="299"/>
      <c r="E88" s="300"/>
      <c r="F88" s="301"/>
      <c r="G88" s="298"/>
      <c r="H88" s="299"/>
      <c r="I88" s="300"/>
      <c r="J88" s="301"/>
      <c r="K88" s="298"/>
      <c r="L88" s="299"/>
      <c r="M88" s="300"/>
      <c r="N88" s="301"/>
      <c r="O88" s="298"/>
      <c r="P88" s="299"/>
      <c r="Q88" s="300"/>
      <c r="R88" s="301"/>
      <c r="S88" s="298"/>
      <c r="T88" s="299"/>
      <c r="U88" s="300"/>
      <c r="V88" s="301"/>
      <c r="W88" s="334" t="str">
        <f t="shared" si="8"/>
        <v/>
      </c>
      <c r="X88" s="302"/>
      <c r="AC88" s="282"/>
    </row>
    <row r="89" spans="1:29" ht="13.5" hidden="1" thickBot="1" x14ac:dyDescent="0.25">
      <c r="A89" s="296"/>
      <c r="B89" s="297"/>
      <c r="C89" s="298"/>
      <c r="D89" s="299"/>
      <c r="E89" s="300"/>
      <c r="F89" s="301"/>
      <c r="G89" s="298"/>
      <c r="H89" s="299"/>
      <c r="I89" s="300"/>
      <c r="J89" s="301"/>
      <c r="K89" s="298"/>
      <c r="L89" s="299"/>
      <c r="M89" s="300"/>
      <c r="N89" s="301"/>
      <c r="O89" s="298"/>
      <c r="P89" s="299"/>
      <c r="Q89" s="300"/>
      <c r="R89" s="301"/>
      <c r="S89" s="298"/>
      <c r="T89" s="299"/>
      <c r="U89" s="300"/>
      <c r="V89" s="301"/>
      <c r="W89" s="334" t="str">
        <f t="shared" si="8"/>
        <v/>
      </c>
      <c r="X89" s="302"/>
      <c r="AC89" s="282"/>
    </row>
    <row r="90" spans="1:29" ht="13.5" hidden="1" thickBot="1" x14ac:dyDescent="0.25">
      <c r="A90" s="105"/>
      <c r="B90" s="304"/>
      <c r="C90" s="102"/>
      <c r="D90" s="99"/>
      <c r="E90" s="103"/>
      <c r="F90" s="104"/>
      <c r="G90" s="102"/>
      <c r="H90" s="99"/>
      <c r="I90" s="103"/>
      <c r="J90" s="104"/>
      <c r="K90" s="102"/>
      <c r="L90" s="99"/>
      <c r="M90" s="103"/>
      <c r="N90" s="104"/>
      <c r="O90" s="102"/>
      <c r="P90" s="99"/>
      <c r="Q90" s="103"/>
      <c r="R90" s="104"/>
      <c r="S90" s="102"/>
      <c r="T90" s="99"/>
      <c r="U90" s="103"/>
      <c r="V90" s="104"/>
      <c r="W90" s="334" t="str">
        <f t="shared" si="8"/>
        <v/>
      </c>
      <c r="X90" s="86"/>
      <c r="AC90" s="282"/>
    </row>
    <row r="91" spans="1:29" ht="13.5" hidden="1" thickBot="1" x14ac:dyDescent="0.25">
      <c r="A91" s="105"/>
      <c r="B91" s="175"/>
      <c r="C91" s="102"/>
      <c r="D91" s="99"/>
      <c r="E91" s="103"/>
      <c r="F91" s="104"/>
      <c r="G91" s="102"/>
      <c r="H91" s="99"/>
      <c r="I91" s="103"/>
      <c r="J91" s="104"/>
      <c r="K91" s="102"/>
      <c r="L91" s="99"/>
      <c r="M91" s="103"/>
      <c r="N91" s="104"/>
      <c r="O91" s="102"/>
      <c r="P91" s="99"/>
      <c r="Q91" s="103"/>
      <c r="R91" s="104"/>
      <c r="S91" s="102"/>
      <c r="T91" s="99"/>
      <c r="U91" s="103"/>
      <c r="V91" s="104"/>
      <c r="W91" s="334" t="str">
        <f t="shared" si="8"/>
        <v/>
      </c>
      <c r="X91" s="86"/>
      <c r="AC91" s="282"/>
    </row>
    <row r="92" spans="1:29" ht="13.5" hidden="1" thickBot="1" x14ac:dyDescent="0.25">
      <c r="A92" s="305"/>
      <c r="B92" s="124"/>
      <c r="C92" s="102"/>
      <c r="D92" s="99"/>
      <c r="E92" s="103"/>
      <c r="F92" s="104"/>
      <c r="G92" s="102"/>
      <c r="H92" s="99"/>
      <c r="I92" s="103"/>
      <c r="J92" s="104"/>
      <c r="K92" s="102"/>
      <c r="L92" s="99"/>
      <c r="M92" s="103"/>
      <c r="N92" s="104"/>
      <c r="O92" s="102"/>
      <c r="P92" s="99"/>
      <c r="Q92" s="103"/>
      <c r="R92" s="104"/>
      <c r="S92" s="102"/>
      <c r="T92" s="99"/>
      <c r="U92" s="103"/>
      <c r="V92" s="104"/>
      <c r="W92" s="334" t="str">
        <f t="shared" si="8"/>
        <v/>
      </c>
      <c r="X92" s="86"/>
    </row>
    <row r="93" spans="1:29" ht="13.5" hidden="1" thickBot="1" x14ac:dyDescent="0.25">
      <c r="A93" s="305"/>
      <c r="B93" s="124"/>
      <c r="C93" s="102"/>
      <c r="D93" s="99"/>
      <c r="E93" s="103"/>
      <c r="F93" s="104"/>
      <c r="G93" s="102"/>
      <c r="H93" s="99"/>
      <c r="I93" s="103"/>
      <c r="J93" s="104"/>
      <c r="K93" s="102"/>
      <c r="L93" s="99"/>
      <c r="M93" s="103"/>
      <c r="N93" s="104"/>
      <c r="O93" s="102"/>
      <c r="P93" s="99"/>
      <c r="Q93" s="103"/>
      <c r="R93" s="104"/>
      <c r="S93" s="102"/>
      <c r="T93" s="99"/>
      <c r="U93" s="103"/>
      <c r="V93" s="104"/>
      <c r="W93" s="334" t="str">
        <f t="shared" si="8"/>
        <v/>
      </c>
      <c r="X93" s="86"/>
    </row>
    <row r="94" spans="1:29" ht="13.5" hidden="1" thickBot="1" x14ac:dyDescent="0.25">
      <c r="A94" s="296"/>
      <c r="B94" s="297"/>
      <c r="C94" s="298"/>
      <c r="D94" s="299"/>
      <c r="E94" s="300"/>
      <c r="F94" s="301"/>
      <c r="G94" s="298"/>
      <c r="H94" s="299"/>
      <c r="I94" s="300"/>
      <c r="J94" s="301"/>
      <c r="K94" s="298"/>
      <c r="L94" s="299"/>
      <c r="M94" s="300"/>
      <c r="N94" s="301"/>
      <c r="O94" s="298"/>
      <c r="P94" s="299"/>
      <c r="Q94" s="300"/>
      <c r="R94" s="301"/>
      <c r="S94" s="298"/>
      <c r="T94" s="299"/>
      <c r="U94" s="300"/>
      <c r="V94" s="301"/>
      <c r="W94" s="334" t="str">
        <f t="shared" si="8"/>
        <v/>
      </c>
      <c r="X94" s="302"/>
      <c r="AC94" s="282"/>
    </row>
    <row r="95" spans="1:29" ht="13.5" hidden="1" thickBot="1" x14ac:dyDescent="0.25">
      <c r="A95" s="296"/>
      <c r="B95" s="297"/>
      <c r="C95" s="298"/>
      <c r="D95" s="299"/>
      <c r="E95" s="300"/>
      <c r="F95" s="301"/>
      <c r="G95" s="298"/>
      <c r="H95" s="299"/>
      <c r="I95" s="300"/>
      <c r="J95" s="301"/>
      <c r="K95" s="298"/>
      <c r="L95" s="299"/>
      <c r="M95" s="300"/>
      <c r="N95" s="301"/>
      <c r="O95" s="298"/>
      <c r="P95" s="299"/>
      <c r="Q95" s="300"/>
      <c r="R95" s="301"/>
      <c r="S95" s="298"/>
      <c r="T95" s="299"/>
      <c r="U95" s="300"/>
      <c r="V95" s="301"/>
      <c r="W95" s="334" t="str">
        <f t="shared" si="8"/>
        <v/>
      </c>
      <c r="X95" s="302"/>
      <c r="AC95" s="282"/>
    </row>
    <row r="96" spans="1:29" ht="13.5" hidden="1" thickBot="1" x14ac:dyDescent="0.25">
      <c r="A96" s="296"/>
      <c r="B96" s="303"/>
      <c r="C96" s="298"/>
      <c r="D96" s="299"/>
      <c r="E96" s="300"/>
      <c r="F96" s="301"/>
      <c r="G96" s="298"/>
      <c r="H96" s="299"/>
      <c r="I96" s="300"/>
      <c r="J96" s="301"/>
      <c r="K96" s="298"/>
      <c r="L96" s="299"/>
      <c r="M96" s="300"/>
      <c r="N96" s="301"/>
      <c r="O96" s="298"/>
      <c r="P96" s="299"/>
      <c r="Q96" s="300"/>
      <c r="R96" s="301"/>
      <c r="S96" s="298"/>
      <c r="T96" s="299"/>
      <c r="U96" s="300"/>
      <c r="V96" s="301"/>
      <c r="W96" s="334" t="str">
        <f t="shared" si="8"/>
        <v/>
      </c>
      <c r="X96" s="302"/>
      <c r="AC96" s="282"/>
    </row>
    <row r="97" spans="1:29" ht="13.5" hidden="1" thickBot="1" x14ac:dyDescent="0.25">
      <c r="A97" s="296"/>
      <c r="B97" s="297"/>
      <c r="C97" s="298"/>
      <c r="D97" s="299"/>
      <c r="E97" s="300"/>
      <c r="F97" s="301"/>
      <c r="G97" s="298"/>
      <c r="H97" s="299"/>
      <c r="I97" s="300"/>
      <c r="J97" s="301"/>
      <c r="K97" s="298"/>
      <c r="L97" s="299"/>
      <c r="M97" s="300"/>
      <c r="N97" s="301"/>
      <c r="O97" s="298"/>
      <c r="P97" s="299"/>
      <c r="Q97" s="300"/>
      <c r="R97" s="301"/>
      <c r="S97" s="298"/>
      <c r="T97" s="299"/>
      <c r="U97" s="300"/>
      <c r="V97" s="301"/>
      <c r="W97" s="334" t="str">
        <f t="shared" si="8"/>
        <v/>
      </c>
      <c r="X97" s="302"/>
      <c r="AC97" s="282"/>
    </row>
    <row r="98" spans="1:29" ht="13.5" hidden="1" thickBot="1" x14ac:dyDescent="0.25">
      <c r="A98" s="105"/>
      <c r="B98" s="304"/>
      <c r="C98" s="102"/>
      <c r="D98" s="99"/>
      <c r="E98" s="103"/>
      <c r="F98" s="104"/>
      <c r="G98" s="102"/>
      <c r="H98" s="99"/>
      <c r="I98" s="103"/>
      <c r="J98" s="104"/>
      <c r="K98" s="102"/>
      <c r="L98" s="99"/>
      <c r="M98" s="103"/>
      <c r="N98" s="104"/>
      <c r="O98" s="102"/>
      <c r="P98" s="99"/>
      <c r="Q98" s="103"/>
      <c r="R98" s="104"/>
      <c r="S98" s="102"/>
      <c r="T98" s="99"/>
      <c r="U98" s="103"/>
      <c r="V98" s="104"/>
      <c r="W98" s="334" t="str">
        <f t="shared" si="8"/>
        <v/>
      </c>
      <c r="X98" s="86"/>
      <c r="AC98" s="282"/>
    </row>
    <row r="99" spans="1:29" ht="13.5" hidden="1" thickBot="1" x14ac:dyDescent="0.25">
      <c r="A99" s="105"/>
      <c r="B99" s="175"/>
      <c r="C99" s="102"/>
      <c r="D99" s="99"/>
      <c r="E99" s="103"/>
      <c r="F99" s="104"/>
      <c r="G99" s="102"/>
      <c r="H99" s="99"/>
      <c r="I99" s="103"/>
      <c r="J99" s="104"/>
      <c r="K99" s="102"/>
      <c r="L99" s="99"/>
      <c r="M99" s="103"/>
      <c r="N99" s="104"/>
      <c r="O99" s="102"/>
      <c r="P99" s="99"/>
      <c r="Q99" s="103"/>
      <c r="R99" s="104"/>
      <c r="S99" s="102"/>
      <c r="T99" s="99"/>
      <c r="U99" s="103"/>
      <c r="V99" s="104"/>
      <c r="W99" s="334" t="str">
        <f t="shared" si="8"/>
        <v/>
      </c>
      <c r="X99" s="86"/>
      <c r="AC99" s="282"/>
    </row>
    <row r="100" spans="1:29" ht="13.5" hidden="1" thickBot="1" x14ac:dyDescent="0.25">
      <c r="A100" s="305"/>
      <c r="B100" s="124"/>
      <c r="C100" s="102"/>
      <c r="D100" s="99"/>
      <c r="E100" s="103"/>
      <c r="F100" s="104"/>
      <c r="G100" s="102"/>
      <c r="H100" s="99"/>
      <c r="I100" s="103"/>
      <c r="J100" s="104"/>
      <c r="K100" s="102"/>
      <c r="L100" s="99"/>
      <c r="M100" s="103"/>
      <c r="N100" s="104"/>
      <c r="O100" s="102"/>
      <c r="P100" s="99"/>
      <c r="Q100" s="103"/>
      <c r="R100" s="104"/>
      <c r="S100" s="102"/>
      <c r="T100" s="99"/>
      <c r="U100" s="103"/>
      <c r="V100" s="104"/>
      <c r="W100" s="334" t="str">
        <f t="shared" si="8"/>
        <v/>
      </c>
      <c r="X100" s="86"/>
    </row>
    <row r="101" spans="1:29" ht="13.5" hidden="1" thickBot="1" x14ac:dyDescent="0.25">
      <c r="A101" s="305"/>
      <c r="B101" s="124"/>
      <c r="C101" s="102"/>
      <c r="D101" s="99"/>
      <c r="E101" s="103"/>
      <c r="F101" s="104"/>
      <c r="G101" s="102"/>
      <c r="H101" s="99"/>
      <c r="I101" s="103"/>
      <c r="J101" s="104"/>
      <c r="K101" s="102"/>
      <c r="L101" s="99"/>
      <c r="M101" s="103"/>
      <c r="N101" s="104"/>
      <c r="O101" s="102"/>
      <c r="P101" s="99"/>
      <c r="Q101" s="103"/>
      <c r="R101" s="104"/>
      <c r="S101" s="102"/>
      <c r="T101" s="99"/>
      <c r="U101" s="103"/>
      <c r="V101" s="104"/>
      <c r="W101" s="334" t="str">
        <f t="shared" si="8"/>
        <v/>
      </c>
      <c r="X101" s="86"/>
    </row>
    <row r="102" spans="1:29" ht="13.5" hidden="1" thickBot="1" x14ac:dyDescent="0.25">
      <c r="A102" s="296"/>
      <c r="B102" s="303"/>
      <c r="C102" s="298"/>
      <c r="D102" s="299"/>
      <c r="E102" s="300"/>
      <c r="F102" s="301"/>
      <c r="G102" s="298"/>
      <c r="H102" s="299"/>
      <c r="I102" s="300"/>
      <c r="J102" s="301"/>
      <c r="K102" s="298"/>
      <c r="L102" s="299"/>
      <c r="M102" s="300"/>
      <c r="N102" s="301"/>
      <c r="O102" s="298"/>
      <c r="P102" s="299"/>
      <c r="Q102" s="300"/>
      <c r="R102" s="301"/>
      <c r="S102" s="298"/>
      <c r="T102" s="299"/>
      <c r="U102" s="300"/>
      <c r="V102" s="301"/>
      <c r="W102" s="334" t="str">
        <f t="shared" si="8"/>
        <v/>
      </c>
      <c r="X102" s="302"/>
    </row>
    <row r="103" spans="1:29" ht="13.5" hidden="1" thickBot="1" x14ac:dyDescent="0.25">
      <c r="A103" s="296"/>
      <c r="B103" s="303"/>
      <c r="C103" s="298"/>
      <c r="D103" s="299"/>
      <c r="E103" s="300"/>
      <c r="F103" s="301"/>
      <c r="G103" s="298"/>
      <c r="H103" s="299"/>
      <c r="I103" s="300"/>
      <c r="J103" s="301"/>
      <c r="K103" s="298"/>
      <c r="L103" s="299"/>
      <c r="M103" s="300"/>
      <c r="N103" s="301"/>
      <c r="O103" s="298"/>
      <c r="P103" s="299"/>
      <c r="Q103" s="300"/>
      <c r="R103" s="301"/>
      <c r="S103" s="298"/>
      <c r="T103" s="299"/>
      <c r="U103" s="300"/>
      <c r="V103" s="301"/>
      <c r="W103" s="334" t="str">
        <f t="shared" si="8"/>
        <v/>
      </c>
      <c r="X103" s="302"/>
    </row>
    <row r="104" spans="1:29" ht="13.5" hidden="1" thickBot="1" x14ac:dyDescent="0.25">
      <c r="A104" s="296"/>
      <c r="B104" s="297"/>
      <c r="C104" s="298"/>
      <c r="D104" s="299"/>
      <c r="E104" s="300"/>
      <c r="F104" s="301"/>
      <c r="G104" s="298"/>
      <c r="H104" s="299"/>
      <c r="I104" s="300"/>
      <c r="J104" s="301"/>
      <c r="K104" s="298"/>
      <c r="L104" s="299"/>
      <c r="M104" s="300"/>
      <c r="N104" s="301"/>
      <c r="O104" s="298"/>
      <c r="P104" s="299"/>
      <c r="Q104" s="300"/>
      <c r="R104" s="301"/>
      <c r="S104" s="298"/>
      <c r="T104" s="299"/>
      <c r="U104" s="300"/>
      <c r="V104" s="301"/>
      <c r="W104" s="334" t="str">
        <f t="shared" si="8"/>
        <v/>
      </c>
      <c r="X104" s="302"/>
    </row>
    <row r="105" spans="1:29" ht="13.5" hidden="1" thickBot="1" x14ac:dyDescent="0.25">
      <c r="A105" s="296"/>
      <c r="B105" s="306"/>
      <c r="C105" s="298"/>
      <c r="D105" s="299"/>
      <c r="E105" s="300"/>
      <c r="F105" s="301"/>
      <c r="G105" s="298"/>
      <c r="H105" s="299"/>
      <c r="I105" s="300"/>
      <c r="J105" s="301"/>
      <c r="K105" s="298"/>
      <c r="L105" s="299"/>
      <c r="M105" s="300"/>
      <c r="N105" s="301"/>
      <c r="O105" s="298"/>
      <c r="P105" s="299"/>
      <c r="Q105" s="300"/>
      <c r="R105" s="301"/>
      <c r="S105" s="298"/>
      <c r="T105" s="299"/>
      <c r="U105" s="300"/>
      <c r="V105" s="301"/>
      <c r="W105" s="334" t="str">
        <f t="shared" si="8"/>
        <v/>
      </c>
      <c r="X105" s="302"/>
    </row>
    <row r="106" spans="1:29" ht="13.5" hidden="1" thickBot="1" x14ac:dyDescent="0.25">
      <c r="A106" s="105"/>
      <c r="B106" s="304"/>
      <c r="C106" s="102"/>
      <c r="D106" s="99"/>
      <c r="E106" s="103"/>
      <c r="F106" s="104"/>
      <c r="G106" s="102"/>
      <c r="H106" s="99"/>
      <c r="I106" s="103"/>
      <c r="J106" s="104"/>
      <c r="K106" s="102"/>
      <c r="L106" s="99"/>
      <c r="M106" s="103"/>
      <c r="N106" s="104"/>
      <c r="O106" s="102"/>
      <c r="P106" s="99"/>
      <c r="Q106" s="103"/>
      <c r="R106" s="104"/>
      <c r="S106" s="102"/>
      <c r="T106" s="99"/>
      <c r="U106" s="103"/>
      <c r="V106" s="104"/>
      <c r="W106" s="334" t="str">
        <f t="shared" ref="W106:W109" si="9">IF(COUNTA(C106:V106)=0,"",SUM(C106:V106)+COUNTIF(C106:V106,5)/100+COUNTIF(C106:V106,3)/10000)</f>
        <v/>
      </c>
      <c r="X106" s="86"/>
      <c r="AC106" s="282"/>
    </row>
    <row r="107" spans="1:29" ht="13.5" hidden="1" thickBot="1" x14ac:dyDescent="0.25">
      <c r="A107" s="105"/>
      <c r="B107" s="175"/>
      <c r="C107" s="102"/>
      <c r="D107" s="99"/>
      <c r="E107" s="103"/>
      <c r="F107" s="104"/>
      <c r="G107" s="102"/>
      <c r="H107" s="99"/>
      <c r="I107" s="103"/>
      <c r="J107" s="104"/>
      <c r="K107" s="102"/>
      <c r="L107" s="99"/>
      <c r="M107" s="103"/>
      <c r="N107" s="104"/>
      <c r="O107" s="102"/>
      <c r="P107" s="99"/>
      <c r="Q107" s="103"/>
      <c r="R107" s="104"/>
      <c r="S107" s="102"/>
      <c r="T107" s="99"/>
      <c r="U107" s="103"/>
      <c r="V107" s="104"/>
      <c r="W107" s="334" t="str">
        <f t="shared" si="9"/>
        <v/>
      </c>
      <c r="X107" s="86"/>
      <c r="AC107" s="282"/>
    </row>
    <row r="108" spans="1:29" ht="13.5" hidden="1" thickBot="1" x14ac:dyDescent="0.25">
      <c r="A108" s="305"/>
      <c r="B108" s="124"/>
      <c r="C108" s="102"/>
      <c r="D108" s="99"/>
      <c r="E108" s="103"/>
      <c r="F108" s="104"/>
      <c r="G108" s="102"/>
      <c r="H108" s="99"/>
      <c r="I108" s="103"/>
      <c r="J108" s="104"/>
      <c r="K108" s="102"/>
      <c r="L108" s="99"/>
      <c r="M108" s="103"/>
      <c r="N108" s="104"/>
      <c r="O108" s="102"/>
      <c r="P108" s="99"/>
      <c r="Q108" s="103"/>
      <c r="R108" s="104"/>
      <c r="S108" s="102"/>
      <c r="T108" s="99"/>
      <c r="U108" s="103"/>
      <c r="V108" s="104"/>
      <c r="W108" s="334" t="str">
        <f t="shared" si="9"/>
        <v/>
      </c>
      <c r="X108" s="86"/>
    </row>
    <row r="109" spans="1:29" ht="13.5" hidden="1" thickBot="1" x14ac:dyDescent="0.25">
      <c r="A109" s="307"/>
      <c r="B109" s="308"/>
      <c r="C109" s="309"/>
      <c r="D109" s="118"/>
      <c r="E109" s="310"/>
      <c r="F109" s="311"/>
      <c r="G109" s="309"/>
      <c r="H109" s="118"/>
      <c r="I109" s="310"/>
      <c r="J109" s="311"/>
      <c r="K109" s="309"/>
      <c r="L109" s="118"/>
      <c r="M109" s="310"/>
      <c r="N109" s="311"/>
      <c r="O109" s="309"/>
      <c r="P109" s="118"/>
      <c r="Q109" s="310"/>
      <c r="R109" s="311"/>
      <c r="S109" s="309"/>
      <c r="T109" s="118"/>
      <c r="U109" s="310"/>
      <c r="V109" s="311"/>
      <c r="W109" s="341" t="str">
        <f t="shared" si="9"/>
        <v/>
      </c>
      <c r="X109" s="95"/>
    </row>
    <row r="110" spans="1:29" x14ac:dyDescent="0.2">
      <c r="A110" s="294"/>
      <c r="B110" s="163" t="s">
        <v>211</v>
      </c>
      <c r="C110" s="164"/>
      <c r="D110" s="165"/>
      <c r="E110" s="165"/>
      <c r="F110" s="166"/>
      <c r="G110" s="164"/>
      <c r="H110" s="165"/>
      <c r="I110" s="165"/>
      <c r="J110" s="166"/>
      <c r="K110" s="164"/>
      <c r="L110" s="165"/>
      <c r="M110" s="165"/>
      <c r="N110" s="166"/>
      <c r="O110" s="164"/>
      <c r="P110" s="165"/>
      <c r="Q110" s="165"/>
      <c r="R110" s="166"/>
      <c r="S110" s="164"/>
      <c r="T110" s="165"/>
      <c r="U110" s="165"/>
      <c r="V110" s="166"/>
      <c r="W110" s="412" t="str">
        <f t="shared" si="2"/>
        <v/>
      </c>
      <c r="X110" s="167"/>
      <c r="Y110" s="271"/>
      <c r="Z110" s="84"/>
      <c r="AA110" s="85" t="s">
        <v>212</v>
      </c>
      <c r="AB110" s="85" t="s">
        <v>213</v>
      </c>
    </row>
    <row r="111" spans="1:29" x14ac:dyDescent="0.2">
      <c r="A111" s="306">
        <v>4</v>
      </c>
      <c r="B111" s="330"/>
      <c r="C111" s="331"/>
      <c r="D111" s="332"/>
      <c r="E111" s="332"/>
      <c r="F111" s="333"/>
      <c r="G111" s="331"/>
      <c r="H111" s="332"/>
      <c r="I111" s="332"/>
      <c r="J111" s="333"/>
      <c r="K111" s="331"/>
      <c r="L111" s="332"/>
      <c r="M111" s="332"/>
      <c r="N111" s="333"/>
      <c r="O111" s="331"/>
      <c r="P111" s="332"/>
      <c r="Q111" s="332"/>
      <c r="R111" s="333"/>
      <c r="S111" s="331"/>
      <c r="T111" s="332"/>
      <c r="U111" s="332"/>
      <c r="V111" s="333"/>
      <c r="W111" s="334" t="str">
        <f t="shared" si="2"/>
        <v/>
      </c>
      <c r="X111" s="335" t="str">
        <f>IF(ISBLANK(C111),"",IF(W111=W112,"edasi "&amp;RANK(W111,$AB$111:$AB$118),(IF(RANK(Z111,$Z$111:$Z$112)&lt;2,"edasi "&amp;RANK(W111,$AB$111:$AB$118),RANK(W111,$AA$111:$AA$118)+4))))</f>
        <v/>
      </c>
      <c r="Z111" s="87">
        <f>IF(COUNTA(C111:V111)=0,100,W111+IF(RANK(W111,$W$111:$W$112)=1,100,0))</f>
        <v>100</v>
      </c>
      <c r="AA111" s="85">
        <f>MIN(W111:W112)</f>
        <v>0</v>
      </c>
      <c r="AB111" s="85">
        <f>MAX(W111:W112)</f>
        <v>0</v>
      </c>
    </row>
    <row r="112" spans="1:29" x14ac:dyDescent="0.2">
      <c r="A112" s="306">
        <v>5</v>
      </c>
      <c r="B112" s="336"/>
      <c r="C112" s="331"/>
      <c r="D112" s="332"/>
      <c r="E112" s="332"/>
      <c r="F112" s="333"/>
      <c r="G112" s="331"/>
      <c r="H112" s="332"/>
      <c r="I112" s="332"/>
      <c r="J112" s="333"/>
      <c r="K112" s="331"/>
      <c r="L112" s="332"/>
      <c r="M112" s="332"/>
      <c r="N112" s="333"/>
      <c r="O112" s="331"/>
      <c r="P112" s="332"/>
      <c r="Q112" s="332"/>
      <c r="R112" s="333"/>
      <c r="S112" s="331"/>
      <c r="T112" s="332"/>
      <c r="U112" s="332"/>
      <c r="V112" s="333"/>
      <c r="W112" s="334" t="str">
        <f t="shared" si="2"/>
        <v/>
      </c>
      <c r="X112" s="335" t="str">
        <f>IF(ISBLANK(C112),"",IF(RANK(Z112,$Z$111:$Z$112)&lt;2,"edasi "&amp;RANK(W112,$AB$111:$AB$118),RANK(W112,$AA$111:$AA$118)+4))</f>
        <v/>
      </c>
      <c r="Z112" s="88">
        <f>IF(COUNTA(C112:V112)=0,0,W112+IF(RANK(W112,$W$111:$W$112)=1,100,0))</f>
        <v>0</v>
      </c>
      <c r="AA112" s="85"/>
      <c r="AB112" s="85"/>
    </row>
    <row r="113" spans="1:29" x14ac:dyDescent="0.2">
      <c r="A113" s="108">
        <v>3</v>
      </c>
      <c r="B113" s="119"/>
      <c r="C113" s="80"/>
      <c r="D113" s="81"/>
      <c r="E113" s="81"/>
      <c r="F113" s="82"/>
      <c r="G113" s="80"/>
      <c r="H113" s="81"/>
      <c r="I113" s="81"/>
      <c r="J113" s="82"/>
      <c r="K113" s="80"/>
      <c r="L113" s="81"/>
      <c r="M113" s="81"/>
      <c r="N113" s="82"/>
      <c r="O113" s="80"/>
      <c r="P113" s="81"/>
      <c r="Q113" s="81"/>
      <c r="R113" s="82"/>
      <c r="S113" s="80"/>
      <c r="T113" s="81"/>
      <c r="U113" s="81"/>
      <c r="V113" s="82"/>
      <c r="W113" s="334" t="str">
        <f t="shared" si="2"/>
        <v/>
      </c>
      <c r="X113" s="83" t="str">
        <f>IF(ISBLANK(C113),"",IF(RANK(Z113,$Z$113:$Z$114)&lt;2,"edasi "&amp;RANK(W113,$AB$111:$AB$118),RANK(W113,$AA$111:$AA$118)+4))</f>
        <v/>
      </c>
      <c r="Z113" s="87">
        <f>IF(COUNTA(C113:V113)=0,100,W113+IF(RANK(W113,$W$113:$W$114)=1,100,0))</f>
        <v>100</v>
      </c>
      <c r="AA113" s="85">
        <f>MIN(W113:W114)</f>
        <v>0</v>
      </c>
      <c r="AB113" s="85">
        <f>MAX(W113:W114)</f>
        <v>0</v>
      </c>
    </row>
    <row r="114" spans="1:29" x14ac:dyDescent="0.2">
      <c r="A114" s="108">
        <v>6</v>
      </c>
      <c r="B114" s="122"/>
      <c r="C114" s="80"/>
      <c r="D114" s="81"/>
      <c r="E114" s="81"/>
      <c r="F114" s="82"/>
      <c r="G114" s="80"/>
      <c r="H114" s="81"/>
      <c r="I114" s="81"/>
      <c r="J114" s="82"/>
      <c r="K114" s="80"/>
      <c r="L114" s="81"/>
      <c r="M114" s="81"/>
      <c r="N114" s="82"/>
      <c r="O114" s="80"/>
      <c r="P114" s="81"/>
      <c r="Q114" s="81"/>
      <c r="R114" s="82"/>
      <c r="S114" s="80"/>
      <c r="T114" s="81"/>
      <c r="U114" s="81"/>
      <c r="V114" s="82"/>
      <c r="W114" s="334" t="str">
        <f t="shared" si="2"/>
        <v/>
      </c>
      <c r="X114" s="83" t="str">
        <f>IF(ISBLANK(C114),"",IF(RANK(Z114,$Z$113:$Z$114)&lt;2,"edasi "&amp;RANK(W114,$AB$111:$AB$118),RANK(W114,$AA$111:$AA$118)+4))</f>
        <v/>
      </c>
      <c r="Z114" s="88">
        <f>IF(COUNTA(C114:V114)=0,0,W114+IF(RANK(W114,$W$113:$W$114)=1,100,0))</f>
        <v>0</v>
      </c>
      <c r="AA114" s="85"/>
      <c r="AB114" s="85"/>
    </row>
    <row r="115" spans="1:29" x14ac:dyDescent="0.2">
      <c r="A115" s="306">
        <v>2</v>
      </c>
      <c r="B115" s="413"/>
      <c r="C115" s="331"/>
      <c r="D115" s="332"/>
      <c r="E115" s="332"/>
      <c r="F115" s="333"/>
      <c r="G115" s="331"/>
      <c r="H115" s="332"/>
      <c r="I115" s="332"/>
      <c r="J115" s="333"/>
      <c r="K115" s="331"/>
      <c r="L115" s="332"/>
      <c r="M115" s="332"/>
      <c r="N115" s="333"/>
      <c r="O115" s="331"/>
      <c r="P115" s="332"/>
      <c r="Q115" s="332"/>
      <c r="R115" s="333"/>
      <c r="S115" s="331"/>
      <c r="T115" s="332"/>
      <c r="U115" s="332"/>
      <c r="V115" s="333"/>
      <c r="W115" s="334" t="str">
        <f t="shared" si="2"/>
        <v/>
      </c>
      <c r="X115" s="335" t="str">
        <f>IF(ISBLANK(C115),"",IF(RANK(Z115,$Z$115:$Z$116)&lt;2,"edasi "&amp;RANK(W115,$AB$111:$AB$118),RANK(W115,$AA$111:$AA$118)+4))</f>
        <v/>
      </c>
      <c r="Z115" s="87">
        <f>IF(COUNTA(C115:V115)=0,100,W115+IF(RANK(W115,$W$115:$W$116)=1,100,0))</f>
        <v>100</v>
      </c>
      <c r="AA115" s="85">
        <f>MIN(W115:W116)</f>
        <v>0</v>
      </c>
      <c r="AB115" s="85">
        <f>MAX(W115:W116)</f>
        <v>0</v>
      </c>
    </row>
    <row r="116" spans="1:29" x14ac:dyDescent="0.2">
      <c r="A116" s="306">
        <v>7</v>
      </c>
      <c r="B116" s="338"/>
      <c r="C116" s="331"/>
      <c r="D116" s="332"/>
      <c r="E116" s="332"/>
      <c r="F116" s="333"/>
      <c r="G116" s="331"/>
      <c r="H116" s="332"/>
      <c r="I116" s="332"/>
      <c r="J116" s="333"/>
      <c r="K116" s="331"/>
      <c r="L116" s="332"/>
      <c r="M116" s="332"/>
      <c r="N116" s="333"/>
      <c r="O116" s="331"/>
      <c r="P116" s="332"/>
      <c r="Q116" s="332"/>
      <c r="R116" s="333"/>
      <c r="S116" s="331"/>
      <c r="T116" s="332"/>
      <c r="U116" s="332"/>
      <c r="V116" s="333"/>
      <c r="W116" s="334" t="str">
        <f t="shared" si="2"/>
        <v/>
      </c>
      <c r="X116" s="335" t="str">
        <f>IF(ISBLANK(C116),"",IF(RANK(Z116,$Z$115:$Z$116)&lt;2,"edasi "&amp;RANK(W116,$AB$111:$AB$118),RANK(W116,$AA$111:$AA$118)+4))</f>
        <v/>
      </c>
      <c r="Z116" s="88">
        <f>IF(COUNTA(C116:V116)=0,0,W116+IF(RANK(W116,$W$115:$W$116)=1,100,0))</f>
        <v>0</v>
      </c>
      <c r="AA116" s="85"/>
      <c r="AB116" s="85"/>
    </row>
    <row r="117" spans="1:29" x14ac:dyDescent="0.2">
      <c r="A117" s="108">
        <v>1</v>
      </c>
      <c r="B117" s="339"/>
      <c r="C117" s="80"/>
      <c r="D117" s="81"/>
      <c r="E117" s="81"/>
      <c r="F117" s="82"/>
      <c r="G117" s="80"/>
      <c r="H117" s="81"/>
      <c r="I117" s="81"/>
      <c r="J117" s="82"/>
      <c r="K117" s="80"/>
      <c r="L117" s="81"/>
      <c r="M117" s="81"/>
      <c r="N117" s="82"/>
      <c r="O117" s="80"/>
      <c r="P117" s="81"/>
      <c r="Q117" s="81"/>
      <c r="R117" s="82"/>
      <c r="S117" s="80"/>
      <c r="T117" s="81"/>
      <c r="U117" s="81"/>
      <c r="V117" s="82"/>
      <c r="W117" s="334" t="str">
        <f t="shared" si="2"/>
        <v/>
      </c>
      <c r="X117" s="83" t="str">
        <f>IF(ISBLANK(C117),"",IF(RANK(Z117,$Z$117:$Z$118)&lt;2,"edasi "&amp;RANK(W117,$AB$111:$AB$118),RANK(W117,$AA$111:$AA$118)+4))</f>
        <v/>
      </c>
      <c r="Z117" s="87">
        <f>IF(COUNTA(C117:V117)=0,100,W117+IF(RANK(W117,$W$117:$W$118)=1,100,0))</f>
        <v>100</v>
      </c>
      <c r="AA117" s="85">
        <f>MIN(W117:W118)</f>
        <v>0</v>
      </c>
      <c r="AB117" s="85">
        <f>MAX(W117:W118)</f>
        <v>0</v>
      </c>
    </row>
    <row r="118" spans="1:29" ht="13.5" thickBot="1" x14ac:dyDescent="0.25">
      <c r="A118" s="112">
        <v>8</v>
      </c>
      <c r="B118" s="340"/>
      <c r="C118" s="92"/>
      <c r="D118" s="93"/>
      <c r="E118" s="93"/>
      <c r="F118" s="94"/>
      <c r="G118" s="92"/>
      <c r="H118" s="93"/>
      <c r="I118" s="93"/>
      <c r="J118" s="94"/>
      <c r="K118" s="92"/>
      <c r="L118" s="93"/>
      <c r="M118" s="93"/>
      <c r="N118" s="94"/>
      <c r="O118" s="92"/>
      <c r="P118" s="93"/>
      <c r="Q118" s="93"/>
      <c r="R118" s="94"/>
      <c r="S118" s="92"/>
      <c r="T118" s="93"/>
      <c r="U118" s="93"/>
      <c r="V118" s="94"/>
      <c r="W118" s="341" t="str">
        <f t="shared" si="2"/>
        <v/>
      </c>
      <c r="X118" s="342" t="str">
        <f>IF(ISBLANK(C118),"",IF(RANK(Z118,$Z$117:$Z$118)&lt;2,"edasi "&amp;RANK(W118,$AB$111:$AB$118),RANK(W118,$AA$111:$AA$118)+4))</f>
        <v/>
      </c>
      <c r="Z118" s="88">
        <f>IF(COUNTA(C118:V118)=0,0,W118+IF(RANK(W118,$W$117:$W$118)=1,100,0))</f>
        <v>0</v>
      </c>
      <c r="AA118" s="85"/>
      <c r="AB118" s="85"/>
    </row>
    <row r="119" spans="1:29" x14ac:dyDescent="0.2">
      <c r="A119" s="294"/>
      <c r="B119" s="295" t="s">
        <v>568</v>
      </c>
      <c r="C119" s="80"/>
      <c r="D119" s="81"/>
      <c r="E119" s="81"/>
      <c r="F119" s="82"/>
      <c r="G119" s="80"/>
      <c r="H119" s="81"/>
      <c r="I119" s="81"/>
      <c r="J119" s="82"/>
      <c r="K119" s="80"/>
      <c r="L119" s="81"/>
      <c r="M119" s="81"/>
      <c r="N119" s="82"/>
      <c r="O119" s="80"/>
      <c r="P119" s="81"/>
      <c r="Q119" s="81"/>
      <c r="R119" s="82"/>
      <c r="S119" s="80"/>
      <c r="T119" s="81"/>
      <c r="U119" s="81"/>
      <c r="V119" s="82"/>
      <c r="W119" s="400"/>
      <c r="X119" s="167"/>
      <c r="Z119" s="89"/>
      <c r="AA119" s="90"/>
      <c r="AB119" s="90"/>
    </row>
    <row r="120" spans="1:29" x14ac:dyDescent="0.2">
      <c r="A120" s="296"/>
      <c r="B120" s="343"/>
      <c r="C120" s="298"/>
      <c r="D120" s="299"/>
      <c r="E120" s="300"/>
      <c r="F120" s="301"/>
      <c r="G120" s="298"/>
      <c r="H120" s="299"/>
      <c r="I120" s="300"/>
      <c r="J120" s="301"/>
      <c r="K120" s="298"/>
      <c r="L120" s="299"/>
      <c r="M120" s="300"/>
      <c r="N120" s="301"/>
      <c r="O120" s="298"/>
      <c r="P120" s="344"/>
      <c r="Q120" s="300"/>
      <c r="R120" s="301"/>
      <c r="S120" s="298"/>
      <c r="T120" s="344"/>
      <c r="U120" s="300"/>
      <c r="V120" s="301"/>
      <c r="W120" s="334" t="str">
        <f t="shared" ref="W120:W121" si="10">IF(COUNTA(C120:V120)=0,"",SUM(C120:V120)+COUNTIF(C120:V120,5)/100+COUNTIF(C120:V120,3)/10000)</f>
        <v/>
      </c>
      <c r="X120" s="302"/>
      <c r="Z120" s="89"/>
      <c r="AA120" s="90"/>
      <c r="AB120" s="90"/>
      <c r="AC120" s="345"/>
    </row>
    <row r="121" spans="1:29" ht="13.5" thickBot="1" x14ac:dyDescent="0.25">
      <c r="A121" s="296"/>
      <c r="B121" s="343"/>
      <c r="C121" s="298"/>
      <c r="D121" s="299"/>
      <c r="E121" s="300"/>
      <c r="F121" s="301"/>
      <c r="G121" s="298"/>
      <c r="H121" s="299"/>
      <c r="I121" s="300"/>
      <c r="J121" s="301"/>
      <c r="K121" s="298"/>
      <c r="L121" s="299"/>
      <c r="M121" s="300"/>
      <c r="N121" s="301"/>
      <c r="O121" s="298"/>
      <c r="P121" s="299"/>
      <c r="Q121" s="300"/>
      <c r="R121" s="301"/>
      <c r="S121" s="298"/>
      <c r="T121" s="344"/>
      <c r="U121" s="300"/>
      <c r="V121" s="301"/>
      <c r="W121" s="334" t="str">
        <f t="shared" si="10"/>
        <v/>
      </c>
      <c r="X121" s="302"/>
      <c r="Z121" s="89"/>
      <c r="AA121" s="90"/>
      <c r="AB121" s="90"/>
    </row>
    <row r="122" spans="1:29" x14ac:dyDescent="0.2">
      <c r="A122" s="294"/>
      <c r="B122" s="163" t="s">
        <v>214</v>
      </c>
      <c r="C122" s="164"/>
      <c r="D122" s="165"/>
      <c r="E122" s="165"/>
      <c r="F122" s="166"/>
      <c r="G122" s="164"/>
      <c r="H122" s="165"/>
      <c r="I122" s="165"/>
      <c r="J122" s="166"/>
      <c r="K122" s="164"/>
      <c r="L122" s="165"/>
      <c r="M122" s="165"/>
      <c r="N122" s="166"/>
      <c r="O122" s="164"/>
      <c r="P122" s="165"/>
      <c r="Q122" s="165"/>
      <c r="R122" s="166"/>
      <c r="S122" s="164"/>
      <c r="T122" s="165"/>
      <c r="U122" s="165"/>
      <c r="V122" s="166"/>
      <c r="W122" s="412" t="str">
        <f t="shared" si="2"/>
        <v/>
      </c>
      <c r="X122" s="167"/>
    </row>
    <row r="123" spans="1:29" x14ac:dyDescent="0.2">
      <c r="A123" s="306">
        <v>1</v>
      </c>
      <c r="B123" s="338"/>
      <c r="C123" s="331"/>
      <c r="D123" s="332"/>
      <c r="E123" s="332"/>
      <c r="F123" s="333"/>
      <c r="G123" s="331"/>
      <c r="H123" s="332"/>
      <c r="I123" s="332"/>
      <c r="J123" s="333"/>
      <c r="K123" s="331"/>
      <c r="L123" s="332"/>
      <c r="M123" s="332"/>
      <c r="N123" s="333"/>
      <c r="O123" s="331"/>
      <c r="P123" s="332"/>
      <c r="Q123" s="332"/>
      <c r="R123" s="333"/>
      <c r="S123" s="331"/>
      <c r="T123" s="332"/>
      <c r="U123" s="332"/>
      <c r="V123" s="333"/>
      <c r="W123" s="334" t="str">
        <f t="shared" si="2"/>
        <v/>
      </c>
      <c r="X123" s="335" t="str">
        <f>IF(COUNTA(C123:V123)=0,"",IF(W123=W124,"ümbervisk",IF(W123&gt;W124,"finaali "&amp;(IF(W123&lt;MAX(W125:W126),2,IF(W123=MAX(W125:W126),"",1))),"pronksi "&amp;(IF(W123&lt;MIN(W125:W126),2,IF(W123=MIN(W125:W126),"",1))))))</f>
        <v/>
      </c>
    </row>
    <row r="124" spans="1:29" x14ac:dyDescent="0.2">
      <c r="A124" s="306">
        <v>4</v>
      </c>
      <c r="B124" s="336"/>
      <c r="C124" s="331"/>
      <c r="D124" s="332"/>
      <c r="E124" s="332"/>
      <c r="F124" s="333"/>
      <c r="G124" s="331"/>
      <c r="H124" s="332"/>
      <c r="I124" s="332"/>
      <c r="J124" s="333"/>
      <c r="K124" s="331"/>
      <c r="L124" s="332"/>
      <c r="M124" s="332"/>
      <c r="N124" s="333"/>
      <c r="O124" s="331"/>
      <c r="P124" s="332"/>
      <c r="Q124" s="332"/>
      <c r="R124" s="333"/>
      <c r="S124" s="331"/>
      <c r="T124" s="332"/>
      <c r="U124" s="332"/>
      <c r="V124" s="333"/>
      <c r="W124" s="334" t="str">
        <f t="shared" si="2"/>
        <v/>
      </c>
      <c r="X124" s="335" t="str">
        <f>IF(COUNTA(C124:V124)=0,"",IF(W123=W124,"ümbervisk",IF(W124&gt;W123,"finaali "&amp;(IF(W124&lt;MAX(W125:W126),2,IF(W124=MAX(W125:W126),"",1))),"pronksi "&amp;(IF(W124&lt;MIN(W125:W126),2,IF(W124=MIN(W125:W126),"",1))))))</f>
        <v/>
      </c>
    </row>
    <row r="125" spans="1:29" x14ac:dyDescent="0.2">
      <c r="A125" s="108">
        <v>2</v>
      </c>
      <c r="B125" s="339"/>
      <c r="C125" s="80"/>
      <c r="D125" s="81"/>
      <c r="E125" s="81"/>
      <c r="F125" s="82"/>
      <c r="G125" s="80"/>
      <c r="H125" s="81"/>
      <c r="I125" s="81"/>
      <c r="J125" s="82"/>
      <c r="K125" s="80"/>
      <c r="L125" s="81"/>
      <c r="M125" s="81"/>
      <c r="N125" s="82"/>
      <c r="O125" s="80"/>
      <c r="P125" s="81"/>
      <c r="Q125" s="81"/>
      <c r="R125" s="82"/>
      <c r="S125" s="80"/>
      <c r="T125" s="81"/>
      <c r="U125" s="81"/>
      <c r="V125" s="82"/>
      <c r="W125" s="334" t="str">
        <f t="shared" si="2"/>
        <v/>
      </c>
      <c r="X125" s="83" t="str">
        <f>IF(COUNTA(C125:V125)=0,"",IF(W125=W126,"ümbervisk",IF(W125&gt;W126,"finaali "&amp;(IF(W125&lt;MAX(W123:W124),2,IF(W125=MAX(W123:W124),"",1))),"pronksi "&amp;(IF(W125&lt;MIN(W123:W124),2,IF(W125=MIN(W123:W124),"",1))))))</f>
        <v/>
      </c>
    </row>
    <row r="126" spans="1:29" ht="13.5" thickBot="1" x14ac:dyDescent="0.25">
      <c r="A126" s="112">
        <v>3</v>
      </c>
      <c r="B126" s="340"/>
      <c r="C126" s="92"/>
      <c r="D126" s="93"/>
      <c r="E126" s="93"/>
      <c r="F126" s="94"/>
      <c r="G126" s="92"/>
      <c r="H126" s="93"/>
      <c r="I126" s="93"/>
      <c r="J126" s="94"/>
      <c r="K126" s="92"/>
      <c r="L126" s="93"/>
      <c r="M126" s="93"/>
      <c r="N126" s="94"/>
      <c r="O126" s="92"/>
      <c r="P126" s="93"/>
      <c r="Q126" s="93"/>
      <c r="R126" s="94"/>
      <c r="S126" s="92"/>
      <c r="T126" s="93"/>
      <c r="U126" s="93"/>
      <c r="V126" s="94"/>
      <c r="W126" s="341" t="str">
        <f t="shared" si="2"/>
        <v/>
      </c>
      <c r="X126" s="342" t="str">
        <f>IF(COUNTA(C126:V126)=0,"",IF(W125=W126,"ümbervisk",IF(W126&gt;W125,"finaali "&amp;(IF(W126&lt;MAX(W123:W124),2,IF(W126=MAX(W123:W124),"",1))),"pronksi "&amp;(IF(W126&lt;MIN(W123:W124),2,IF(W126=MIN(W123:W124),"",1))))))</f>
        <v/>
      </c>
    </row>
    <row r="127" spans="1:29" x14ac:dyDescent="0.2">
      <c r="A127" s="294"/>
      <c r="B127" s="347" t="s">
        <v>215</v>
      </c>
      <c r="C127" s="164"/>
      <c r="D127" s="165"/>
      <c r="E127" s="165"/>
      <c r="F127" s="166"/>
      <c r="G127" s="164"/>
      <c r="H127" s="165"/>
      <c r="I127" s="165"/>
      <c r="J127" s="166"/>
      <c r="K127" s="164"/>
      <c r="L127" s="165"/>
      <c r="M127" s="165"/>
      <c r="N127" s="166"/>
      <c r="O127" s="164"/>
      <c r="P127" s="165"/>
      <c r="Q127" s="165"/>
      <c r="R127" s="166"/>
      <c r="S127" s="164"/>
      <c r="T127" s="165"/>
      <c r="U127" s="165"/>
      <c r="V127" s="166"/>
      <c r="W127" s="412" t="str">
        <f t="shared" si="2"/>
        <v/>
      </c>
      <c r="X127" s="167"/>
    </row>
    <row r="128" spans="1:29" x14ac:dyDescent="0.2">
      <c r="A128" s="108"/>
      <c r="B128" s="121"/>
      <c r="C128" s="80"/>
      <c r="D128" s="81"/>
      <c r="E128" s="81"/>
      <c r="F128" s="82"/>
      <c r="G128" s="80"/>
      <c r="H128" s="81"/>
      <c r="I128" s="81"/>
      <c r="J128" s="82"/>
      <c r="K128" s="80"/>
      <c r="L128" s="81"/>
      <c r="M128" s="81"/>
      <c r="N128" s="82"/>
      <c r="O128" s="80"/>
      <c r="P128" s="81"/>
      <c r="Q128" s="81"/>
      <c r="R128" s="82"/>
      <c r="S128" s="80"/>
      <c r="T128" s="81"/>
      <c r="U128" s="81"/>
      <c r="V128" s="82"/>
      <c r="W128" s="334" t="str">
        <f t="shared" si="2"/>
        <v/>
      </c>
      <c r="X128" s="91">
        <f ca="1">IF( INDIRECT("RC[-1]",0)=MAX(( INDIRECT("R[-1]C[-1]",0)):( INDIRECT("R[1]C[-1]",0))),3,4)</f>
        <v>4</v>
      </c>
    </row>
    <row r="129" spans="1:27" ht="13.5" thickBot="1" x14ac:dyDescent="0.25">
      <c r="A129" s="112"/>
      <c r="B129" s="348"/>
      <c r="C129" s="92"/>
      <c r="D129" s="93"/>
      <c r="E129" s="93"/>
      <c r="F129" s="94"/>
      <c r="G129" s="92"/>
      <c r="H129" s="93"/>
      <c r="I129" s="93"/>
      <c r="J129" s="410"/>
      <c r="K129" s="92"/>
      <c r="L129" s="93"/>
      <c r="M129" s="93"/>
      <c r="N129" s="94"/>
      <c r="O129" s="92"/>
      <c r="P129" s="93"/>
      <c r="Q129" s="93"/>
      <c r="R129" s="94"/>
      <c r="S129" s="92"/>
      <c r="T129" s="93"/>
      <c r="U129" s="93"/>
      <c r="V129" s="94"/>
      <c r="W129" s="341" t="str">
        <f t="shared" si="2"/>
        <v/>
      </c>
      <c r="X129" s="96">
        <f ca="1">IF( INDIRECT("RC[-1]",0)=MAX(( INDIRECT("R[-1]C[-1]",0)):( INDIRECT("R[1]C[-1]",0))),3,4)</f>
        <v>4</v>
      </c>
    </row>
    <row r="130" spans="1:27" x14ac:dyDescent="0.2">
      <c r="A130" s="294"/>
      <c r="B130" s="347" t="s">
        <v>216</v>
      </c>
      <c r="C130" s="164"/>
      <c r="D130" s="165"/>
      <c r="E130" s="165"/>
      <c r="F130" s="166"/>
      <c r="G130" s="164"/>
      <c r="H130" s="165"/>
      <c r="I130" s="165"/>
      <c r="J130" s="166"/>
      <c r="K130" s="164"/>
      <c r="L130" s="165"/>
      <c r="M130" s="165"/>
      <c r="N130" s="166"/>
      <c r="O130" s="164"/>
      <c r="P130" s="165"/>
      <c r="Q130" s="165"/>
      <c r="R130" s="166"/>
      <c r="S130" s="164"/>
      <c r="T130" s="165"/>
      <c r="U130" s="165"/>
      <c r="V130" s="166"/>
      <c r="W130" s="412" t="str">
        <f t="shared" si="2"/>
        <v/>
      </c>
      <c r="X130" s="167"/>
    </row>
    <row r="131" spans="1:27" x14ac:dyDescent="0.2">
      <c r="A131" s="108"/>
      <c r="B131" s="119"/>
      <c r="C131" s="80"/>
      <c r="D131" s="81"/>
      <c r="E131" s="81"/>
      <c r="F131" s="82"/>
      <c r="G131" s="80"/>
      <c r="H131" s="81"/>
      <c r="I131" s="81"/>
      <c r="J131" s="82"/>
      <c r="K131" s="80"/>
      <c r="L131" s="81"/>
      <c r="M131" s="81"/>
      <c r="N131" s="82"/>
      <c r="O131" s="80"/>
      <c r="P131" s="81"/>
      <c r="Q131" s="81"/>
      <c r="R131" s="82"/>
      <c r="S131" s="80"/>
      <c r="T131" s="81"/>
      <c r="U131" s="81"/>
      <c r="V131" s="82"/>
      <c r="W131" s="334" t="str">
        <f t="shared" si="2"/>
        <v/>
      </c>
      <c r="X131" s="91">
        <f ca="1">IF( INDIRECT("RC[-1]",0)=MAX(( INDIRECT("R[-1]C[-1]",0)):( INDIRECT("R[1]C[-1]",0))),1,2)</f>
        <v>2</v>
      </c>
    </row>
    <row r="132" spans="1:27" ht="13.5" thickBot="1" x14ac:dyDescent="0.25">
      <c r="A132" s="112"/>
      <c r="B132" s="120"/>
      <c r="C132" s="92"/>
      <c r="D132" s="93"/>
      <c r="E132" s="93"/>
      <c r="F132" s="94"/>
      <c r="G132" s="92"/>
      <c r="H132" s="93"/>
      <c r="I132" s="93"/>
      <c r="J132" s="94"/>
      <c r="K132" s="92"/>
      <c r="L132" s="93"/>
      <c r="M132" s="93"/>
      <c r="N132" s="94"/>
      <c r="O132" s="92"/>
      <c r="P132" s="93"/>
      <c r="Q132" s="93"/>
      <c r="R132" s="94"/>
      <c r="S132" s="92"/>
      <c r="T132" s="93"/>
      <c r="U132" s="93"/>
      <c r="V132" s="94"/>
      <c r="W132" s="341" t="str">
        <f t="shared" si="2"/>
        <v/>
      </c>
      <c r="X132" s="96">
        <f ca="1">IF( INDIRECT("RC[-1]",0)=MAX(( INDIRECT("R[-1]C[-1]",0)):( INDIRECT("R[1]C[-1]",0))),1,2)</f>
        <v>2</v>
      </c>
    </row>
    <row r="133" spans="1:27" x14ac:dyDescent="0.2">
      <c r="A133" s="107"/>
      <c r="B133" s="107"/>
      <c r="C133" s="107"/>
      <c r="D133" s="107"/>
      <c r="E133" s="107"/>
      <c r="F133" s="107"/>
      <c r="G133" s="107"/>
      <c r="H133" s="107"/>
      <c r="I133" s="107"/>
      <c r="J133" s="107"/>
      <c r="K133" s="107"/>
      <c r="L133" s="107"/>
      <c r="M133" s="107"/>
      <c r="N133" s="107"/>
      <c r="O133" s="358"/>
      <c r="P133" s="107"/>
      <c r="Q133" s="107"/>
      <c r="R133" s="107"/>
      <c r="S133" s="107"/>
      <c r="T133" s="359"/>
      <c r="U133" s="107"/>
      <c r="V133" s="107"/>
      <c r="W133" s="107"/>
      <c r="X133" s="107"/>
      <c r="Y133" s="107"/>
    </row>
    <row r="134" spans="1:27" x14ac:dyDescent="0.2">
      <c r="A134" s="113">
        <v>1</v>
      </c>
      <c r="B134" s="127" t="str">
        <f t="shared" ref="B134:B143" ca="1" si="11">IF(IFERROR(INDEX($B$9:$B$132,MATCH($A134,$X$9:$X$132,0)),"")=0,"",IFERROR(INDEX($B$9:$B$132,MATCH($A134,$X$9:$X$132,0)),""))</f>
        <v/>
      </c>
      <c r="C134" s="107"/>
      <c r="D134" s="107"/>
      <c r="E134" s="360"/>
      <c r="F134" s="361">
        <v>11</v>
      </c>
      <c r="G134" s="174" t="str">
        <f ca="1">IF(IFERROR(INDEX($B$9:$B$132,MATCH($F134,$X$9:$X$132,0)),"")=0,"",IFERROR(INDEX($B$9:$B$132,MATCH($F134,$X$9:$X$132,0)),""))</f>
        <v/>
      </c>
      <c r="H134" s="175"/>
      <c r="I134" s="175"/>
      <c r="J134" s="175"/>
      <c r="K134" s="175"/>
      <c r="L134" s="175"/>
      <c r="M134" s="176"/>
      <c r="P134" s="360"/>
      <c r="Q134" s="361">
        <v>21</v>
      </c>
      <c r="R134" s="174" t="str">
        <f t="shared" ref="R134:R136" ca="1" si="12">IF(IFERROR(INDEX($B$9:$B$132,MATCH($Q134,$X$9:$X$132,0)),"")=0,"",IFERROR(INDEX($B$9:$B$132,MATCH($Q134,$X$9:$X$132,0)),""))</f>
        <v/>
      </c>
      <c r="S134" s="175"/>
      <c r="T134" s="175"/>
      <c r="U134" s="414"/>
      <c r="V134" s="414"/>
      <c r="W134" s="362"/>
      <c r="Z134" s="175"/>
      <c r="AA134" s="176"/>
    </row>
    <row r="135" spans="1:27" x14ac:dyDescent="0.2">
      <c r="A135" s="113">
        <v>2</v>
      </c>
      <c r="B135" s="114" t="str">
        <f t="shared" ca="1" si="11"/>
        <v/>
      </c>
      <c r="C135" s="107"/>
      <c r="D135" s="107"/>
      <c r="E135" s="360"/>
      <c r="F135" s="361">
        <v>12</v>
      </c>
      <c r="G135" s="174" t="str">
        <f ca="1">IF(IFERROR(INDEX($B$9:$B$132,MATCH($F135,$X$9:$X$132,0)),"")=0,"",IFERROR(INDEX($B$9:$B$132,MATCH($F135,$X$9:$X$132,0)),""))</f>
        <v/>
      </c>
      <c r="H135" s="175"/>
      <c r="I135" s="175"/>
      <c r="J135" s="175"/>
      <c r="K135" s="175"/>
      <c r="L135" s="175"/>
      <c r="M135" s="176"/>
      <c r="P135" s="360"/>
      <c r="Q135" s="361">
        <v>22</v>
      </c>
      <c r="R135" s="174" t="str">
        <f t="shared" ca="1" si="12"/>
        <v/>
      </c>
      <c r="S135" s="175"/>
      <c r="T135" s="175"/>
      <c r="U135" s="414"/>
      <c r="V135" s="414"/>
      <c r="W135" s="362"/>
      <c r="Z135" s="175"/>
      <c r="AA135" s="176"/>
    </row>
    <row r="136" spans="1:27" x14ac:dyDescent="0.2">
      <c r="A136" s="113">
        <v>3</v>
      </c>
      <c r="B136" s="115" t="str">
        <f t="shared" ca="1" si="11"/>
        <v/>
      </c>
      <c r="C136" s="107"/>
      <c r="D136" s="107"/>
      <c r="E136" s="360"/>
      <c r="F136" s="361">
        <v>13</v>
      </c>
      <c r="G136" s="174" t="str">
        <f ca="1">IF(IFERROR(INDEX($B$9:$B$132,MATCH($F136,$X$9:$X$132,0)),"")=0,"",IFERROR(INDEX($B$9:$B$132,MATCH($F136,$X$9:$X$132,0)),""))</f>
        <v/>
      </c>
      <c r="H136" s="175"/>
      <c r="I136" s="175"/>
      <c r="J136" s="175"/>
      <c r="K136" s="175"/>
      <c r="L136" s="175"/>
      <c r="M136" s="176"/>
      <c r="P136" s="360"/>
      <c r="Q136" s="361">
        <v>23</v>
      </c>
      <c r="R136" s="174" t="str">
        <f t="shared" ca="1" si="12"/>
        <v/>
      </c>
      <c r="S136" s="175"/>
      <c r="T136" s="175"/>
      <c r="U136" s="414"/>
      <c r="V136" s="414"/>
      <c r="W136" s="362"/>
      <c r="Z136" s="175"/>
      <c r="AA136" s="176"/>
    </row>
    <row r="137" spans="1:27" x14ac:dyDescent="0.2">
      <c r="A137" s="113">
        <v>4</v>
      </c>
      <c r="B137" s="201" t="str">
        <f t="shared" ca="1" si="11"/>
        <v/>
      </c>
      <c r="C137" s="107"/>
      <c r="D137" s="107"/>
      <c r="E137" s="360"/>
      <c r="F137" s="361">
        <v>14</v>
      </c>
      <c r="G137" s="174" t="str">
        <f t="shared" ref="G137:G143" si="13">IF(IFERROR(INDEX($B$9:$B$132,MATCH($F137,$X$9:$X$132,0)),"")=0,"",IFERROR(INDEX($B$9:$B$132,MATCH($F137,$X$9:$X$132,0)),""))</f>
        <v/>
      </c>
      <c r="H137" s="175"/>
      <c r="I137" s="175"/>
      <c r="J137" s="175"/>
      <c r="K137" s="175"/>
      <c r="L137" s="175"/>
      <c r="M137" s="176"/>
      <c r="P137" s="360"/>
      <c r="Q137" s="361">
        <v>24</v>
      </c>
      <c r="R137" s="174" t="str">
        <f ca="1">IF(IFERROR(INDEX($B$9:$B$132,MATCH($Q137,$X$9:$X$132,0)),"")=0,"",IFERROR(INDEX($B$9:$B$132,MATCH($Q137,$X$9:$X$132,0)),""))</f>
        <v/>
      </c>
      <c r="S137" s="175"/>
      <c r="T137" s="175"/>
      <c r="U137" s="414"/>
      <c r="V137" s="414"/>
      <c r="W137" s="362"/>
      <c r="Z137" s="175"/>
      <c r="AA137" s="176"/>
    </row>
    <row r="138" spans="1:27" x14ac:dyDescent="0.2">
      <c r="A138" s="113">
        <v>5</v>
      </c>
      <c r="B138" s="201" t="str">
        <f t="shared" ca="1" si="11"/>
        <v/>
      </c>
      <c r="C138" s="107"/>
      <c r="D138" s="107"/>
      <c r="E138" s="360"/>
      <c r="F138" s="361">
        <v>15</v>
      </c>
      <c r="G138" s="174" t="str">
        <f t="shared" ca="1" si="13"/>
        <v/>
      </c>
      <c r="H138" s="175"/>
      <c r="I138" s="175"/>
      <c r="J138" s="175"/>
      <c r="K138" s="175"/>
      <c r="L138" s="175"/>
      <c r="M138" s="176"/>
      <c r="P138" s="360"/>
      <c r="Q138" s="361">
        <v>25</v>
      </c>
      <c r="R138" s="174" t="str">
        <f t="shared" ref="R138:R142" ca="1" si="14">IF(IFERROR(INDEX($B$9:$B$132,MATCH($Q138,$X$9:$X$132,0)),"")=0,"",IFERROR(INDEX($B$9:$B$132,MATCH($Q138,$X$9:$X$132,0)),""))</f>
        <v/>
      </c>
      <c r="S138" s="175"/>
      <c r="T138" s="175"/>
      <c r="U138" s="414"/>
      <c r="V138" s="414"/>
      <c r="W138" s="362"/>
      <c r="Z138" s="175"/>
      <c r="AA138" s="176"/>
    </row>
    <row r="139" spans="1:27" x14ac:dyDescent="0.2">
      <c r="A139" s="113">
        <v>6</v>
      </c>
      <c r="B139" s="201" t="str">
        <f t="shared" ca="1" si="11"/>
        <v/>
      </c>
      <c r="C139" s="107"/>
      <c r="D139" s="107"/>
      <c r="E139" s="360"/>
      <c r="F139" s="361">
        <v>16</v>
      </c>
      <c r="G139" s="174" t="str">
        <f t="shared" ca="1" si="13"/>
        <v/>
      </c>
      <c r="H139" s="175"/>
      <c r="I139" s="175"/>
      <c r="J139" s="175"/>
      <c r="K139" s="175"/>
      <c r="L139" s="175"/>
      <c r="M139" s="176"/>
      <c r="P139" s="360"/>
      <c r="Q139" s="361">
        <v>26</v>
      </c>
      <c r="R139" s="174" t="str">
        <f t="shared" ca="1" si="14"/>
        <v/>
      </c>
      <c r="S139" s="175"/>
      <c r="T139" s="175"/>
      <c r="U139" s="414"/>
      <c r="V139" s="414"/>
      <c r="W139" s="362"/>
      <c r="Z139" s="175"/>
      <c r="AA139" s="176"/>
    </row>
    <row r="140" spans="1:27" x14ac:dyDescent="0.2">
      <c r="A140" s="113">
        <v>7</v>
      </c>
      <c r="B140" s="201" t="str">
        <f t="shared" ca="1" si="11"/>
        <v/>
      </c>
      <c r="C140" s="107"/>
      <c r="D140" s="107"/>
      <c r="E140" s="360"/>
      <c r="F140" s="361">
        <v>17</v>
      </c>
      <c r="G140" s="174" t="str">
        <f t="shared" ca="1" si="13"/>
        <v/>
      </c>
      <c r="H140" s="175"/>
      <c r="I140" s="175"/>
      <c r="J140" s="175"/>
      <c r="K140" s="175"/>
      <c r="L140" s="175"/>
      <c r="M140" s="176"/>
      <c r="P140" s="360"/>
      <c r="Q140" s="361">
        <v>27</v>
      </c>
      <c r="R140" s="174" t="str">
        <f t="shared" ca="1" si="14"/>
        <v/>
      </c>
      <c r="S140" s="175"/>
      <c r="T140" s="175"/>
      <c r="U140" s="414"/>
      <c r="V140" s="414"/>
      <c r="W140" s="362"/>
      <c r="Z140" s="175"/>
      <c r="AA140" s="176"/>
    </row>
    <row r="141" spans="1:27" x14ac:dyDescent="0.2">
      <c r="A141" s="113">
        <v>8</v>
      </c>
      <c r="B141" s="201" t="str">
        <f t="shared" ca="1" si="11"/>
        <v/>
      </c>
      <c r="C141" s="107"/>
      <c r="D141" s="107"/>
      <c r="E141" s="360"/>
      <c r="F141" s="361">
        <v>18</v>
      </c>
      <c r="G141" s="174" t="str">
        <f t="shared" ca="1" si="13"/>
        <v/>
      </c>
      <c r="H141" s="175"/>
      <c r="I141" s="175"/>
      <c r="J141" s="175"/>
      <c r="K141" s="175"/>
      <c r="L141" s="175"/>
      <c r="M141" s="176"/>
      <c r="P141" s="360"/>
      <c r="Q141" s="361">
        <v>28</v>
      </c>
      <c r="R141" s="174" t="str">
        <f t="shared" ca="1" si="14"/>
        <v/>
      </c>
      <c r="S141" s="175"/>
      <c r="T141" s="175"/>
      <c r="U141" s="414"/>
      <c r="V141" s="414"/>
      <c r="W141" s="362"/>
      <c r="Z141" s="175"/>
      <c r="AA141" s="176"/>
    </row>
    <row r="142" spans="1:27" x14ac:dyDescent="0.2">
      <c r="A142" s="113">
        <v>9</v>
      </c>
      <c r="B142" s="201" t="str">
        <f t="shared" ca="1" si="11"/>
        <v/>
      </c>
      <c r="C142" s="107"/>
      <c r="D142" s="107"/>
      <c r="E142" s="360"/>
      <c r="F142" s="361">
        <v>19</v>
      </c>
      <c r="G142" s="174" t="str">
        <f t="shared" ca="1" si="13"/>
        <v/>
      </c>
      <c r="H142" s="175"/>
      <c r="I142" s="175"/>
      <c r="J142" s="175"/>
      <c r="K142" s="175"/>
      <c r="L142" s="175"/>
      <c r="M142" s="176"/>
      <c r="P142" s="360"/>
      <c r="Q142" s="361">
        <v>29</v>
      </c>
      <c r="R142" s="174" t="str">
        <f t="shared" ca="1" si="14"/>
        <v/>
      </c>
      <c r="S142" s="175"/>
      <c r="T142" s="175"/>
      <c r="U142" s="414"/>
      <c r="V142" s="414"/>
      <c r="W142" s="362"/>
      <c r="Z142" s="175"/>
      <c r="AA142" s="176"/>
    </row>
    <row r="143" spans="1:27" x14ac:dyDescent="0.2">
      <c r="A143" s="113">
        <v>10</v>
      </c>
      <c r="B143" s="201" t="str">
        <f t="shared" ca="1" si="11"/>
        <v/>
      </c>
      <c r="C143" s="107"/>
      <c r="D143" s="107"/>
      <c r="E143" s="360"/>
      <c r="F143" s="361">
        <v>20</v>
      </c>
      <c r="G143" s="174" t="str">
        <f t="shared" ca="1" si="13"/>
        <v/>
      </c>
      <c r="H143" s="175"/>
      <c r="I143" s="175"/>
      <c r="J143" s="175"/>
      <c r="K143" s="175"/>
      <c r="L143" s="175"/>
      <c r="M143" s="176"/>
      <c r="P143" s="107"/>
      <c r="Q143" s="107"/>
      <c r="R143" s="107"/>
      <c r="S143" s="107"/>
      <c r="T143" s="107"/>
      <c r="U143" s="107"/>
      <c r="V143" s="107"/>
      <c r="W143" s="107"/>
      <c r="Z143" s="175"/>
      <c r="AA143" s="176"/>
    </row>
    <row r="144" spans="1:27" x14ac:dyDescent="0.2">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3:25" x14ac:dyDescent="0.2">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row>
    <row r="146" spans="3:25" x14ac:dyDescent="0.2">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row>
    <row r="147" spans="3:25" x14ac:dyDescent="0.2">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row>
    <row r="148" spans="3:25" x14ac:dyDescent="0.2">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row>
    <row r="149" spans="3:25" x14ac:dyDescent="0.2">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row>
    <row r="150" spans="3:25" x14ac:dyDescent="0.2">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row>
  </sheetData>
  <conditionalFormatting sqref="X123:X126">
    <cfRule type="duplicateValues" dxfId="1486" priority="44"/>
  </conditionalFormatting>
  <conditionalFormatting sqref="B25:B32">
    <cfRule type="duplicateValues" dxfId="1485" priority="41" stopIfTrue="1"/>
  </conditionalFormatting>
  <conditionalFormatting sqref="X9:X38">
    <cfRule type="duplicateValues" dxfId="1484" priority="42"/>
    <cfRule type="top10" dxfId="1483" priority="43" stopIfTrue="1" rank="100"/>
  </conditionalFormatting>
  <conditionalFormatting sqref="B22:B24">
    <cfRule type="duplicateValues" dxfId="1482" priority="40" stopIfTrue="1"/>
  </conditionalFormatting>
  <conditionalFormatting sqref="B33:B38 B10:B12 B14">
    <cfRule type="duplicateValues" dxfId="1481" priority="45" stopIfTrue="1"/>
  </conditionalFormatting>
  <conditionalFormatting sqref="B40:B45">
    <cfRule type="duplicateValues" dxfId="1480" priority="38" stopIfTrue="1"/>
  </conditionalFormatting>
  <conditionalFormatting sqref="X40:X47 X64:X67">
    <cfRule type="duplicateValues" dxfId="1479" priority="46"/>
    <cfRule type="top10" dxfId="1478" priority="47" stopIfTrue="1" rank="100"/>
  </conditionalFormatting>
  <conditionalFormatting sqref="B46:B47 B64:B67">
    <cfRule type="duplicateValues" dxfId="1477" priority="48" stopIfTrue="1"/>
  </conditionalFormatting>
  <conditionalFormatting sqref="B56:B61">
    <cfRule type="duplicateValues" dxfId="1476" priority="34" stopIfTrue="1"/>
  </conditionalFormatting>
  <conditionalFormatting sqref="X56:X63">
    <cfRule type="duplicateValues" dxfId="1475" priority="35"/>
    <cfRule type="top10" dxfId="1474" priority="36" stopIfTrue="1" rank="100"/>
  </conditionalFormatting>
  <conditionalFormatting sqref="B62:B63">
    <cfRule type="duplicateValues" dxfId="1473" priority="37" stopIfTrue="1"/>
  </conditionalFormatting>
  <conditionalFormatting sqref="B86:B91">
    <cfRule type="duplicateValues" dxfId="1472" priority="30" stopIfTrue="1"/>
  </conditionalFormatting>
  <conditionalFormatting sqref="X86:X93 X102:X105">
    <cfRule type="duplicateValues" dxfId="1471" priority="31"/>
    <cfRule type="top10" dxfId="1470" priority="32" stopIfTrue="1" rank="100"/>
  </conditionalFormatting>
  <conditionalFormatting sqref="B92:B93 B102:B105">
    <cfRule type="duplicateValues" dxfId="1469" priority="33" stopIfTrue="1"/>
  </conditionalFormatting>
  <conditionalFormatting sqref="B94:B99">
    <cfRule type="duplicateValues" dxfId="1468" priority="26" stopIfTrue="1"/>
  </conditionalFormatting>
  <conditionalFormatting sqref="X94:X101">
    <cfRule type="duplicateValues" dxfId="1467" priority="27"/>
    <cfRule type="top10" dxfId="1466" priority="28" stopIfTrue="1" rank="100"/>
  </conditionalFormatting>
  <conditionalFormatting sqref="B100:B101">
    <cfRule type="duplicateValues" dxfId="1465" priority="29" stopIfTrue="1"/>
  </conditionalFormatting>
  <conditionalFormatting sqref="B106:B107">
    <cfRule type="duplicateValues" dxfId="1464" priority="22" stopIfTrue="1"/>
  </conditionalFormatting>
  <conditionalFormatting sqref="X106:X109">
    <cfRule type="duplicateValues" dxfId="1463" priority="23"/>
    <cfRule type="top10" dxfId="1462" priority="24" stopIfTrue="1" rank="100"/>
  </conditionalFormatting>
  <conditionalFormatting sqref="B108:B109">
    <cfRule type="duplicateValues" dxfId="1461" priority="25" stopIfTrue="1"/>
  </conditionalFormatting>
  <conditionalFormatting sqref="B68:B69">
    <cfRule type="duplicateValues" dxfId="1460" priority="21" stopIfTrue="1"/>
  </conditionalFormatting>
  <conditionalFormatting sqref="B48:B53">
    <cfRule type="duplicateValues" dxfId="1459" priority="17" stopIfTrue="1"/>
  </conditionalFormatting>
  <conditionalFormatting sqref="X48:X55">
    <cfRule type="duplicateValues" dxfId="1458" priority="18"/>
    <cfRule type="top10" dxfId="1457" priority="19" stopIfTrue="1" rank="100"/>
  </conditionalFormatting>
  <conditionalFormatting sqref="B54:B55">
    <cfRule type="duplicateValues" dxfId="1456" priority="20" stopIfTrue="1"/>
  </conditionalFormatting>
  <conditionalFormatting sqref="X73:X84">
    <cfRule type="duplicateValues" dxfId="1455" priority="16"/>
    <cfRule type="top10" dxfId="1454" priority="39" stopIfTrue="1" rank="100"/>
  </conditionalFormatting>
  <conditionalFormatting sqref="W40:W43">
    <cfRule type="top10" dxfId="1453" priority="15" rank="1"/>
  </conditionalFormatting>
  <conditionalFormatting sqref="W44:W47">
    <cfRule type="top10" dxfId="1452" priority="14" rank="1"/>
  </conditionalFormatting>
  <conditionalFormatting sqref="W48:W51">
    <cfRule type="top10" dxfId="1451" priority="13" rank="1"/>
  </conditionalFormatting>
  <conditionalFormatting sqref="W52:W55">
    <cfRule type="top10" dxfId="1450" priority="12" rank="1"/>
  </conditionalFormatting>
  <conditionalFormatting sqref="W56:W59">
    <cfRule type="top10" dxfId="1449" priority="11" rank="1"/>
  </conditionalFormatting>
  <conditionalFormatting sqref="W60:W63">
    <cfRule type="top10" dxfId="1448" priority="10" rank="1"/>
  </conditionalFormatting>
  <conditionalFormatting sqref="W64:W67">
    <cfRule type="top10" dxfId="1447" priority="9" rank="1"/>
  </conditionalFormatting>
  <conditionalFormatting sqref="W68:W71">
    <cfRule type="top10" dxfId="1446" priority="8" rank="1"/>
  </conditionalFormatting>
  <conditionalFormatting sqref="W86:W89">
    <cfRule type="top10" dxfId="1445" priority="7" rank="1"/>
  </conditionalFormatting>
  <conditionalFormatting sqref="W90:W93">
    <cfRule type="top10" dxfId="1444" priority="6" rank="1"/>
  </conditionalFormatting>
  <conditionalFormatting sqref="W94:W97">
    <cfRule type="top10" dxfId="1443" priority="5" rank="1"/>
  </conditionalFormatting>
  <conditionalFormatting sqref="W98:W101">
    <cfRule type="top10" dxfId="1442" priority="4" rank="1"/>
  </conditionalFormatting>
  <conditionalFormatting sqref="W102:W105">
    <cfRule type="top10" dxfId="1441" priority="3" rank="1"/>
  </conditionalFormatting>
  <conditionalFormatting sqref="W106:W109">
    <cfRule type="top10" dxfId="1440" priority="2" rank="1"/>
  </conditionalFormatting>
  <conditionalFormatting sqref="W111:W112">
    <cfRule type="top10" dxfId="1439" priority="49" rank="1"/>
  </conditionalFormatting>
  <conditionalFormatting sqref="W113:W114">
    <cfRule type="top10" dxfId="1438" priority="50" rank="1"/>
  </conditionalFormatting>
  <conditionalFormatting sqref="W115:W116">
    <cfRule type="top10" dxfId="1437" priority="51" rank="1"/>
  </conditionalFormatting>
  <conditionalFormatting sqref="W123:W124">
    <cfRule type="top10" dxfId="1436" priority="52" rank="1"/>
  </conditionalFormatting>
  <conditionalFormatting sqref="W125:W126">
    <cfRule type="top10" dxfId="1435" priority="53" rank="1"/>
  </conditionalFormatting>
  <conditionalFormatting sqref="W128:W129">
    <cfRule type="top10" dxfId="1434" priority="54" rank="1"/>
  </conditionalFormatting>
  <conditionalFormatting sqref="W131:W132">
    <cfRule type="top10" dxfId="1433" priority="55" rank="1"/>
  </conditionalFormatting>
  <conditionalFormatting sqref="X111:X118">
    <cfRule type="duplicateValues" dxfId="1432" priority="56"/>
    <cfRule type="top10" dxfId="1431" priority="57" stopIfTrue="1" rank="4"/>
  </conditionalFormatting>
  <conditionalFormatting sqref="W117:W118">
    <cfRule type="top10" dxfId="1430" priority="58" rank="1"/>
  </conditionalFormatting>
  <conditionalFormatting sqref="B120:B121">
    <cfRule type="duplicateValues" dxfId="1429" priority="59" stopIfTrue="1"/>
  </conditionalFormatting>
  <conditionalFormatting sqref="X120:X121">
    <cfRule type="duplicateValues" dxfId="1428" priority="60"/>
    <cfRule type="top10" dxfId="1427" priority="61" stopIfTrue="1" rank="100"/>
  </conditionalFormatting>
  <conditionalFormatting sqref="W120:W121">
    <cfRule type="top10" dxfId="1426" priority="62" rank="1"/>
  </conditionalFormatting>
  <conditionalFormatting sqref="Y73:Y84">
    <cfRule type="duplicateValues" dxfId="1425" priority="1"/>
  </conditionalFormatting>
  <conditionalFormatting sqref="W9:W132">
    <cfRule type="top10" dxfId="1424" priority="63" rank="1"/>
  </conditionalFormatting>
  <conditionalFormatting sqref="X68:X71">
    <cfRule type="duplicateValues" dxfId="1423" priority="64"/>
    <cfRule type="top10" dxfId="1422" priority="65" stopIfTrue="1" rank="100"/>
  </conditionalFormatting>
  <conditionalFormatting sqref="B70:B71">
    <cfRule type="duplicateValues" dxfId="1421" priority="66" stopIfTrue="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A39"/>
  <sheetViews>
    <sheetView showGridLines="0" showRowColHeaders="0" zoomScaleNormal="100" workbookViewId="0">
      <pane ySplit="7" topLeftCell="A8" activePane="bottomLeft" state="frozen"/>
      <selection activeCell="W1" sqref="W1"/>
      <selection pane="bottomLeft" sqref="A1:R4"/>
    </sheetView>
  </sheetViews>
  <sheetFormatPr defaultRowHeight="12.75" x14ac:dyDescent="0.2"/>
  <cols>
    <col min="1" max="1" width="3" style="78" customWidth="1"/>
    <col min="2" max="2" width="18.28515625" style="78" customWidth="1"/>
    <col min="3" max="22" width="2.85546875" style="78" customWidth="1"/>
    <col min="23" max="23" width="3" style="78" bestFit="1" customWidth="1"/>
    <col min="24" max="24" width="10.5703125" style="78" bestFit="1" customWidth="1"/>
    <col min="25" max="26" width="4" style="78" hidden="1" customWidth="1"/>
    <col min="27" max="27" width="4.5703125" style="78" hidden="1" customWidth="1"/>
    <col min="28" max="256" width="9.140625" style="78"/>
    <col min="257" max="257" width="3" style="78" customWidth="1"/>
    <col min="258" max="258" width="18.7109375" style="78" customWidth="1"/>
    <col min="259" max="278" width="2.85546875" style="78" customWidth="1"/>
    <col min="279" max="279" width="3" style="78" bestFit="1" customWidth="1"/>
    <col min="280" max="280" width="10.5703125" style="78" bestFit="1" customWidth="1"/>
    <col min="281" max="283" width="0" style="78" hidden="1" customWidth="1"/>
    <col min="284" max="512" width="9.140625" style="78"/>
    <col min="513" max="513" width="3" style="78" customWidth="1"/>
    <col min="514" max="514" width="18.7109375" style="78" customWidth="1"/>
    <col min="515" max="534" width="2.85546875" style="78" customWidth="1"/>
    <col min="535" max="535" width="3" style="78" bestFit="1" customWidth="1"/>
    <col min="536" max="536" width="10.5703125" style="78" bestFit="1" customWidth="1"/>
    <col min="537" max="539" width="0" style="78" hidden="1" customWidth="1"/>
    <col min="540" max="768" width="9.140625" style="78"/>
    <col min="769" max="769" width="3" style="78" customWidth="1"/>
    <col min="770" max="770" width="18.7109375" style="78" customWidth="1"/>
    <col min="771" max="790" width="2.85546875" style="78" customWidth="1"/>
    <col min="791" max="791" width="3" style="78" bestFit="1" customWidth="1"/>
    <col min="792" max="792" width="10.5703125" style="78" bestFit="1" customWidth="1"/>
    <col min="793" max="795" width="0" style="78" hidden="1" customWidth="1"/>
    <col min="796" max="1024" width="9.140625" style="78"/>
    <col min="1025" max="1025" width="3" style="78" customWidth="1"/>
    <col min="1026" max="1026" width="18.7109375" style="78" customWidth="1"/>
    <col min="1027" max="1046" width="2.85546875" style="78" customWidth="1"/>
    <col min="1047" max="1047" width="3" style="78" bestFit="1" customWidth="1"/>
    <col min="1048" max="1048" width="10.5703125" style="78" bestFit="1" customWidth="1"/>
    <col min="1049" max="1051" width="0" style="78" hidden="1" customWidth="1"/>
    <col min="1052" max="1280" width="9.140625" style="78"/>
    <col min="1281" max="1281" width="3" style="78" customWidth="1"/>
    <col min="1282" max="1282" width="18.7109375" style="78" customWidth="1"/>
    <col min="1283" max="1302" width="2.85546875" style="78" customWidth="1"/>
    <col min="1303" max="1303" width="3" style="78" bestFit="1" customWidth="1"/>
    <col min="1304" max="1304" width="10.5703125" style="78" bestFit="1" customWidth="1"/>
    <col min="1305" max="1307" width="0" style="78" hidden="1" customWidth="1"/>
    <col min="1308" max="1536" width="9.140625" style="78"/>
    <col min="1537" max="1537" width="3" style="78" customWidth="1"/>
    <col min="1538" max="1538" width="18.7109375" style="78" customWidth="1"/>
    <col min="1539" max="1558" width="2.85546875" style="78" customWidth="1"/>
    <col min="1559" max="1559" width="3" style="78" bestFit="1" customWidth="1"/>
    <col min="1560" max="1560" width="10.5703125" style="78" bestFit="1" customWidth="1"/>
    <col min="1561" max="1563" width="0" style="78" hidden="1" customWidth="1"/>
    <col min="1564" max="1792" width="9.140625" style="78"/>
    <col min="1793" max="1793" width="3" style="78" customWidth="1"/>
    <col min="1794" max="1794" width="18.7109375" style="78" customWidth="1"/>
    <col min="1795" max="1814" width="2.85546875" style="78" customWidth="1"/>
    <col min="1815" max="1815" width="3" style="78" bestFit="1" customWidth="1"/>
    <col min="1816" max="1816" width="10.5703125" style="78" bestFit="1" customWidth="1"/>
    <col min="1817" max="1819" width="0" style="78" hidden="1" customWidth="1"/>
    <col min="1820" max="2048" width="9.140625" style="78"/>
    <col min="2049" max="2049" width="3" style="78" customWidth="1"/>
    <col min="2050" max="2050" width="18.7109375" style="78" customWidth="1"/>
    <col min="2051" max="2070" width="2.85546875" style="78" customWidth="1"/>
    <col min="2071" max="2071" width="3" style="78" bestFit="1" customWidth="1"/>
    <col min="2072" max="2072" width="10.5703125" style="78" bestFit="1" customWidth="1"/>
    <col min="2073" max="2075" width="0" style="78" hidden="1" customWidth="1"/>
    <col min="2076" max="2304" width="9.140625" style="78"/>
    <col min="2305" max="2305" width="3" style="78" customWidth="1"/>
    <col min="2306" max="2306" width="18.7109375" style="78" customWidth="1"/>
    <col min="2307" max="2326" width="2.85546875" style="78" customWidth="1"/>
    <col min="2327" max="2327" width="3" style="78" bestFit="1" customWidth="1"/>
    <col min="2328" max="2328" width="10.5703125" style="78" bestFit="1" customWidth="1"/>
    <col min="2329" max="2331" width="0" style="78" hidden="1" customWidth="1"/>
    <col min="2332" max="2560" width="9.140625" style="78"/>
    <col min="2561" max="2561" width="3" style="78" customWidth="1"/>
    <col min="2562" max="2562" width="18.7109375" style="78" customWidth="1"/>
    <col min="2563" max="2582" width="2.85546875" style="78" customWidth="1"/>
    <col min="2583" max="2583" width="3" style="78" bestFit="1" customWidth="1"/>
    <col min="2584" max="2584" width="10.5703125" style="78" bestFit="1" customWidth="1"/>
    <col min="2585" max="2587" width="0" style="78" hidden="1" customWidth="1"/>
    <col min="2588" max="2816" width="9.140625" style="78"/>
    <col min="2817" max="2817" width="3" style="78" customWidth="1"/>
    <col min="2818" max="2818" width="18.7109375" style="78" customWidth="1"/>
    <col min="2819" max="2838" width="2.85546875" style="78" customWidth="1"/>
    <col min="2839" max="2839" width="3" style="78" bestFit="1" customWidth="1"/>
    <col min="2840" max="2840" width="10.5703125" style="78" bestFit="1" customWidth="1"/>
    <col min="2841" max="2843" width="0" style="78" hidden="1" customWidth="1"/>
    <col min="2844" max="3072" width="9.140625" style="78"/>
    <col min="3073" max="3073" width="3" style="78" customWidth="1"/>
    <col min="3074" max="3074" width="18.7109375" style="78" customWidth="1"/>
    <col min="3075" max="3094" width="2.85546875" style="78" customWidth="1"/>
    <col min="3095" max="3095" width="3" style="78" bestFit="1" customWidth="1"/>
    <col min="3096" max="3096" width="10.5703125" style="78" bestFit="1" customWidth="1"/>
    <col min="3097" max="3099" width="0" style="78" hidden="1" customWidth="1"/>
    <col min="3100" max="3328" width="9.140625" style="78"/>
    <col min="3329" max="3329" width="3" style="78" customWidth="1"/>
    <col min="3330" max="3330" width="18.7109375" style="78" customWidth="1"/>
    <col min="3331" max="3350" width="2.85546875" style="78" customWidth="1"/>
    <col min="3351" max="3351" width="3" style="78" bestFit="1" customWidth="1"/>
    <col min="3352" max="3352" width="10.5703125" style="78" bestFit="1" customWidth="1"/>
    <col min="3353" max="3355" width="0" style="78" hidden="1" customWidth="1"/>
    <col min="3356" max="3584" width="9.140625" style="78"/>
    <col min="3585" max="3585" width="3" style="78" customWidth="1"/>
    <col min="3586" max="3586" width="18.7109375" style="78" customWidth="1"/>
    <col min="3587" max="3606" width="2.85546875" style="78" customWidth="1"/>
    <col min="3607" max="3607" width="3" style="78" bestFit="1" customWidth="1"/>
    <col min="3608" max="3608" width="10.5703125" style="78" bestFit="1" customWidth="1"/>
    <col min="3609" max="3611" width="0" style="78" hidden="1" customWidth="1"/>
    <col min="3612" max="3840" width="9.140625" style="78"/>
    <col min="3841" max="3841" width="3" style="78" customWidth="1"/>
    <col min="3842" max="3842" width="18.7109375" style="78" customWidth="1"/>
    <col min="3843" max="3862" width="2.85546875" style="78" customWidth="1"/>
    <col min="3863" max="3863" width="3" style="78" bestFit="1" customWidth="1"/>
    <col min="3864" max="3864" width="10.5703125" style="78" bestFit="1" customWidth="1"/>
    <col min="3865" max="3867" width="0" style="78" hidden="1" customWidth="1"/>
    <col min="3868" max="4096" width="9.140625" style="78"/>
    <col min="4097" max="4097" width="3" style="78" customWidth="1"/>
    <col min="4098" max="4098" width="18.7109375" style="78" customWidth="1"/>
    <col min="4099" max="4118" width="2.85546875" style="78" customWidth="1"/>
    <col min="4119" max="4119" width="3" style="78" bestFit="1" customWidth="1"/>
    <col min="4120" max="4120" width="10.5703125" style="78" bestFit="1" customWidth="1"/>
    <col min="4121" max="4123" width="0" style="78" hidden="1" customWidth="1"/>
    <col min="4124" max="4352" width="9.140625" style="78"/>
    <col min="4353" max="4353" width="3" style="78" customWidth="1"/>
    <col min="4354" max="4354" width="18.7109375" style="78" customWidth="1"/>
    <col min="4355" max="4374" width="2.85546875" style="78" customWidth="1"/>
    <col min="4375" max="4375" width="3" style="78" bestFit="1" customWidth="1"/>
    <col min="4376" max="4376" width="10.5703125" style="78" bestFit="1" customWidth="1"/>
    <col min="4377" max="4379" width="0" style="78" hidden="1" customWidth="1"/>
    <col min="4380" max="4608" width="9.140625" style="78"/>
    <col min="4609" max="4609" width="3" style="78" customWidth="1"/>
    <col min="4610" max="4610" width="18.7109375" style="78" customWidth="1"/>
    <col min="4611" max="4630" width="2.85546875" style="78" customWidth="1"/>
    <col min="4631" max="4631" width="3" style="78" bestFit="1" customWidth="1"/>
    <col min="4632" max="4632" width="10.5703125" style="78" bestFit="1" customWidth="1"/>
    <col min="4633" max="4635" width="0" style="78" hidden="1" customWidth="1"/>
    <col min="4636" max="4864" width="9.140625" style="78"/>
    <col min="4865" max="4865" width="3" style="78" customWidth="1"/>
    <col min="4866" max="4866" width="18.7109375" style="78" customWidth="1"/>
    <col min="4867" max="4886" width="2.85546875" style="78" customWidth="1"/>
    <col min="4887" max="4887" width="3" style="78" bestFit="1" customWidth="1"/>
    <col min="4888" max="4888" width="10.5703125" style="78" bestFit="1" customWidth="1"/>
    <col min="4889" max="4891" width="0" style="78" hidden="1" customWidth="1"/>
    <col min="4892" max="5120" width="9.140625" style="78"/>
    <col min="5121" max="5121" width="3" style="78" customWidth="1"/>
    <col min="5122" max="5122" width="18.7109375" style="78" customWidth="1"/>
    <col min="5123" max="5142" width="2.85546875" style="78" customWidth="1"/>
    <col min="5143" max="5143" width="3" style="78" bestFit="1" customWidth="1"/>
    <col min="5144" max="5144" width="10.5703125" style="78" bestFit="1" customWidth="1"/>
    <col min="5145" max="5147" width="0" style="78" hidden="1" customWidth="1"/>
    <col min="5148" max="5376" width="9.140625" style="78"/>
    <col min="5377" max="5377" width="3" style="78" customWidth="1"/>
    <col min="5378" max="5378" width="18.7109375" style="78" customWidth="1"/>
    <col min="5379" max="5398" width="2.85546875" style="78" customWidth="1"/>
    <col min="5399" max="5399" width="3" style="78" bestFit="1" customWidth="1"/>
    <col min="5400" max="5400" width="10.5703125" style="78" bestFit="1" customWidth="1"/>
    <col min="5401" max="5403" width="0" style="78" hidden="1" customWidth="1"/>
    <col min="5404" max="5632" width="9.140625" style="78"/>
    <col min="5633" max="5633" width="3" style="78" customWidth="1"/>
    <col min="5634" max="5634" width="18.7109375" style="78" customWidth="1"/>
    <col min="5635" max="5654" width="2.85546875" style="78" customWidth="1"/>
    <col min="5655" max="5655" width="3" style="78" bestFit="1" customWidth="1"/>
    <col min="5656" max="5656" width="10.5703125" style="78" bestFit="1" customWidth="1"/>
    <col min="5657" max="5659" width="0" style="78" hidden="1" customWidth="1"/>
    <col min="5660" max="5888" width="9.140625" style="78"/>
    <col min="5889" max="5889" width="3" style="78" customWidth="1"/>
    <col min="5890" max="5890" width="18.7109375" style="78" customWidth="1"/>
    <col min="5891" max="5910" width="2.85546875" style="78" customWidth="1"/>
    <col min="5911" max="5911" width="3" style="78" bestFit="1" customWidth="1"/>
    <col min="5912" max="5912" width="10.5703125" style="78" bestFit="1" customWidth="1"/>
    <col min="5913" max="5915" width="0" style="78" hidden="1" customWidth="1"/>
    <col min="5916" max="6144" width="9.140625" style="78"/>
    <col min="6145" max="6145" width="3" style="78" customWidth="1"/>
    <col min="6146" max="6146" width="18.7109375" style="78" customWidth="1"/>
    <col min="6147" max="6166" width="2.85546875" style="78" customWidth="1"/>
    <col min="6167" max="6167" width="3" style="78" bestFit="1" customWidth="1"/>
    <col min="6168" max="6168" width="10.5703125" style="78" bestFit="1" customWidth="1"/>
    <col min="6169" max="6171" width="0" style="78" hidden="1" customWidth="1"/>
    <col min="6172" max="6400" width="9.140625" style="78"/>
    <col min="6401" max="6401" width="3" style="78" customWidth="1"/>
    <col min="6402" max="6402" width="18.7109375" style="78" customWidth="1"/>
    <col min="6403" max="6422" width="2.85546875" style="78" customWidth="1"/>
    <col min="6423" max="6423" width="3" style="78" bestFit="1" customWidth="1"/>
    <col min="6424" max="6424" width="10.5703125" style="78" bestFit="1" customWidth="1"/>
    <col min="6425" max="6427" width="0" style="78" hidden="1" customWidth="1"/>
    <col min="6428" max="6656" width="9.140625" style="78"/>
    <col min="6657" max="6657" width="3" style="78" customWidth="1"/>
    <col min="6658" max="6658" width="18.7109375" style="78" customWidth="1"/>
    <col min="6659" max="6678" width="2.85546875" style="78" customWidth="1"/>
    <col min="6679" max="6679" width="3" style="78" bestFit="1" customWidth="1"/>
    <col min="6680" max="6680" width="10.5703125" style="78" bestFit="1" customWidth="1"/>
    <col min="6681" max="6683" width="0" style="78" hidden="1" customWidth="1"/>
    <col min="6684" max="6912" width="9.140625" style="78"/>
    <col min="6913" max="6913" width="3" style="78" customWidth="1"/>
    <col min="6914" max="6914" width="18.7109375" style="78" customWidth="1"/>
    <col min="6915" max="6934" width="2.85546875" style="78" customWidth="1"/>
    <col min="6935" max="6935" width="3" style="78" bestFit="1" customWidth="1"/>
    <col min="6936" max="6936" width="10.5703125" style="78" bestFit="1" customWidth="1"/>
    <col min="6937" max="6939" width="0" style="78" hidden="1" customWidth="1"/>
    <col min="6940" max="7168" width="9.140625" style="78"/>
    <col min="7169" max="7169" width="3" style="78" customWidth="1"/>
    <col min="7170" max="7170" width="18.7109375" style="78" customWidth="1"/>
    <col min="7171" max="7190" width="2.85546875" style="78" customWidth="1"/>
    <col min="7191" max="7191" width="3" style="78" bestFit="1" customWidth="1"/>
    <col min="7192" max="7192" width="10.5703125" style="78" bestFit="1" customWidth="1"/>
    <col min="7193" max="7195" width="0" style="78" hidden="1" customWidth="1"/>
    <col min="7196" max="7424" width="9.140625" style="78"/>
    <col min="7425" max="7425" width="3" style="78" customWidth="1"/>
    <col min="7426" max="7426" width="18.7109375" style="78" customWidth="1"/>
    <col min="7427" max="7446" width="2.85546875" style="78" customWidth="1"/>
    <col min="7447" max="7447" width="3" style="78" bestFit="1" customWidth="1"/>
    <col min="7448" max="7448" width="10.5703125" style="78" bestFit="1" customWidth="1"/>
    <col min="7449" max="7451" width="0" style="78" hidden="1" customWidth="1"/>
    <col min="7452" max="7680" width="9.140625" style="78"/>
    <col min="7681" max="7681" width="3" style="78" customWidth="1"/>
    <col min="7682" max="7682" width="18.7109375" style="78" customWidth="1"/>
    <col min="7683" max="7702" width="2.85546875" style="78" customWidth="1"/>
    <col min="7703" max="7703" width="3" style="78" bestFit="1" customWidth="1"/>
    <col min="7704" max="7704" width="10.5703125" style="78" bestFit="1" customWidth="1"/>
    <col min="7705" max="7707" width="0" style="78" hidden="1" customWidth="1"/>
    <col min="7708" max="7936" width="9.140625" style="78"/>
    <col min="7937" max="7937" width="3" style="78" customWidth="1"/>
    <col min="7938" max="7938" width="18.7109375" style="78" customWidth="1"/>
    <col min="7939" max="7958" width="2.85546875" style="78" customWidth="1"/>
    <col min="7959" max="7959" width="3" style="78" bestFit="1" customWidth="1"/>
    <col min="7960" max="7960" width="10.5703125" style="78" bestFit="1" customWidth="1"/>
    <col min="7961" max="7963" width="0" style="78" hidden="1" customWidth="1"/>
    <col min="7964" max="8192" width="9.140625" style="78"/>
    <col min="8193" max="8193" width="3" style="78" customWidth="1"/>
    <col min="8194" max="8194" width="18.7109375" style="78" customWidth="1"/>
    <col min="8195" max="8214" width="2.85546875" style="78" customWidth="1"/>
    <col min="8215" max="8215" width="3" style="78" bestFit="1" customWidth="1"/>
    <col min="8216" max="8216" width="10.5703125" style="78" bestFit="1" customWidth="1"/>
    <col min="8217" max="8219" width="0" style="78" hidden="1" customWidth="1"/>
    <col min="8220" max="8448" width="9.140625" style="78"/>
    <col min="8449" max="8449" width="3" style="78" customWidth="1"/>
    <col min="8450" max="8450" width="18.7109375" style="78" customWidth="1"/>
    <col min="8451" max="8470" width="2.85546875" style="78" customWidth="1"/>
    <col min="8471" max="8471" width="3" style="78" bestFit="1" customWidth="1"/>
    <col min="8472" max="8472" width="10.5703125" style="78" bestFit="1" customWidth="1"/>
    <col min="8473" max="8475" width="0" style="78" hidden="1" customWidth="1"/>
    <col min="8476" max="8704" width="9.140625" style="78"/>
    <col min="8705" max="8705" width="3" style="78" customWidth="1"/>
    <col min="8706" max="8706" width="18.7109375" style="78" customWidth="1"/>
    <col min="8707" max="8726" width="2.85546875" style="78" customWidth="1"/>
    <col min="8727" max="8727" width="3" style="78" bestFit="1" customWidth="1"/>
    <col min="8728" max="8728" width="10.5703125" style="78" bestFit="1" customWidth="1"/>
    <col min="8729" max="8731" width="0" style="78" hidden="1" customWidth="1"/>
    <col min="8732" max="8960" width="9.140625" style="78"/>
    <col min="8961" max="8961" width="3" style="78" customWidth="1"/>
    <col min="8962" max="8962" width="18.7109375" style="78" customWidth="1"/>
    <col min="8963" max="8982" width="2.85546875" style="78" customWidth="1"/>
    <col min="8983" max="8983" width="3" style="78" bestFit="1" customWidth="1"/>
    <col min="8984" max="8984" width="10.5703125" style="78" bestFit="1" customWidth="1"/>
    <col min="8985" max="8987" width="0" style="78" hidden="1" customWidth="1"/>
    <col min="8988" max="9216" width="9.140625" style="78"/>
    <col min="9217" max="9217" width="3" style="78" customWidth="1"/>
    <col min="9218" max="9218" width="18.7109375" style="78" customWidth="1"/>
    <col min="9219" max="9238" width="2.85546875" style="78" customWidth="1"/>
    <col min="9239" max="9239" width="3" style="78" bestFit="1" customWidth="1"/>
    <col min="9240" max="9240" width="10.5703125" style="78" bestFit="1" customWidth="1"/>
    <col min="9241" max="9243" width="0" style="78" hidden="1" customWidth="1"/>
    <col min="9244" max="9472" width="9.140625" style="78"/>
    <col min="9473" max="9473" width="3" style="78" customWidth="1"/>
    <col min="9474" max="9474" width="18.7109375" style="78" customWidth="1"/>
    <col min="9475" max="9494" width="2.85546875" style="78" customWidth="1"/>
    <col min="9495" max="9495" width="3" style="78" bestFit="1" customWidth="1"/>
    <col min="9496" max="9496" width="10.5703125" style="78" bestFit="1" customWidth="1"/>
    <col min="9497" max="9499" width="0" style="78" hidden="1" customWidth="1"/>
    <col min="9500" max="9728" width="9.140625" style="78"/>
    <col min="9729" max="9729" width="3" style="78" customWidth="1"/>
    <col min="9730" max="9730" width="18.7109375" style="78" customWidth="1"/>
    <col min="9731" max="9750" width="2.85546875" style="78" customWidth="1"/>
    <col min="9751" max="9751" width="3" style="78" bestFit="1" customWidth="1"/>
    <col min="9752" max="9752" width="10.5703125" style="78" bestFit="1" customWidth="1"/>
    <col min="9753" max="9755" width="0" style="78" hidden="1" customWidth="1"/>
    <col min="9756" max="9984" width="9.140625" style="78"/>
    <col min="9985" max="9985" width="3" style="78" customWidth="1"/>
    <col min="9986" max="9986" width="18.7109375" style="78" customWidth="1"/>
    <col min="9987" max="10006" width="2.85546875" style="78" customWidth="1"/>
    <col min="10007" max="10007" width="3" style="78" bestFit="1" customWidth="1"/>
    <col min="10008" max="10008" width="10.5703125" style="78" bestFit="1" customWidth="1"/>
    <col min="10009" max="10011" width="0" style="78" hidden="1" customWidth="1"/>
    <col min="10012" max="10240" width="9.140625" style="78"/>
    <col min="10241" max="10241" width="3" style="78" customWidth="1"/>
    <col min="10242" max="10242" width="18.7109375" style="78" customWidth="1"/>
    <col min="10243" max="10262" width="2.85546875" style="78" customWidth="1"/>
    <col min="10263" max="10263" width="3" style="78" bestFit="1" customWidth="1"/>
    <col min="10264" max="10264" width="10.5703125" style="78" bestFit="1" customWidth="1"/>
    <col min="10265" max="10267" width="0" style="78" hidden="1" customWidth="1"/>
    <col min="10268" max="10496" width="9.140625" style="78"/>
    <col min="10497" max="10497" width="3" style="78" customWidth="1"/>
    <col min="10498" max="10498" width="18.7109375" style="78" customWidth="1"/>
    <col min="10499" max="10518" width="2.85546875" style="78" customWidth="1"/>
    <col min="10519" max="10519" width="3" style="78" bestFit="1" customWidth="1"/>
    <col min="10520" max="10520" width="10.5703125" style="78" bestFit="1" customWidth="1"/>
    <col min="10521" max="10523" width="0" style="78" hidden="1" customWidth="1"/>
    <col min="10524" max="10752" width="9.140625" style="78"/>
    <col min="10753" max="10753" width="3" style="78" customWidth="1"/>
    <col min="10754" max="10754" width="18.7109375" style="78" customWidth="1"/>
    <col min="10755" max="10774" width="2.85546875" style="78" customWidth="1"/>
    <col min="10775" max="10775" width="3" style="78" bestFit="1" customWidth="1"/>
    <col min="10776" max="10776" width="10.5703125" style="78" bestFit="1" customWidth="1"/>
    <col min="10777" max="10779" width="0" style="78" hidden="1" customWidth="1"/>
    <col min="10780" max="11008" width="9.140625" style="78"/>
    <col min="11009" max="11009" width="3" style="78" customWidth="1"/>
    <col min="11010" max="11010" width="18.7109375" style="78" customWidth="1"/>
    <col min="11011" max="11030" width="2.85546875" style="78" customWidth="1"/>
    <col min="11031" max="11031" width="3" style="78" bestFit="1" customWidth="1"/>
    <col min="11032" max="11032" width="10.5703125" style="78" bestFit="1" customWidth="1"/>
    <col min="11033" max="11035" width="0" style="78" hidden="1" customWidth="1"/>
    <col min="11036" max="11264" width="9.140625" style="78"/>
    <col min="11265" max="11265" width="3" style="78" customWidth="1"/>
    <col min="11266" max="11266" width="18.7109375" style="78" customWidth="1"/>
    <col min="11267" max="11286" width="2.85546875" style="78" customWidth="1"/>
    <col min="11287" max="11287" width="3" style="78" bestFit="1" customWidth="1"/>
    <col min="11288" max="11288" width="10.5703125" style="78" bestFit="1" customWidth="1"/>
    <col min="11289" max="11291" width="0" style="78" hidden="1" customWidth="1"/>
    <col min="11292" max="11520" width="9.140625" style="78"/>
    <col min="11521" max="11521" width="3" style="78" customWidth="1"/>
    <col min="11522" max="11522" width="18.7109375" style="78" customWidth="1"/>
    <col min="11523" max="11542" width="2.85546875" style="78" customWidth="1"/>
    <col min="11543" max="11543" width="3" style="78" bestFit="1" customWidth="1"/>
    <col min="11544" max="11544" width="10.5703125" style="78" bestFit="1" customWidth="1"/>
    <col min="11545" max="11547" width="0" style="78" hidden="1" customWidth="1"/>
    <col min="11548" max="11776" width="9.140625" style="78"/>
    <col min="11777" max="11777" width="3" style="78" customWidth="1"/>
    <col min="11778" max="11778" width="18.7109375" style="78" customWidth="1"/>
    <col min="11779" max="11798" width="2.85546875" style="78" customWidth="1"/>
    <col min="11799" max="11799" width="3" style="78" bestFit="1" customWidth="1"/>
    <col min="11800" max="11800" width="10.5703125" style="78" bestFit="1" customWidth="1"/>
    <col min="11801" max="11803" width="0" style="78" hidden="1" customWidth="1"/>
    <col min="11804" max="12032" width="9.140625" style="78"/>
    <col min="12033" max="12033" width="3" style="78" customWidth="1"/>
    <col min="12034" max="12034" width="18.7109375" style="78" customWidth="1"/>
    <col min="12035" max="12054" width="2.85546875" style="78" customWidth="1"/>
    <col min="12055" max="12055" width="3" style="78" bestFit="1" customWidth="1"/>
    <col min="12056" max="12056" width="10.5703125" style="78" bestFit="1" customWidth="1"/>
    <col min="12057" max="12059" width="0" style="78" hidden="1" customWidth="1"/>
    <col min="12060" max="12288" width="9.140625" style="78"/>
    <col min="12289" max="12289" width="3" style="78" customWidth="1"/>
    <col min="12290" max="12290" width="18.7109375" style="78" customWidth="1"/>
    <col min="12291" max="12310" width="2.85546875" style="78" customWidth="1"/>
    <col min="12311" max="12311" width="3" style="78" bestFit="1" customWidth="1"/>
    <col min="12312" max="12312" width="10.5703125" style="78" bestFit="1" customWidth="1"/>
    <col min="12313" max="12315" width="0" style="78" hidden="1" customWidth="1"/>
    <col min="12316" max="12544" width="9.140625" style="78"/>
    <col min="12545" max="12545" width="3" style="78" customWidth="1"/>
    <col min="12546" max="12546" width="18.7109375" style="78" customWidth="1"/>
    <col min="12547" max="12566" width="2.85546875" style="78" customWidth="1"/>
    <col min="12567" max="12567" width="3" style="78" bestFit="1" customWidth="1"/>
    <col min="12568" max="12568" width="10.5703125" style="78" bestFit="1" customWidth="1"/>
    <col min="12569" max="12571" width="0" style="78" hidden="1" customWidth="1"/>
    <col min="12572" max="12800" width="9.140625" style="78"/>
    <col min="12801" max="12801" width="3" style="78" customWidth="1"/>
    <col min="12802" max="12802" width="18.7109375" style="78" customWidth="1"/>
    <col min="12803" max="12822" width="2.85546875" style="78" customWidth="1"/>
    <col min="12823" max="12823" width="3" style="78" bestFit="1" customWidth="1"/>
    <col min="12824" max="12824" width="10.5703125" style="78" bestFit="1" customWidth="1"/>
    <col min="12825" max="12827" width="0" style="78" hidden="1" customWidth="1"/>
    <col min="12828" max="13056" width="9.140625" style="78"/>
    <col min="13057" max="13057" width="3" style="78" customWidth="1"/>
    <col min="13058" max="13058" width="18.7109375" style="78" customWidth="1"/>
    <col min="13059" max="13078" width="2.85546875" style="78" customWidth="1"/>
    <col min="13079" max="13079" width="3" style="78" bestFit="1" customWidth="1"/>
    <col min="13080" max="13080" width="10.5703125" style="78" bestFit="1" customWidth="1"/>
    <col min="13081" max="13083" width="0" style="78" hidden="1" customWidth="1"/>
    <col min="13084" max="13312" width="9.140625" style="78"/>
    <col min="13313" max="13313" width="3" style="78" customWidth="1"/>
    <col min="13314" max="13314" width="18.7109375" style="78" customWidth="1"/>
    <col min="13315" max="13334" width="2.85546875" style="78" customWidth="1"/>
    <col min="13335" max="13335" width="3" style="78" bestFit="1" customWidth="1"/>
    <col min="13336" max="13336" width="10.5703125" style="78" bestFit="1" customWidth="1"/>
    <col min="13337" max="13339" width="0" style="78" hidden="1" customWidth="1"/>
    <col min="13340" max="13568" width="9.140625" style="78"/>
    <col min="13569" max="13569" width="3" style="78" customWidth="1"/>
    <col min="13570" max="13570" width="18.7109375" style="78" customWidth="1"/>
    <col min="13571" max="13590" width="2.85546875" style="78" customWidth="1"/>
    <col min="13591" max="13591" width="3" style="78" bestFit="1" customWidth="1"/>
    <col min="13592" max="13592" width="10.5703125" style="78" bestFit="1" customWidth="1"/>
    <col min="13593" max="13595" width="0" style="78" hidden="1" customWidth="1"/>
    <col min="13596" max="13824" width="9.140625" style="78"/>
    <col min="13825" max="13825" width="3" style="78" customWidth="1"/>
    <col min="13826" max="13826" width="18.7109375" style="78" customWidth="1"/>
    <col min="13827" max="13846" width="2.85546875" style="78" customWidth="1"/>
    <col min="13847" max="13847" width="3" style="78" bestFit="1" customWidth="1"/>
    <col min="13848" max="13848" width="10.5703125" style="78" bestFit="1" customWidth="1"/>
    <col min="13849" max="13851" width="0" style="78" hidden="1" customWidth="1"/>
    <col min="13852" max="14080" width="9.140625" style="78"/>
    <col min="14081" max="14081" width="3" style="78" customWidth="1"/>
    <col min="14082" max="14082" width="18.7109375" style="78" customWidth="1"/>
    <col min="14083" max="14102" width="2.85546875" style="78" customWidth="1"/>
    <col min="14103" max="14103" width="3" style="78" bestFit="1" customWidth="1"/>
    <col min="14104" max="14104" width="10.5703125" style="78" bestFit="1" customWidth="1"/>
    <col min="14105" max="14107" width="0" style="78" hidden="1" customWidth="1"/>
    <col min="14108" max="14336" width="9.140625" style="78"/>
    <col min="14337" max="14337" width="3" style="78" customWidth="1"/>
    <col min="14338" max="14338" width="18.7109375" style="78" customWidth="1"/>
    <col min="14339" max="14358" width="2.85546875" style="78" customWidth="1"/>
    <col min="14359" max="14359" width="3" style="78" bestFit="1" customWidth="1"/>
    <col min="14360" max="14360" width="10.5703125" style="78" bestFit="1" customWidth="1"/>
    <col min="14361" max="14363" width="0" style="78" hidden="1" customWidth="1"/>
    <col min="14364" max="14592" width="9.140625" style="78"/>
    <col min="14593" max="14593" width="3" style="78" customWidth="1"/>
    <col min="14594" max="14594" width="18.7109375" style="78" customWidth="1"/>
    <col min="14595" max="14614" width="2.85546875" style="78" customWidth="1"/>
    <col min="14615" max="14615" width="3" style="78" bestFit="1" customWidth="1"/>
    <col min="14616" max="14616" width="10.5703125" style="78" bestFit="1" customWidth="1"/>
    <col min="14617" max="14619" width="0" style="78" hidden="1" customWidth="1"/>
    <col min="14620" max="14848" width="9.140625" style="78"/>
    <col min="14849" max="14849" width="3" style="78" customWidth="1"/>
    <col min="14850" max="14850" width="18.7109375" style="78" customWidth="1"/>
    <col min="14851" max="14870" width="2.85546875" style="78" customWidth="1"/>
    <col min="14871" max="14871" width="3" style="78" bestFit="1" customWidth="1"/>
    <col min="14872" max="14872" width="10.5703125" style="78" bestFit="1" customWidth="1"/>
    <col min="14873" max="14875" width="0" style="78" hidden="1" customWidth="1"/>
    <col min="14876" max="15104" width="9.140625" style="78"/>
    <col min="15105" max="15105" width="3" style="78" customWidth="1"/>
    <col min="15106" max="15106" width="18.7109375" style="78" customWidth="1"/>
    <col min="15107" max="15126" width="2.85546875" style="78" customWidth="1"/>
    <col min="15127" max="15127" width="3" style="78" bestFit="1" customWidth="1"/>
    <col min="15128" max="15128" width="10.5703125" style="78" bestFit="1" customWidth="1"/>
    <col min="15129" max="15131" width="0" style="78" hidden="1" customWidth="1"/>
    <col min="15132" max="15360" width="9.140625" style="78"/>
    <col min="15361" max="15361" width="3" style="78" customWidth="1"/>
    <col min="15362" max="15362" width="18.7109375" style="78" customWidth="1"/>
    <col min="15363" max="15382" width="2.85546875" style="78" customWidth="1"/>
    <col min="15383" max="15383" width="3" style="78" bestFit="1" customWidth="1"/>
    <col min="15384" max="15384" width="10.5703125" style="78" bestFit="1" customWidth="1"/>
    <col min="15385" max="15387" width="0" style="78" hidden="1" customWidth="1"/>
    <col min="15388" max="15616" width="9.140625" style="78"/>
    <col min="15617" max="15617" width="3" style="78" customWidth="1"/>
    <col min="15618" max="15618" width="18.7109375" style="78" customWidth="1"/>
    <col min="15619" max="15638" width="2.85546875" style="78" customWidth="1"/>
    <col min="15639" max="15639" width="3" style="78" bestFit="1" customWidth="1"/>
    <col min="15640" max="15640" width="10.5703125" style="78" bestFit="1" customWidth="1"/>
    <col min="15641" max="15643" width="0" style="78" hidden="1" customWidth="1"/>
    <col min="15644" max="15872" width="9.140625" style="78"/>
    <col min="15873" max="15873" width="3" style="78" customWidth="1"/>
    <col min="15874" max="15874" width="18.7109375" style="78" customWidth="1"/>
    <col min="15875" max="15894" width="2.85546875" style="78" customWidth="1"/>
    <col min="15895" max="15895" width="3" style="78" bestFit="1" customWidth="1"/>
    <col min="15896" max="15896" width="10.5703125" style="78" bestFit="1" customWidth="1"/>
    <col min="15897" max="15899" width="0" style="78" hidden="1" customWidth="1"/>
    <col min="15900" max="16128" width="9.140625" style="78"/>
    <col min="16129" max="16129" width="3" style="78" customWidth="1"/>
    <col min="16130" max="16130" width="18.7109375" style="78" customWidth="1"/>
    <col min="16131" max="16150" width="2.85546875" style="78" customWidth="1"/>
    <col min="16151" max="16151" width="3" style="78" bestFit="1" customWidth="1"/>
    <col min="16152" max="16152" width="10.5703125" style="78" bestFit="1" customWidth="1"/>
    <col min="16153" max="16155" width="0" style="78" hidden="1" customWidth="1"/>
    <col min="16156" max="16384" width="9.140625" style="78"/>
  </cols>
  <sheetData>
    <row r="1" spans="1:24" s="74" customFormat="1" x14ac:dyDescent="0.2">
      <c r="A1" s="68" t="e">
        <f>UPPER((Kalend!#REF!)&amp;" - "&amp;(Kalend!#REF!)&amp;" - "&amp;(Kalend!#REF!))</f>
        <v>#REF!</v>
      </c>
      <c r="B1" s="130"/>
      <c r="C1" s="130"/>
      <c r="D1" s="130"/>
      <c r="E1" s="130"/>
      <c r="I1" s="188" t="s">
        <v>167</v>
      </c>
      <c r="J1" s="189"/>
      <c r="K1" s="189"/>
      <c r="L1" s="189"/>
      <c r="Q1" s="46" t="str">
        <f>HYPERLINK("#Üldreiting!I1","Reiting")</f>
        <v>Reiting</v>
      </c>
      <c r="R1" s="130"/>
      <c r="S1" s="130"/>
      <c r="T1" s="130"/>
      <c r="U1" s="130"/>
      <c r="V1" s="130"/>
    </row>
    <row r="2" spans="1:24" s="74" customFormat="1" x14ac:dyDescent="0.2">
      <c r="A2" s="67" t="e">
        <f>"Toimumisaeg: "&amp;(Kalend!#REF!)&amp;" kell "&amp;(Kalend!#REF!)</f>
        <v>#REF!</v>
      </c>
      <c r="B2" s="130"/>
      <c r="C2" s="130"/>
      <c r="D2" s="130"/>
      <c r="E2" s="130"/>
      <c r="O2" s="130"/>
      <c r="P2" s="130"/>
      <c r="Q2" s="130"/>
      <c r="R2" s="130"/>
      <c r="S2" s="130"/>
      <c r="T2" s="130"/>
    </row>
    <row r="3" spans="1:24" s="74" customFormat="1" x14ac:dyDescent="0.2">
      <c r="A3" s="67" t="e">
        <f>"Toimumiskoht: "&amp;(Kalend!#REF!)</f>
        <v>#REF!</v>
      </c>
      <c r="B3" s="130"/>
      <c r="C3" s="130"/>
      <c r="D3" s="130"/>
      <c r="E3" s="130"/>
      <c r="O3" s="130"/>
      <c r="P3" s="130"/>
      <c r="Q3" s="130"/>
      <c r="R3" s="130"/>
      <c r="S3" s="130"/>
      <c r="T3" s="130"/>
    </row>
    <row r="4" spans="1:24" s="74" customFormat="1" x14ac:dyDescent="0.2">
      <c r="A4" s="67" t="e">
        <f>"Korraldaja: "&amp;(Kalend!#REF!)</f>
        <v>#REF!</v>
      </c>
      <c r="B4" s="130"/>
      <c r="C4" s="130"/>
      <c r="D4" s="130"/>
      <c r="E4" s="130"/>
      <c r="O4" s="130"/>
      <c r="P4" s="130"/>
      <c r="Q4" s="130"/>
      <c r="R4" s="130"/>
      <c r="S4" s="130"/>
      <c r="T4" s="130"/>
    </row>
    <row r="5" spans="1:24" s="74" customFormat="1" ht="13.5" thickBot="1" x14ac:dyDescent="0.25">
      <c r="A5" s="130"/>
      <c r="B5" s="130"/>
      <c r="C5" s="130"/>
      <c r="D5" s="130"/>
      <c r="E5" s="130"/>
      <c r="F5" s="130"/>
      <c r="G5" s="130"/>
      <c r="H5" s="130"/>
      <c r="I5" s="130"/>
      <c r="J5" s="130"/>
      <c r="K5" s="130"/>
    </row>
    <row r="6" spans="1:24" ht="63.75" customHeight="1" thickBot="1" x14ac:dyDescent="0.25">
      <c r="A6" s="149"/>
      <c r="B6" s="150"/>
      <c r="C6" s="151"/>
      <c r="D6" s="151"/>
      <c r="E6" s="151"/>
      <c r="F6" s="151"/>
      <c r="G6" s="152"/>
      <c r="H6" s="151"/>
      <c r="I6" s="151"/>
      <c r="J6" s="153"/>
      <c r="K6" s="151"/>
      <c r="L6" s="151"/>
      <c r="M6" s="151"/>
      <c r="N6" s="151"/>
      <c r="O6" s="152"/>
      <c r="P6" s="151"/>
      <c r="Q6" s="151"/>
      <c r="R6" s="153"/>
      <c r="S6" s="151"/>
      <c r="T6" s="151"/>
      <c r="U6" s="151"/>
      <c r="V6" s="151"/>
      <c r="W6" s="154"/>
      <c r="X6" s="154"/>
    </row>
    <row r="7" spans="1:24" s="79" customFormat="1" ht="13.5" thickBot="1" x14ac:dyDescent="0.25">
      <c r="A7" s="155"/>
      <c r="B7" s="156"/>
      <c r="C7" s="157">
        <v>6</v>
      </c>
      <c r="D7" s="158">
        <v>7</v>
      </c>
      <c r="E7" s="158">
        <v>8</v>
      </c>
      <c r="F7" s="159">
        <v>9</v>
      </c>
      <c r="G7" s="157">
        <v>6</v>
      </c>
      <c r="H7" s="158">
        <v>7</v>
      </c>
      <c r="I7" s="158">
        <v>8</v>
      </c>
      <c r="J7" s="159">
        <v>9</v>
      </c>
      <c r="K7" s="157">
        <v>6</v>
      </c>
      <c r="L7" s="158">
        <v>7</v>
      </c>
      <c r="M7" s="158">
        <v>8</v>
      </c>
      <c r="N7" s="159">
        <v>9</v>
      </c>
      <c r="O7" s="157">
        <v>6</v>
      </c>
      <c r="P7" s="158">
        <v>7</v>
      </c>
      <c r="Q7" s="158">
        <v>8</v>
      </c>
      <c r="R7" s="159">
        <v>9</v>
      </c>
      <c r="S7" s="157">
        <v>6</v>
      </c>
      <c r="T7" s="158">
        <v>7</v>
      </c>
      <c r="U7" s="158">
        <v>8</v>
      </c>
      <c r="V7" s="159">
        <v>9</v>
      </c>
      <c r="W7" s="160" t="s">
        <v>153</v>
      </c>
      <c r="X7" s="161" t="s">
        <v>219</v>
      </c>
    </row>
    <row r="8" spans="1:24" x14ac:dyDescent="0.2">
      <c r="A8" s="162"/>
      <c r="B8" s="163" t="s">
        <v>218</v>
      </c>
      <c r="C8" s="164"/>
      <c r="D8" s="165"/>
      <c r="E8" s="165"/>
      <c r="F8" s="166"/>
      <c r="G8" s="164"/>
      <c r="H8" s="165"/>
      <c r="I8" s="165"/>
      <c r="J8" s="166"/>
      <c r="K8" s="164"/>
      <c r="L8" s="165"/>
      <c r="M8" s="165"/>
      <c r="N8" s="166"/>
      <c r="O8" s="164"/>
      <c r="P8" s="165"/>
      <c r="Q8" s="165"/>
      <c r="R8" s="166"/>
      <c r="S8" s="164"/>
      <c r="T8" s="165"/>
      <c r="U8" s="165"/>
      <c r="V8" s="166"/>
      <c r="W8" s="162"/>
      <c r="X8" s="167"/>
    </row>
    <row r="9" spans="1:24" x14ac:dyDescent="0.2">
      <c r="A9" s="106">
        <v>1</v>
      </c>
      <c r="B9" s="125"/>
      <c r="C9" s="98"/>
      <c r="D9" s="99"/>
      <c r="E9" s="99"/>
      <c r="F9" s="100"/>
      <c r="G9" s="98"/>
      <c r="H9" s="99"/>
      <c r="I9" s="99"/>
      <c r="J9" s="100"/>
      <c r="K9" s="98"/>
      <c r="L9" s="99"/>
      <c r="M9" s="99"/>
      <c r="N9" s="100"/>
      <c r="O9" s="98"/>
      <c r="P9" s="99"/>
      <c r="Q9" s="99"/>
      <c r="R9" s="100"/>
      <c r="S9" s="98"/>
      <c r="T9" s="99"/>
      <c r="U9" s="99"/>
      <c r="V9" s="100"/>
      <c r="W9" s="101" t="str">
        <f>IF(COUNTA(C9:V9)=0,"",SUM(C9:V9)+COUNTIF(C9:V9,5)/100+COUNTIF(C9:V9,3)/10000)</f>
        <v/>
      </c>
      <c r="X9" s="101" t="str">
        <f>IF(COUNTA(C9:V9)=0,"",IF(RANK(W9,$W$9:$W$15)&lt;3,"edasi "&amp;RANK(W9,$W$9:$W$15),IF(RANK(W9,$W$9:$W$15)&lt;7,"vahevooru "&amp;RANK(W9,$W$9:$W$15),RANK(W9,$W$9:$W$15))))</f>
        <v/>
      </c>
    </row>
    <row r="10" spans="1:24" x14ac:dyDescent="0.2">
      <c r="A10" s="106">
        <v>2</v>
      </c>
      <c r="B10" s="123"/>
      <c r="C10" s="98"/>
      <c r="D10" s="99"/>
      <c r="E10" s="99"/>
      <c r="F10" s="100"/>
      <c r="G10" s="98"/>
      <c r="H10" s="99"/>
      <c r="I10" s="99"/>
      <c r="J10" s="100"/>
      <c r="K10" s="98"/>
      <c r="L10" s="99"/>
      <c r="M10" s="99"/>
      <c r="N10" s="100"/>
      <c r="O10" s="98"/>
      <c r="P10" s="99"/>
      <c r="Q10" s="99"/>
      <c r="R10" s="100"/>
      <c r="S10" s="98"/>
      <c r="T10" s="99"/>
      <c r="U10" s="99"/>
      <c r="V10" s="100"/>
      <c r="W10" s="101" t="str">
        <f t="shared" ref="W10:W15" si="0">IF(COUNTA(C10:V10)=0,"",SUM(C10:V10)+COUNTIF(C10:V10,5)/100+COUNTIF(C10:V10,3)/10000)</f>
        <v/>
      </c>
      <c r="X10" s="101" t="str">
        <f t="shared" ref="X10:X15" si="1">IF(COUNTA(C10:V10)=0,"",IF(RANK(W10,$W$9:$W$15)&lt;3,"edasi "&amp;RANK(W10,$W$9:$W$15),IF(RANK(W10,$W$9:$W$15)&lt;7,"vahevooru "&amp;RANK(W10,$W$9:$W$15),RANK(W10,$W$9:$W$15))))</f>
        <v/>
      </c>
    </row>
    <row r="11" spans="1:24" x14ac:dyDescent="0.2">
      <c r="A11" s="105">
        <v>3</v>
      </c>
      <c r="B11" s="121"/>
      <c r="C11" s="102"/>
      <c r="D11" s="103"/>
      <c r="E11" s="103"/>
      <c r="F11" s="104"/>
      <c r="G11" s="102"/>
      <c r="H11" s="103"/>
      <c r="I11" s="103"/>
      <c r="J11" s="104"/>
      <c r="K11" s="102"/>
      <c r="L11" s="103"/>
      <c r="M11" s="103"/>
      <c r="N11" s="104"/>
      <c r="O11" s="102"/>
      <c r="P11" s="103"/>
      <c r="Q11" s="103"/>
      <c r="R11" s="104"/>
      <c r="S11" s="102"/>
      <c r="T11" s="103"/>
      <c r="U11" s="103"/>
      <c r="V11" s="104"/>
      <c r="W11" s="86" t="str">
        <f t="shared" si="0"/>
        <v/>
      </c>
      <c r="X11" s="86" t="str">
        <f t="shared" si="1"/>
        <v/>
      </c>
    </row>
    <row r="12" spans="1:24" x14ac:dyDescent="0.2">
      <c r="A12" s="105">
        <v>4</v>
      </c>
      <c r="B12" s="126"/>
      <c r="C12" s="102"/>
      <c r="D12" s="103"/>
      <c r="E12" s="103"/>
      <c r="F12" s="104"/>
      <c r="G12" s="102"/>
      <c r="H12" s="103"/>
      <c r="I12" s="103"/>
      <c r="J12" s="104"/>
      <c r="K12" s="102"/>
      <c r="L12" s="103"/>
      <c r="M12" s="103"/>
      <c r="N12" s="104"/>
      <c r="O12" s="102"/>
      <c r="P12" s="103"/>
      <c r="Q12" s="103"/>
      <c r="R12" s="104"/>
      <c r="S12" s="102"/>
      <c r="T12" s="103"/>
      <c r="U12" s="103"/>
      <c r="V12" s="104"/>
      <c r="W12" s="86" t="str">
        <f t="shared" si="0"/>
        <v/>
      </c>
      <c r="X12" s="86" t="str">
        <f t="shared" si="1"/>
        <v/>
      </c>
    </row>
    <row r="13" spans="1:24" x14ac:dyDescent="0.2">
      <c r="A13" s="106">
        <v>5</v>
      </c>
      <c r="B13" s="123"/>
      <c r="C13" s="98"/>
      <c r="D13" s="99"/>
      <c r="E13" s="99"/>
      <c r="F13" s="100"/>
      <c r="G13" s="98"/>
      <c r="H13" s="99"/>
      <c r="I13" s="99"/>
      <c r="J13" s="100"/>
      <c r="K13" s="98"/>
      <c r="L13" s="99"/>
      <c r="M13" s="99"/>
      <c r="N13" s="100"/>
      <c r="O13" s="98"/>
      <c r="P13" s="99"/>
      <c r="Q13" s="99"/>
      <c r="R13" s="100"/>
      <c r="S13" s="98"/>
      <c r="T13" s="99"/>
      <c r="U13" s="99"/>
      <c r="V13" s="100"/>
      <c r="W13" s="101" t="str">
        <f t="shared" si="0"/>
        <v/>
      </c>
      <c r="X13" s="101" t="str">
        <f t="shared" si="1"/>
        <v/>
      </c>
    </row>
    <row r="14" spans="1:24" x14ac:dyDescent="0.2">
      <c r="A14" s="106">
        <v>6</v>
      </c>
      <c r="B14" s="125"/>
      <c r="C14" s="98"/>
      <c r="D14" s="99"/>
      <c r="E14" s="99"/>
      <c r="F14" s="100"/>
      <c r="G14" s="98"/>
      <c r="H14" s="99"/>
      <c r="I14" s="99"/>
      <c r="J14" s="100"/>
      <c r="K14" s="98"/>
      <c r="L14" s="99"/>
      <c r="M14" s="99"/>
      <c r="N14" s="100"/>
      <c r="O14" s="98"/>
      <c r="P14" s="99"/>
      <c r="Q14" s="99"/>
      <c r="R14" s="100"/>
      <c r="S14" s="98"/>
      <c r="T14" s="99"/>
      <c r="U14" s="99"/>
      <c r="V14" s="100"/>
      <c r="W14" s="101" t="str">
        <f t="shared" si="0"/>
        <v/>
      </c>
      <c r="X14" s="101" t="str">
        <f t="shared" si="1"/>
        <v/>
      </c>
    </row>
    <row r="15" spans="1:24" x14ac:dyDescent="0.2">
      <c r="A15" s="105">
        <v>7</v>
      </c>
      <c r="B15" s="124"/>
      <c r="C15" s="102"/>
      <c r="D15" s="103"/>
      <c r="E15" s="103"/>
      <c r="F15" s="104"/>
      <c r="G15" s="102"/>
      <c r="H15" s="103"/>
      <c r="I15" s="103"/>
      <c r="J15" s="104"/>
      <c r="K15" s="102"/>
      <c r="L15" s="103"/>
      <c r="M15" s="103"/>
      <c r="N15" s="104"/>
      <c r="O15" s="102"/>
      <c r="P15" s="103"/>
      <c r="Q15" s="103"/>
      <c r="R15" s="104"/>
      <c r="S15" s="102"/>
      <c r="T15" s="103"/>
      <c r="U15" s="103"/>
      <c r="V15" s="104"/>
      <c r="W15" s="86" t="str">
        <f t="shared" si="0"/>
        <v/>
      </c>
      <c r="X15" s="86" t="str">
        <f t="shared" si="1"/>
        <v/>
      </c>
    </row>
    <row r="16" spans="1:24" x14ac:dyDescent="0.2">
      <c r="A16" s="105"/>
      <c r="B16" s="109" t="s">
        <v>217</v>
      </c>
      <c r="C16" s="80"/>
      <c r="D16" s="81"/>
      <c r="E16" s="81"/>
      <c r="F16" s="82"/>
      <c r="G16" s="80"/>
      <c r="H16" s="81"/>
      <c r="I16" s="81"/>
      <c r="J16" s="82"/>
      <c r="K16" s="80"/>
      <c r="L16" s="81"/>
      <c r="M16" s="81"/>
      <c r="N16" s="82"/>
      <c r="O16" s="80"/>
      <c r="P16" s="81"/>
      <c r="Q16" s="81"/>
      <c r="R16" s="82"/>
      <c r="S16" s="80"/>
      <c r="T16" s="81"/>
      <c r="U16" s="81"/>
      <c r="V16" s="82"/>
      <c r="W16" s="105"/>
      <c r="X16" s="83"/>
    </row>
    <row r="17" spans="1:24" x14ac:dyDescent="0.2">
      <c r="A17" s="106">
        <v>1</v>
      </c>
      <c r="B17" s="125"/>
      <c r="C17" s="98"/>
      <c r="D17" s="99"/>
      <c r="E17" s="99"/>
      <c r="F17" s="100"/>
      <c r="G17" s="98"/>
      <c r="H17" s="99"/>
      <c r="I17" s="99"/>
      <c r="J17" s="100"/>
      <c r="K17" s="98"/>
      <c r="L17" s="99"/>
      <c r="M17" s="99"/>
      <c r="N17" s="100"/>
      <c r="O17" s="98"/>
      <c r="P17" s="99"/>
      <c r="Q17" s="99"/>
      <c r="R17" s="100"/>
      <c r="S17" s="98"/>
      <c r="T17" s="99"/>
      <c r="U17" s="99"/>
      <c r="V17" s="100"/>
      <c r="W17" s="101" t="str">
        <f>IF(COUNTA(C17:V17)=0,"",SUM(C17:V17)+COUNTIF(C17:V17,5)/100+COUNTIF(C17:V17,3)/10000)</f>
        <v/>
      </c>
      <c r="X17" s="101" t="str">
        <f>IF(COUNTA(C17:V17)=0,"",IF(RANK(W17,$W$17:$W$20)&lt;3,"edasi "&amp;RANK(W17,$W$17:$W$20),RANK(W17,$W$17:$W$20)+2))</f>
        <v/>
      </c>
    </row>
    <row r="18" spans="1:24" x14ac:dyDescent="0.2">
      <c r="A18" s="106">
        <v>2</v>
      </c>
      <c r="B18" s="123"/>
      <c r="C18" s="98"/>
      <c r="D18" s="99"/>
      <c r="E18" s="99"/>
      <c r="F18" s="100"/>
      <c r="G18" s="98"/>
      <c r="H18" s="99"/>
      <c r="I18" s="99"/>
      <c r="J18" s="100"/>
      <c r="K18" s="98"/>
      <c r="L18" s="99"/>
      <c r="M18" s="99"/>
      <c r="N18" s="100"/>
      <c r="O18" s="98"/>
      <c r="P18" s="99"/>
      <c r="Q18" s="99"/>
      <c r="R18" s="100"/>
      <c r="S18" s="98"/>
      <c r="T18" s="99"/>
      <c r="U18" s="99"/>
      <c r="V18" s="100"/>
      <c r="W18" s="101" t="str">
        <f>IF(COUNTA(C18:V18)=0,"",SUM(C18:V18)+COUNTIF(C18:V18,5)/100+COUNTIF(C18:V18,3)/10000)</f>
        <v/>
      </c>
      <c r="X18" s="101" t="str">
        <f>IF(COUNTA(C18:V18)=0,"",IF(RANK(W18,$W$17:$W$20)&lt;3,"edasi "&amp;RANK(W18,$W$17:$W$20),RANK(W18,$W$17:$W$20)+2))</f>
        <v/>
      </c>
    </row>
    <row r="19" spans="1:24" x14ac:dyDescent="0.2">
      <c r="A19" s="105">
        <v>3</v>
      </c>
      <c r="B19" s="121"/>
      <c r="C19" s="102"/>
      <c r="D19" s="103"/>
      <c r="E19" s="103"/>
      <c r="F19" s="104"/>
      <c r="G19" s="102"/>
      <c r="H19" s="103"/>
      <c r="I19" s="103"/>
      <c r="J19" s="104"/>
      <c r="K19" s="102"/>
      <c r="L19" s="103"/>
      <c r="M19" s="103"/>
      <c r="N19" s="104"/>
      <c r="O19" s="102"/>
      <c r="P19" s="103"/>
      <c r="Q19" s="103"/>
      <c r="R19" s="104"/>
      <c r="S19" s="102"/>
      <c r="T19" s="103"/>
      <c r="U19" s="103"/>
      <c r="V19" s="104"/>
      <c r="W19" s="86" t="str">
        <f>IF(COUNTA(C19:V19)=0,"",SUM(C19:V19)+COUNTIF(C19:V19,5)/100+COUNTIF(C19:V19,3)/10000)</f>
        <v/>
      </c>
      <c r="X19" s="86" t="str">
        <f>IF(COUNTA(C19:V19)=0,"",IF(RANK(W19,$W$17:$W$20)&lt;3,"edasi "&amp;RANK(W19,$W$17:$W$20),RANK(W19,$W$17:$W$20)+2))</f>
        <v/>
      </c>
    </row>
    <row r="20" spans="1:24" x14ac:dyDescent="0.2">
      <c r="A20" s="105">
        <v>4</v>
      </c>
      <c r="B20" s="126"/>
      <c r="C20" s="102"/>
      <c r="D20" s="103"/>
      <c r="E20" s="103"/>
      <c r="F20" s="104"/>
      <c r="G20" s="102"/>
      <c r="H20" s="103"/>
      <c r="I20" s="103"/>
      <c r="J20" s="104"/>
      <c r="K20" s="102"/>
      <c r="L20" s="103"/>
      <c r="M20" s="103"/>
      <c r="N20" s="104"/>
      <c r="O20" s="102"/>
      <c r="P20" s="103"/>
      <c r="Q20" s="103"/>
      <c r="R20" s="104"/>
      <c r="S20" s="102"/>
      <c r="T20" s="103"/>
      <c r="U20" s="103"/>
      <c r="V20" s="104"/>
      <c r="W20" s="86" t="str">
        <f>IF(COUNTA(C20:V20)=0,"",SUM(C20:V20)+COUNTIF(C20:V20,5)/100+COUNTIF(C20:V20,3)/10000)</f>
        <v/>
      </c>
      <c r="X20" s="86" t="str">
        <f>IF(COUNTA(C20:V20)=0,"",IF(RANK(W20,$W$17:$W$20)&lt;3,"edasi "&amp;RANK(W20,$W$17:$W$20),RANK(W20,$W$17:$W$20)+2))</f>
        <v/>
      </c>
    </row>
    <row r="21" spans="1:24" x14ac:dyDescent="0.2">
      <c r="A21" s="108"/>
      <c r="B21" s="109" t="s">
        <v>214</v>
      </c>
      <c r="C21" s="80"/>
      <c r="D21" s="81"/>
      <c r="E21" s="81"/>
      <c r="F21" s="82"/>
      <c r="G21" s="80"/>
      <c r="H21" s="81"/>
      <c r="I21" s="81"/>
      <c r="J21" s="82"/>
      <c r="K21" s="80"/>
      <c r="L21" s="81"/>
      <c r="M21" s="81"/>
      <c r="N21" s="82"/>
      <c r="O21" s="80"/>
      <c r="P21" s="81"/>
      <c r="Q21" s="81"/>
      <c r="R21" s="82"/>
      <c r="S21" s="80"/>
      <c r="T21" s="81"/>
      <c r="U21" s="81"/>
      <c r="V21" s="82"/>
      <c r="W21" s="83"/>
      <c r="X21" s="83"/>
    </row>
    <row r="22" spans="1:24" x14ac:dyDescent="0.2">
      <c r="A22" s="168">
        <v>1</v>
      </c>
      <c r="B22" s="173"/>
      <c r="C22" s="169"/>
      <c r="D22" s="170"/>
      <c r="E22" s="170"/>
      <c r="F22" s="171"/>
      <c r="G22" s="169"/>
      <c r="H22" s="170"/>
      <c r="I22" s="170"/>
      <c r="J22" s="171"/>
      <c r="K22" s="169"/>
      <c r="L22" s="170"/>
      <c r="M22" s="170"/>
      <c r="N22" s="171"/>
      <c r="O22" s="169"/>
      <c r="P22" s="170"/>
      <c r="Q22" s="170"/>
      <c r="R22" s="171"/>
      <c r="S22" s="169"/>
      <c r="T22" s="170"/>
      <c r="U22" s="170"/>
      <c r="V22" s="171"/>
      <c r="W22" s="101">
        <f>SUM(C22:V22)</f>
        <v>0</v>
      </c>
      <c r="X22" s="172" t="str">
        <f>IF(COUNTA(C22:V22)=0,"",IF(W22=W23,"ümbervisk",IF(W22&gt;W23,"finaali "&amp;(IF(W22&lt;MAX(W24:W25),2,IF(W22=MAX(W24:W25),"",1))),"pronksi "&amp;(IF(W22&lt;MIN(W24:W25),2,IF(W22=MIN(W24:W25),"",1))))))</f>
        <v/>
      </c>
    </row>
    <row r="23" spans="1:24" x14ac:dyDescent="0.2">
      <c r="A23" s="168">
        <v>4</v>
      </c>
      <c r="B23" s="125"/>
      <c r="C23" s="169"/>
      <c r="D23" s="170"/>
      <c r="E23" s="170"/>
      <c r="F23" s="171"/>
      <c r="G23" s="169"/>
      <c r="H23" s="170"/>
      <c r="I23" s="170"/>
      <c r="J23" s="171"/>
      <c r="K23" s="169"/>
      <c r="L23" s="170"/>
      <c r="M23" s="170"/>
      <c r="N23" s="171"/>
      <c r="O23" s="169"/>
      <c r="P23" s="170"/>
      <c r="Q23" s="170"/>
      <c r="R23" s="171"/>
      <c r="S23" s="169"/>
      <c r="T23" s="170"/>
      <c r="U23" s="170"/>
      <c r="V23" s="171"/>
      <c r="W23" s="101">
        <f>SUM(C23:V23)</f>
        <v>0</v>
      </c>
      <c r="X23" s="172" t="str">
        <f>IF(COUNTA(C23:V23)=0,"",IF(W22=W23,"ümbervisk",IF(W23&gt;W22,"finaali "&amp;(IF(W23&lt;MAX(W24:W25),2,IF(W23=MAX(W24:W25),"",1))),"pronksi "&amp;(IF(W23&lt;MIN(W24:W25),2,IF(W23=MIN(W24:W25),"",1))))))</f>
        <v/>
      </c>
    </row>
    <row r="24" spans="1:24" x14ac:dyDescent="0.2">
      <c r="A24" s="108">
        <v>2</v>
      </c>
      <c r="B24" s="119"/>
      <c r="C24" s="80"/>
      <c r="D24" s="81"/>
      <c r="E24" s="81"/>
      <c r="F24" s="82"/>
      <c r="G24" s="80"/>
      <c r="H24" s="81"/>
      <c r="I24" s="81"/>
      <c r="J24" s="82"/>
      <c r="K24" s="80"/>
      <c r="L24" s="81"/>
      <c r="M24" s="81"/>
      <c r="N24" s="82"/>
      <c r="O24" s="80"/>
      <c r="P24" s="81"/>
      <c r="Q24" s="81"/>
      <c r="R24" s="82"/>
      <c r="S24" s="80"/>
      <c r="T24" s="81"/>
      <c r="U24" s="81"/>
      <c r="V24" s="82"/>
      <c r="W24" s="86">
        <f>SUM(C24:V24)</f>
        <v>0</v>
      </c>
      <c r="X24" s="83" t="str">
        <f>IF(COUNTA(C24:V24)=0,"",IF(W24=W25,"ümbervisk",IF(W24&gt;W25,"finaali "&amp;(IF(W24&lt;MAX(W22:W23),2,IF(W24=MAX(W22:W23),"",1))),"pronksi "&amp;(IF(W24&lt;MIN(W22:W23),2,IF(W24=MIN(W22:W23),"",1))))))</f>
        <v/>
      </c>
    </row>
    <row r="25" spans="1:24" x14ac:dyDescent="0.2">
      <c r="A25" s="108">
        <v>3</v>
      </c>
      <c r="B25" s="119"/>
      <c r="C25" s="80"/>
      <c r="D25" s="81"/>
      <c r="E25" s="81"/>
      <c r="F25" s="82"/>
      <c r="G25" s="80"/>
      <c r="H25" s="81"/>
      <c r="I25" s="81"/>
      <c r="J25" s="82"/>
      <c r="K25" s="80"/>
      <c r="L25" s="81"/>
      <c r="M25" s="81"/>
      <c r="N25" s="82"/>
      <c r="O25" s="80"/>
      <c r="P25" s="81"/>
      <c r="Q25" s="81"/>
      <c r="R25" s="82"/>
      <c r="S25" s="80"/>
      <c r="T25" s="81"/>
      <c r="U25" s="81"/>
      <c r="V25" s="82"/>
      <c r="W25" s="86">
        <f>SUM(C25:V25)</f>
        <v>0</v>
      </c>
      <c r="X25" s="83" t="str">
        <f>IF(COUNTA(C25:V25)=0,"",IF(W24=W25,"ümbervisk",IF(W25&gt;W24,"finaali "&amp;(IF(W25&lt;MAX(W22:W23),2,IF(W25=MAX(W22:W23),"",1))),"pronksi "&amp;(IF(W25&lt;MIN(W22:W23),2,IF(W25=MIN(W22:W23),"",1))))))</f>
        <v/>
      </c>
    </row>
    <row r="26" spans="1:24" x14ac:dyDescent="0.2">
      <c r="A26" s="108"/>
      <c r="B26" s="110" t="s">
        <v>215</v>
      </c>
      <c r="C26" s="80"/>
      <c r="D26" s="81"/>
      <c r="E26" s="81"/>
      <c r="F26" s="82"/>
      <c r="G26" s="80"/>
      <c r="H26" s="81"/>
      <c r="I26" s="81"/>
      <c r="J26" s="82"/>
      <c r="K26" s="80"/>
      <c r="L26" s="81"/>
      <c r="M26" s="81"/>
      <c r="N26" s="82"/>
      <c r="O26" s="80"/>
      <c r="P26" s="81"/>
      <c r="Q26" s="81"/>
      <c r="R26" s="82"/>
      <c r="S26" s="80"/>
      <c r="T26" s="81"/>
      <c r="U26" s="81"/>
      <c r="V26" s="82"/>
      <c r="W26" s="86"/>
      <c r="X26" s="83"/>
    </row>
    <row r="27" spans="1:24" x14ac:dyDescent="0.2">
      <c r="A27" s="108"/>
      <c r="B27" s="121"/>
      <c r="C27" s="80"/>
      <c r="D27" s="81"/>
      <c r="E27" s="81"/>
      <c r="F27" s="82"/>
      <c r="G27" s="80"/>
      <c r="H27" s="81"/>
      <c r="I27" s="81"/>
      <c r="J27" s="82"/>
      <c r="K27" s="80"/>
      <c r="L27" s="81"/>
      <c r="M27" s="81"/>
      <c r="N27" s="82"/>
      <c r="O27" s="80"/>
      <c r="P27" s="81"/>
      <c r="Q27" s="81"/>
      <c r="R27" s="82"/>
      <c r="S27" s="80"/>
      <c r="T27" s="81"/>
      <c r="U27" s="81"/>
      <c r="V27" s="82"/>
      <c r="W27" s="86">
        <f>SUM(C27:V27)</f>
        <v>0</v>
      </c>
      <c r="X27" s="91">
        <f ca="1">IF( INDIRECT("RC[-1]",0)=MAX(( INDIRECT("R[-1]C[-1]",0)):( INDIRECT("R[1]C[-1]",0))),3,4)</f>
        <v>3</v>
      </c>
    </row>
    <row r="28" spans="1:24" x14ac:dyDescent="0.2">
      <c r="A28" s="108"/>
      <c r="B28" s="119"/>
      <c r="C28" s="80"/>
      <c r="D28" s="81"/>
      <c r="E28" s="81"/>
      <c r="F28" s="82"/>
      <c r="G28" s="80"/>
      <c r="H28" s="81"/>
      <c r="I28" s="81"/>
      <c r="J28" s="111"/>
      <c r="K28" s="80"/>
      <c r="L28" s="81"/>
      <c r="M28" s="81"/>
      <c r="N28" s="82"/>
      <c r="O28" s="80"/>
      <c r="P28" s="81"/>
      <c r="Q28" s="81"/>
      <c r="R28" s="82"/>
      <c r="S28" s="80"/>
      <c r="T28" s="81"/>
      <c r="U28" s="81"/>
      <c r="V28" s="82"/>
      <c r="W28" s="86">
        <f>SUM(C28:V28)</f>
        <v>0</v>
      </c>
      <c r="X28" s="91">
        <f ca="1">IF( INDIRECT("RC[-1]",0)=MAX(( INDIRECT("R[-1]C[-1]",0)):( INDIRECT("R[1]C[-1]",0))),3,4)</f>
        <v>3</v>
      </c>
    </row>
    <row r="29" spans="1:24" x14ac:dyDescent="0.2">
      <c r="A29" s="108"/>
      <c r="B29" s="110" t="s">
        <v>216</v>
      </c>
      <c r="C29" s="80"/>
      <c r="D29" s="81"/>
      <c r="E29" s="81"/>
      <c r="F29" s="82"/>
      <c r="G29" s="80"/>
      <c r="H29" s="81"/>
      <c r="I29" s="81"/>
      <c r="J29" s="82"/>
      <c r="K29" s="80"/>
      <c r="L29" s="81"/>
      <c r="M29" s="81"/>
      <c r="N29" s="82"/>
      <c r="O29" s="80"/>
      <c r="P29" s="81"/>
      <c r="Q29" s="81"/>
      <c r="R29" s="82"/>
      <c r="S29" s="80"/>
      <c r="T29" s="81"/>
      <c r="U29" s="81"/>
      <c r="V29" s="82"/>
      <c r="W29" s="86"/>
      <c r="X29" s="83"/>
    </row>
    <row r="30" spans="1:24" x14ac:dyDescent="0.2">
      <c r="A30" s="108"/>
      <c r="B30" s="119"/>
      <c r="C30" s="80"/>
      <c r="D30" s="81"/>
      <c r="E30" s="81"/>
      <c r="F30" s="82"/>
      <c r="G30" s="80"/>
      <c r="H30" s="81"/>
      <c r="I30" s="81"/>
      <c r="J30" s="82"/>
      <c r="K30" s="80"/>
      <c r="L30" s="81"/>
      <c r="M30" s="81"/>
      <c r="N30" s="82"/>
      <c r="O30" s="80"/>
      <c r="P30" s="81"/>
      <c r="Q30" s="81"/>
      <c r="R30" s="82"/>
      <c r="S30" s="80"/>
      <c r="T30" s="81"/>
      <c r="U30" s="81"/>
      <c r="V30" s="82"/>
      <c r="W30" s="86">
        <f>SUM(C30:V30)</f>
        <v>0</v>
      </c>
      <c r="X30" s="91">
        <f ca="1">IF( INDIRECT("RC[-1]",0)=MAX(( INDIRECT("R[-1]C[-1]",0)):( INDIRECT("R[1]C[-1]",0))),1,2)</f>
        <v>1</v>
      </c>
    </row>
    <row r="31" spans="1:24" ht="13.5" thickBot="1" x14ac:dyDescent="0.25">
      <c r="A31" s="112"/>
      <c r="B31" s="120"/>
      <c r="C31" s="92"/>
      <c r="D31" s="93"/>
      <c r="E31" s="93"/>
      <c r="F31" s="94"/>
      <c r="G31" s="92"/>
      <c r="H31" s="93"/>
      <c r="I31" s="93"/>
      <c r="J31" s="94"/>
      <c r="K31" s="92"/>
      <c r="L31" s="93"/>
      <c r="M31" s="93"/>
      <c r="N31" s="94"/>
      <c r="O31" s="92"/>
      <c r="P31" s="93"/>
      <c r="Q31" s="93"/>
      <c r="R31" s="94"/>
      <c r="S31" s="92"/>
      <c r="T31" s="93"/>
      <c r="U31" s="93"/>
      <c r="V31" s="94"/>
      <c r="W31" s="95">
        <f>SUM(C31:V31)</f>
        <v>0</v>
      </c>
      <c r="X31" s="96">
        <f ca="1">IF( INDIRECT("RC[-1]",0)=MAX(( INDIRECT("R[-1]C[-1]",0)):( INDIRECT("R[1]C[-1]",0))),1,2)</f>
        <v>1</v>
      </c>
    </row>
    <row r="32" spans="1:24" x14ac:dyDescent="0.2">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row>
    <row r="33" spans="1:24" x14ac:dyDescent="0.2">
      <c r="A33" s="113">
        <v>1</v>
      </c>
      <c r="B33" s="12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1:24" x14ac:dyDescent="0.2">
      <c r="A34" s="113">
        <v>2</v>
      </c>
      <c r="B34" s="114"/>
      <c r="C34" s="107"/>
      <c r="D34" s="107"/>
      <c r="E34" s="107"/>
      <c r="F34" s="107"/>
      <c r="G34" s="107"/>
      <c r="H34" s="107"/>
      <c r="I34" s="107"/>
      <c r="J34" s="107"/>
      <c r="K34" s="107"/>
      <c r="L34" s="107"/>
      <c r="M34" s="107"/>
      <c r="N34" s="107"/>
      <c r="O34" s="107"/>
      <c r="P34" s="107"/>
      <c r="Q34" s="107"/>
      <c r="R34" s="107"/>
      <c r="S34" s="107"/>
      <c r="T34" s="107"/>
      <c r="U34" s="107"/>
      <c r="V34" s="107"/>
      <c r="W34" s="107"/>
      <c r="X34" s="107"/>
    </row>
    <row r="35" spans="1:24" x14ac:dyDescent="0.2">
      <c r="A35" s="113">
        <v>3</v>
      </c>
      <c r="B35" s="115"/>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1:24" x14ac:dyDescent="0.2">
      <c r="A36" s="113">
        <v>4</v>
      </c>
      <c r="B36" s="116"/>
      <c r="C36" s="107"/>
      <c r="D36" s="107"/>
      <c r="E36" s="107"/>
      <c r="F36" s="107"/>
      <c r="G36" s="107"/>
      <c r="H36" s="107"/>
      <c r="I36" s="107"/>
      <c r="J36" s="107"/>
      <c r="K36" s="107"/>
      <c r="L36" s="107"/>
      <c r="M36" s="107"/>
      <c r="N36" s="107"/>
      <c r="O36" s="107"/>
      <c r="P36" s="107"/>
      <c r="Q36" s="107"/>
      <c r="R36" s="107"/>
      <c r="S36" s="107"/>
      <c r="T36" s="107"/>
      <c r="U36" s="107"/>
      <c r="V36" s="107"/>
      <c r="W36" s="107"/>
      <c r="X36" s="107"/>
    </row>
    <row r="37" spans="1:24" x14ac:dyDescent="0.2">
      <c r="A37" s="113">
        <v>5</v>
      </c>
      <c r="B37" s="117"/>
      <c r="C37" s="107"/>
      <c r="D37" s="107"/>
      <c r="E37" s="107"/>
      <c r="F37" s="107"/>
      <c r="G37" s="107"/>
      <c r="H37" s="107"/>
      <c r="I37" s="107"/>
      <c r="J37" s="107"/>
      <c r="K37" s="107"/>
      <c r="L37" s="107"/>
      <c r="M37" s="107"/>
      <c r="N37" s="107"/>
      <c r="O37" s="107"/>
      <c r="P37" s="107"/>
      <c r="Q37" s="107"/>
      <c r="R37" s="107"/>
      <c r="S37" s="107"/>
      <c r="T37" s="107"/>
      <c r="U37" s="107"/>
      <c r="V37" s="107"/>
      <c r="W37" s="107"/>
      <c r="X37" s="107"/>
    </row>
    <row r="38" spans="1:24" x14ac:dyDescent="0.2">
      <c r="A38" s="113">
        <v>6</v>
      </c>
      <c r="B38" s="97"/>
      <c r="C38" s="107"/>
      <c r="D38" s="107"/>
      <c r="E38" s="107"/>
      <c r="F38" s="107"/>
      <c r="G38" s="107"/>
      <c r="H38" s="107"/>
      <c r="I38" s="107"/>
      <c r="J38" s="107"/>
      <c r="K38" s="107"/>
      <c r="L38" s="107"/>
      <c r="M38" s="107"/>
      <c r="N38" s="107"/>
      <c r="O38" s="107"/>
      <c r="P38" s="107"/>
      <c r="Q38" s="107"/>
      <c r="R38" s="107"/>
      <c r="S38" s="107"/>
      <c r="T38" s="107"/>
      <c r="U38" s="107"/>
      <c r="V38" s="107"/>
      <c r="W38" s="107"/>
      <c r="X38" s="107"/>
    </row>
    <row r="39" spans="1:24" x14ac:dyDescent="0.2">
      <c r="A39" s="113">
        <v>7</v>
      </c>
      <c r="B39" s="116"/>
      <c r="C39" s="107"/>
      <c r="D39" s="107"/>
      <c r="E39" s="107"/>
      <c r="F39" s="107"/>
      <c r="G39" s="107"/>
      <c r="H39" s="107"/>
      <c r="I39" s="107"/>
      <c r="J39" s="107"/>
      <c r="K39" s="107"/>
      <c r="L39" s="107"/>
      <c r="M39" s="107"/>
      <c r="N39" s="107"/>
      <c r="O39" s="107"/>
      <c r="P39" s="107"/>
      <c r="Q39" s="107"/>
      <c r="R39" s="107"/>
      <c r="S39" s="107"/>
      <c r="T39" s="107"/>
      <c r="U39" s="107"/>
      <c r="V39" s="107"/>
      <c r="W39" s="107"/>
      <c r="X39" s="107"/>
    </row>
  </sheetData>
  <conditionalFormatting sqref="W30:W31">
    <cfRule type="top10" dxfId="1420" priority="7" rank="1"/>
  </conditionalFormatting>
  <conditionalFormatting sqref="W22:W23">
    <cfRule type="top10" dxfId="1419" priority="10" rank="1"/>
  </conditionalFormatting>
  <conditionalFormatting sqref="W24:W25">
    <cfRule type="top10" dxfId="1418" priority="9" rank="1"/>
  </conditionalFormatting>
  <conditionalFormatting sqref="W27:W28">
    <cfRule type="top10" dxfId="1417" priority="8" rank="1"/>
  </conditionalFormatting>
  <conditionalFormatting sqref="X24:X25">
    <cfRule type="duplicateValues" dxfId="1416" priority="5"/>
  </conditionalFormatting>
  <conditionalFormatting sqref="X22:X23">
    <cfRule type="duplicateValues" dxfId="1415" priority="6"/>
  </conditionalFormatting>
  <conditionalFormatting sqref="X9:X15">
    <cfRule type="duplicateValues" dxfId="1414" priority="4"/>
  </conditionalFormatting>
  <conditionalFormatting sqref="X17:X20">
    <cfRule type="duplicateValues" dxfId="1413" priority="3"/>
  </conditionalFormatting>
  <conditionalFormatting sqref="B9:B15">
    <cfRule type="duplicateValues" dxfId="1412" priority="2" stopIfTrue="1"/>
  </conditionalFormatting>
  <conditionalFormatting sqref="B33:B39">
    <cfRule type="duplicateValues" dxfId="1411" priority="1" stopIfTrue="1"/>
  </conditionalFormatting>
  <conditionalFormatting sqref="B20">
    <cfRule type="duplicateValues" dxfId="1410" priority="11" stopIfTrue="1"/>
  </conditionalFormatting>
  <conditionalFormatting sqref="X17:X20">
    <cfRule type="top10" dxfId="1409" priority="12" stopIfTrue="1" rank="100"/>
  </conditionalFormatting>
  <conditionalFormatting sqref="X9:X15">
    <cfRule type="top10" dxfId="1408" priority="13" stopIfTrue="1" rank="100"/>
  </conditionalFormatting>
  <conditionalFormatting sqref="W9:W31">
    <cfRule type="top10" dxfId="1407" priority="14" stopIfTrue="1" rank="1"/>
  </conditionalFormatting>
  <pageMargins left="0.78740157480314965" right="0.39370078740157483" top="0.59055118110236227" bottom="0.39370078740157483" header="0.39370078740157483" footer="0"/>
  <pageSetup paperSize="9" fitToHeight="0" orientation="portrait" r:id="rId1"/>
  <headerFooter alignWithMargins="0">
    <oddHeader>&amp;R&amp;"Arial,Regular"&amp;9Page &amp;P of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3"/>
  <sheetViews>
    <sheetView showGridLines="0" showRowColHeaders="0" zoomScaleNormal="100" workbookViewId="0">
      <pane ySplit="2" topLeftCell="A3" activePane="bottomLeft" state="frozen"/>
      <selection activeCell="I1" sqref="I1"/>
      <selection pane="bottomLeft" activeCell="O1" sqref="O1"/>
    </sheetView>
  </sheetViews>
  <sheetFormatPr defaultRowHeight="12.75" x14ac:dyDescent="0.2"/>
  <cols>
    <col min="1" max="1" width="5.5703125" style="69" customWidth="1"/>
    <col min="2" max="2" width="55.85546875" style="69" customWidth="1"/>
    <col min="3" max="3" width="4" style="69" customWidth="1"/>
    <col min="4" max="4" width="0.85546875" style="69" customWidth="1"/>
    <col min="5" max="5" width="2.7109375" style="69" customWidth="1"/>
    <col min="6" max="6" width="4.7109375" style="69" customWidth="1"/>
    <col min="7" max="7" width="2.7109375" style="69" customWidth="1"/>
    <col min="8" max="8" width="0.85546875" style="69" customWidth="1"/>
    <col min="9" max="9" width="2.7109375" style="69" customWidth="1"/>
    <col min="10" max="10" width="4.7109375" style="69" customWidth="1"/>
    <col min="11" max="11" width="2.7109375" style="262" customWidth="1"/>
    <col min="12" max="12" width="0.85546875" style="262" customWidth="1"/>
    <col min="13" max="13" width="2.7109375" style="262" customWidth="1"/>
    <col min="14" max="14" width="4.7109375" style="69" customWidth="1"/>
    <col min="15" max="15" width="2.7109375" style="69" customWidth="1"/>
    <col min="16" max="16" width="0.85546875" style="69" customWidth="1"/>
    <col min="17" max="17" width="2.7109375" style="69" customWidth="1"/>
    <col min="18" max="18" width="4.7109375" style="69" customWidth="1"/>
    <col min="19" max="19" width="2.7109375" style="262" customWidth="1"/>
    <col min="20" max="20" width="0.85546875" style="262" customWidth="1"/>
    <col min="21" max="21" width="2.7109375" style="262" customWidth="1"/>
    <col min="22" max="22" width="4.7109375" style="262" customWidth="1"/>
    <col min="23" max="23" width="2.7109375" style="262" hidden="1" customWidth="1"/>
    <col min="24" max="24" width="0.85546875" style="262" hidden="1" customWidth="1"/>
    <col min="25" max="25" width="2.7109375" style="262" hidden="1" customWidth="1"/>
    <col min="26" max="26" width="5.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5.28515625" style="69" hidden="1" customWidth="1"/>
    <col min="36" max="36" width="6" style="69" hidden="1" customWidth="1"/>
    <col min="37" max="37" width="17.28515625" style="69" hidden="1" customWidth="1"/>
    <col min="38" max="38" width="6" style="69" hidden="1" customWidth="1"/>
    <col min="39" max="39" width="26.5703125" style="69" hidden="1" customWidth="1"/>
    <col min="40" max="40" width="6" style="69" hidden="1" customWidth="1"/>
    <col min="41" max="41" width="17.28515625" style="69" hidden="1" customWidth="1"/>
    <col min="42" max="42" width="6" style="69" hidden="1" customWidth="1"/>
    <col min="43" max="43" width="15.28515625" style="69" hidden="1" customWidth="1"/>
    <col min="44" max="44" width="6" style="69" hidden="1" customWidth="1"/>
    <col min="45" max="16384" width="9.140625" style="69"/>
  </cols>
  <sheetData>
    <row r="1" spans="1:44" x14ac:dyDescent="0.2">
      <c r="A1" s="777" t="str">
        <f>UPPER((Kalend!E18)&amp;" - "&amp;(Kalend!C18)&amp;" - "&amp;(Kalend!D18))</f>
        <v>4 - EESTI REITINGUVÕISTLUS - TRIO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c r="AQ1" s="679"/>
      <c r="AR1" s="679"/>
    </row>
    <row r="2" spans="1:44" x14ac:dyDescent="0.2">
      <c r="A2" s="778" t="str">
        <f>"Toimumisaeg: "&amp;(Kalend!A18)&amp;" kell "&amp;(Kalend!B18)</f>
        <v>Toimumisaeg: P, 01.07.2018 kell 10:00</v>
      </c>
      <c r="AC2" s="264"/>
    </row>
    <row r="3" spans="1:44" x14ac:dyDescent="0.2">
      <c r="A3" s="778" t="str">
        <f>"Toimumiskoht: "&amp;(Kalend!H18)</f>
        <v>Toimumiskoht: Tartu</v>
      </c>
      <c r="I3" s="262"/>
      <c r="J3" s="132"/>
      <c r="K3" s="130"/>
      <c r="L3" s="610"/>
      <c r="AH3" s="681" t="s">
        <v>771</v>
      </c>
    </row>
    <row r="4" spans="1:44" x14ac:dyDescent="0.2">
      <c r="A4" s="778" t="str">
        <f>"Korraldaja: "&amp;(Kalend!I18)</f>
        <v xml:space="preserve">Korraldaja: </v>
      </c>
      <c r="I4" s="262"/>
      <c r="J4" s="611"/>
      <c r="L4" s="612"/>
      <c r="AH4" s="667" t="s">
        <v>190</v>
      </c>
      <c r="AI4" s="625"/>
      <c r="AJ4" s="625"/>
      <c r="AK4" s="625"/>
      <c r="AL4" s="625"/>
      <c r="AM4" s="625"/>
      <c r="AN4" s="625"/>
      <c r="AO4" s="625"/>
      <c r="AP4" s="625"/>
      <c r="AQ4" s="625"/>
      <c r="AR4" s="625"/>
    </row>
    <row r="5" spans="1:44" x14ac:dyDescent="0.2">
      <c r="A5" s="778"/>
      <c r="J5" s="132"/>
      <c r="K5" s="130"/>
      <c r="L5" s="610"/>
      <c r="AH5" s="667" t="s">
        <v>764</v>
      </c>
      <c r="AI5" s="670" t="s">
        <v>765</v>
      </c>
      <c r="AJ5" s="670"/>
      <c r="AK5" s="670" t="s">
        <v>767</v>
      </c>
      <c r="AL5" s="670"/>
      <c r="AM5" s="670" t="s">
        <v>768</v>
      </c>
      <c r="AN5" s="672"/>
      <c r="AO5" s="672" t="s">
        <v>772</v>
      </c>
      <c r="AP5" s="672"/>
      <c r="AQ5" s="672" t="s">
        <v>773</v>
      </c>
      <c r="AR5" s="682"/>
    </row>
    <row r="6" spans="1:44" x14ac:dyDescent="0.2">
      <c r="A6" s="224" t="s">
        <v>25</v>
      </c>
      <c r="B6" s="224" t="s">
        <v>737</v>
      </c>
      <c r="C6" s="779" t="s">
        <v>514</v>
      </c>
      <c r="D6" s="780"/>
      <c r="E6" s="780"/>
      <c r="F6" s="781"/>
      <c r="G6" s="779" t="s">
        <v>517</v>
      </c>
      <c r="H6" s="780"/>
      <c r="I6" s="780"/>
      <c r="J6" s="781"/>
      <c r="K6" s="779" t="s">
        <v>520</v>
      </c>
      <c r="L6" s="780"/>
      <c r="M6" s="780"/>
      <c r="N6" s="781"/>
      <c r="O6" s="779" t="s">
        <v>523</v>
      </c>
      <c r="P6" s="780"/>
      <c r="Q6" s="780"/>
      <c r="R6" s="781"/>
      <c r="S6" s="779" t="s">
        <v>525</v>
      </c>
      <c r="T6" s="780"/>
      <c r="U6" s="780"/>
      <c r="V6" s="781"/>
      <c r="W6" s="779" t="s">
        <v>664</v>
      </c>
      <c r="X6" s="780"/>
      <c r="Y6" s="780"/>
      <c r="Z6" s="781"/>
      <c r="AA6" s="616" t="s">
        <v>220</v>
      </c>
      <c r="AB6" s="616" t="s">
        <v>565</v>
      </c>
      <c r="AC6" s="616" t="s">
        <v>738</v>
      </c>
      <c r="AD6" s="782"/>
      <c r="AE6" s="783"/>
      <c r="AH6" s="667" t="s">
        <v>769</v>
      </c>
      <c r="AI6" s="625"/>
      <c r="AJ6" s="625"/>
      <c r="AK6" s="673"/>
      <c r="AL6" s="673"/>
      <c r="AM6" s="673"/>
      <c r="AN6" s="673"/>
      <c r="AO6" s="673"/>
      <c r="AP6" s="673"/>
      <c r="AQ6" s="673"/>
      <c r="AR6" s="673"/>
    </row>
    <row r="7" spans="1:44" x14ac:dyDescent="0.2">
      <c r="A7" s="616">
        <v>1</v>
      </c>
      <c r="B7" s="22" t="s">
        <v>791</v>
      </c>
      <c r="C7" s="784">
        <v>13</v>
      </c>
      <c r="D7" s="785" t="s">
        <v>615</v>
      </c>
      <c r="E7" s="786">
        <v>8</v>
      </c>
      <c r="F7" s="787" t="str">
        <f>B19</f>
        <v>Andres Veski, Kenneth Muusikus, Svetlana Veski</v>
      </c>
      <c r="G7" s="784">
        <v>13</v>
      </c>
      <c r="H7" s="785" t="s">
        <v>615</v>
      </c>
      <c r="I7" s="786">
        <v>3</v>
      </c>
      <c r="J7" s="787" t="str">
        <f>B8</f>
        <v>Maive Sein, Maris Rõõm, Varje Reede</v>
      </c>
      <c r="K7" s="784">
        <v>13</v>
      </c>
      <c r="L7" s="785" t="s">
        <v>615</v>
      </c>
      <c r="M7" s="786">
        <v>1</v>
      </c>
      <c r="N7" s="787" t="str">
        <f>B11</f>
        <v>Marika Poom, Märten Aardevälja, Siim Oks</v>
      </c>
      <c r="O7" s="784">
        <v>12</v>
      </c>
      <c r="P7" s="785" t="s">
        <v>615</v>
      </c>
      <c r="Q7" s="786">
        <v>7</v>
      </c>
      <c r="R7" s="787" t="str">
        <f>B9</f>
        <v>Egert Kingissepp, Mare Kingissepp, Marge Mägi, Silver Kingissepp</v>
      </c>
      <c r="S7" s="784">
        <v>13</v>
      </c>
      <c r="T7" s="785" t="s">
        <v>615</v>
      </c>
      <c r="U7" s="786">
        <v>9</v>
      </c>
      <c r="V7" s="787" t="str">
        <f>B10</f>
        <v>Kadri Arunurm, Kalju Olmre, Urmo Auväärt</v>
      </c>
      <c r="W7" s="784"/>
      <c r="X7" s="785" t="s">
        <v>615</v>
      </c>
      <c r="Y7" s="786"/>
      <c r="Z7" s="787"/>
      <c r="AA7" s="622">
        <f t="shared" ref="AA7:AA18" si="0">2*(IF(C7&gt;E7,1)+IF(G7&gt;I7,1)+IF(K7&gt;M7,1)+IF(O7&gt;Q7,1)+IF(S7&gt;U7,1)+IF(W7&gt;Y7,1))</f>
        <v>10</v>
      </c>
      <c r="AB7" s="788">
        <v>28</v>
      </c>
      <c r="AC7" s="784">
        <f t="shared" ref="AC7:AC18" si="1">C7+G7+K7+O7+S7+W7</f>
        <v>64</v>
      </c>
      <c r="AD7" s="785" t="s">
        <v>615</v>
      </c>
      <c r="AE7" s="789">
        <f t="shared" ref="AE7:AE18" si="2">E7+I7+M7+Q7+U7+Y7</f>
        <v>28</v>
      </c>
      <c r="AF7" s="804">
        <f t="shared" ref="AF7:AF18" si="3">AC7-AE7</f>
        <v>36</v>
      </c>
      <c r="AH7" s="672">
        <f t="shared" ref="AH7:AH20" ca="1" si="4">SUM(AJ7:AR7)</f>
        <v>2203</v>
      </c>
      <c r="AI7" s="676" t="str">
        <f t="shared" ref="AI7:AI20" si="5">IFERROR(LEFT($B300,(FIND(",",$B300,1)-1)),"")</f>
        <v>Hardo Sokk</v>
      </c>
      <c r="AJ7" s="675">
        <f ca="1">IFERROR(INDEX(Üldreiting!$M:$M,MATCH(AI7,Üldreiting!$H:$H,0)),"")</f>
        <v>510</v>
      </c>
      <c r="AK7" s="676" t="str">
        <f t="shared" ref="AK7:AK20" si="6">IFERROR(MID($B300,FIND("^",SUBSTITUTE($B300,", ","^",1))+2,FIND("^",SUBSTITUTE($B300,", ","^",2))-FIND("^",SUBSTITUTE($B300,", ","^",1))-2),"")</f>
        <v>Jaan Joonas</v>
      </c>
      <c r="AL7" s="675">
        <f ca="1">IFERROR(INDEX(Üldreiting!$M:$M,MATCH(AK7,Üldreiting!$H:$H,0)),"")</f>
        <v>612</v>
      </c>
      <c r="AM7" s="676" t="str">
        <f t="shared" ref="AM7:AM20" si="7">IFERROR(MID($B300,FIND(", ",$B300,FIND(", ",$B300,FIND(", ",$B300))+1)+2,30000),"")</f>
        <v>Marek Kolk</v>
      </c>
      <c r="AN7" s="675">
        <f ca="1">IFERROR(INDEX(Üldreiting!$M:$M,MATCH(AM7,Üldreiting!$H:$H,0)),"")</f>
        <v>1081</v>
      </c>
      <c r="AO7" s="674" t="str">
        <f t="shared" ref="AO7:AO20" si="8">IFERROR(MID($B300,FIND(", ",$B300,FIND(", ",$B300)+1)+2,FIND(", ",$B300,FIND(", ",$B300,FIND(", ",$B300)+1)+1)-FIND(", ",$B300,FIND(", ",$B300)+1)-2),"")</f>
        <v/>
      </c>
      <c r="AP7" s="675" t="str">
        <f>IFERROR(INDEX(Üldreiting!$M:$M,MATCH(AO7,Üldreiting!$H:$H,0)),"")</f>
        <v/>
      </c>
      <c r="AQ7" s="676" t="str">
        <f t="shared" ref="AQ7:AQ20" si="9">IFERROR(MID($B300,FIND(", ",$B300,FIND(", ",$B300,FIND(", ",$B300)+1)+1)+2,30000),"")</f>
        <v/>
      </c>
      <c r="AR7" s="675" t="str">
        <f>IFERROR(INDEX(Üldreiting!$M:$M,MATCH(AQ7,Üldreiting!$H:$H,0)),"")</f>
        <v/>
      </c>
    </row>
    <row r="8" spans="1:44" x14ac:dyDescent="0.2">
      <c r="A8" s="616">
        <v>2</v>
      </c>
      <c r="B8" s="22" t="s">
        <v>669</v>
      </c>
      <c r="C8" s="784">
        <v>13</v>
      </c>
      <c r="D8" s="785" t="s">
        <v>615</v>
      </c>
      <c r="E8" s="786">
        <v>8</v>
      </c>
      <c r="F8" s="787" t="str">
        <f>B18</f>
        <v>Henri Mitt, Johannes Neiland, Matti Vinni</v>
      </c>
      <c r="G8" s="784">
        <v>3</v>
      </c>
      <c r="H8" s="785" t="s">
        <v>615</v>
      </c>
      <c r="I8" s="786">
        <v>13</v>
      </c>
      <c r="J8" s="787" t="str">
        <f>B7</f>
        <v>Hardo Sokk, Jaan Joonas, Marek Kolk</v>
      </c>
      <c r="K8" s="784">
        <v>13</v>
      </c>
      <c r="L8" s="785" t="s">
        <v>615</v>
      </c>
      <c r="M8" s="786">
        <v>6</v>
      </c>
      <c r="N8" s="787" t="str">
        <f>B14</f>
        <v>Anti Alasi, Marta Ruus, Vello Pluum, Ülo Luuka</v>
      </c>
      <c r="O8" s="784">
        <v>13</v>
      </c>
      <c r="P8" s="785" t="s">
        <v>615</v>
      </c>
      <c r="Q8" s="786">
        <v>12</v>
      </c>
      <c r="R8" s="787" t="str">
        <f>B11</f>
        <v>Marika Poom, Märten Aardevälja, Siim Oks</v>
      </c>
      <c r="S8" s="784">
        <v>13</v>
      </c>
      <c r="T8" s="785" t="s">
        <v>615</v>
      </c>
      <c r="U8" s="786">
        <v>2</v>
      </c>
      <c r="V8" s="787" t="str">
        <f>B9</f>
        <v>Egert Kingissepp, Mare Kingissepp, Marge Mägi, Silver Kingissepp</v>
      </c>
      <c r="W8" s="784"/>
      <c r="X8" s="785" t="s">
        <v>615</v>
      </c>
      <c r="Y8" s="786"/>
      <c r="Z8" s="787"/>
      <c r="AA8" s="622">
        <f t="shared" si="0"/>
        <v>8</v>
      </c>
      <c r="AB8" s="788">
        <v>28</v>
      </c>
      <c r="AC8" s="784">
        <f t="shared" si="1"/>
        <v>55</v>
      </c>
      <c r="AD8" s="785" t="s">
        <v>615</v>
      </c>
      <c r="AE8" s="789">
        <f t="shared" si="2"/>
        <v>41</v>
      </c>
      <c r="AF8" s="804">
        <f t="shared" si="3"/>
        <v>14</v>
      </c>
      <c r="AH8" s="672">
        <f t="shared" ca="1" si="4"/>
        <v>2168</v>
      </c>
      <c r="AI8" s="676" t="str">
        <f t="shared" si="5"/>
        <v>Maive Sein</v>
      </c>
      <c r="AJ8" s="675">
        <f ca="1">IFERROR(INDEX(Üldreiting!$M:$M,MATCH(AI8,Üldreiting!$H:$H,0)),"")</f>
        <v>785</v>
      </c>
      <c r="AK8" s="676" t="str">
        <f t="shared" si="6"/>
        <v>Maris Rõõm</v>
      </c>
      <c r="AL8" s="675">
        <f ca="1">IFERROR(INDEX(Üldreiting!$M:$M,MATCH(AK8,Üldreiting!$H:$H,0)),"")</f>
        <v>542</v>
      </c>
      <c r="AM8" s="676" t="str">
        <f t="shared" si="7"/>
        <v>Varje Reede</v>
      </c>
      <c r="AN8" s="675">
        <f ca="1">IFERROR(INDEX(Üldreiting!$M:$M,MATCH(AM8,Üldreiting!$H:$H,0)),"")</f>
        <v>841</v>
      </c>
      <c r="AO8" s="674" t="str">
        <f t="shared" si="8"/>
        <v/>
      </c>
      <c r="AP8" s="675" t="str">
        <f>IFERROR(INDEX(Üldreiting!$M:$M,MATCH(AO8,Üldreiting!$H:$H,0)),"")</f>
        <v/>
      </c>
      <c r="AQ8" s="676" t="str">
        <f t="shared" si="9"/>
        <v/>
      </c>
      <c r="AR8" s="675" t="str">
        <f>IFERROR(INDEX(Üldreiting!$M:$M,MATCH(AQ8,Üldreiting!$H:$H,0)),"")</f>
        <v/>
      </c>
    </row>
    <row r="9" spans="1:44" x14ac:dyDescent="0.2">
      <c r="A9" s="616">
        <v>3</v>
      </c>
      <c r="B9" s="617" t="s">
        <v>655</v>
      </c>
      <c r="C9" s="784">
        <v>13</v>
      </c>
      <c r="D9" s="785" t="s">
        <v>615</v>
      </c>
      <c r="E9" s="786">
        <v>1</v>
      </c>
      <c r="F9" s="787" t="str">
        <f>B14</f>
        <v>Anti Alasi, Marta Ruus, Vello Pluum, Ülo Luuka</v>
      </c>
      <c r="G9" s="784">
        <v>12</v>
      </c>
      <c r="H9" s="785" t="s">
        <v>615</v>
      </c>
      <c r="I9" s="786">
        <v>11</v>
      </c>
      <c r="J9" s="787" t="str">
        <f>B13</f>
        <v>Janek Kiisk, Margo Peebo, Ruudi Väärtnõu</v>
      </c>
      <c r="K9" s="784">
        <v>13</v>
      </c>
      <c r="L9" s="785" t="s">
        <v>615</v>
      </c>
      <c r="M9" s="786">
        <v>4</v>
      </c>
      <c r="N9" s="787" t="str">
        <f>B10</f>
        <v>Kadri Arunurm, Kalju Olmre, Urmo Auväärt</v>
      </c>
      <c r="O9" s="784">
        <v>7</v>
      </c>
      <c r="P9" s="785" t="s">
        <v>615</v>
      </c>
      <c r="Q9" s="786">
        <v>12</v>
      </c>
      <c r="R9" s="787" t="str">
        <f>B7</f>
        <v>Hardo Sokk, Jaan Joonas, Marek Kolk</v>
      </c>
      <c r="S9" s="784">
        <v>2</v>
      </c>
      <c r="T9" s="785" t="s">
        <v>615</v>
      </c>
      <c r="U9" s="786">
        <v>13</v>
      </c>
      <c r="V9" s="787" t="str">
        <f>B8</f>
        <v>Maive Sein, Maris Rõõm, Varje Reede</v>
      </c>
      <c r="W9" s="784"/>
      <c r="X9" s="785" t="s">
        <v>615</v>
      </c>
      <c r="Y9" s="786"/>
      <c r="Z9" s="787"/>
      <c r="AA9" s="634">
        <f t="shared" si="0"/>
        <v>6</v>
      </c>
      <c r="AB9" s="791">
        <v>34</v>
      </c>
      <c r="AC9" s="784">
        <f t="shared" si="1"/>
        <v>47</v>
      </c>
      <c r="AD9" s="785" t="s">
        <v>615</v>
      </c>
      <c r="AE9" s="789">
        <f t="shared" si="2"/>
        <v>41</v>
      </c>
      <c r="AF9" s="804">
        <f t="shared" si="3"/>
        <v>6</v>
      </c>
      <c r="AH9" s="672">
        <f t="shared" ca="1" si="4"/>
        <v>2683</v>
      </c>
      <c r="AI9" s="676" t="str">
        <f t="shared" si="5"/>
        <v>Egert Kingissepp</v>
      </c>
      <c r="AJ9" s="675">
        <f ca="1">IFERROR(INDEX(Üldreiting!$M:$M,MATCH(AI9,Üldreiting!$H:$H,0)),"")</f>
        <v>386</v>
      </c>
      <c r="AK9" s="676" t="str">
        <f t="shared" si="6"/>
        <v>Mare Kingissepp</v>
      </c>
      <c r="AL9" s="675">
        <f ca="1">IFERROR(INDEX(Üldreiting!$M:$M,MATCH(AK9,Üldreiting!$H:$H,0)),"")</f>
        <v>726</v>
      </c>
      <c r="AM9" s="676" t="str">
        <f t="shared" si="7"/>
        <v>Marge Mägi, Silver Kingissepp</v>
      </c>
      <c r="AN9" s="675" t="str">
        <f>IFERROR(INDEX(Üldreiting!$M:$M,MATCH(AM9,Üldreiting!$H:$H,0)),"")</f>
        <v/>
      </c>
      <c r="AO9" s="674" t="str">
        <f t="shared" si="8"/>
        <v>Marge Mägi</v>
      </c>
      <c r="AP9" s="675">
        <f ca="1">IFERROR(INDEX(Üldreiting!$M:$M,MATCH(AO9,Üldreiting!$H:$H,0)),"")</f>
        <v>745</v>
      </c>
      <c r="AQ9" s="676" t="str">
        <f t="shared" si="9"/>
        <v>Silver Kingissepp</v>
      </c>
      <c r="AR9" s="675">
        <f ca="1">IFERROR(INDEX(Üldreiting!$M:$M,MATCH(AQ9,Üldreiting!$H:$H,0)),"")</f>
        <v>826</v>
      </c>
    </row>
    <row r="10" spans="1:44" x14ac:dyDescent="0.2">
      <c r="A10" s="616">
        <v>4</v>
      </c>
      <c r="B10" s="617" t="s">
        <v>792</v>
      </c>
      <c r="C10" s="784">
        <v>13</v>
      </c>
      <c r="D10" s="785" t="s">
        <v>615</v>
      </c>
      <c r="E10" s="786">
        <v>6</v>
      </c>
      <c r="F10" s="787" t="str">
        <f>B12</f>
        <v>Alari Keedus, Jelena Brakina, Ülo Piik</v>
      </c>
      <c r="G10" s="784">
        <v>13</v>
      </c>
      <c r="H10" s="785" t="s">
        <v>615</v>
      </c>
      <c r="I10" s="786">
        <v>4</v>
      </c>
      <c r="J10" s="787" t="str">
        <f>B15</f>
        <v>Enn Kivisaar, Enn Tõppan, Peeter Zirk</v>
      </c>
      <c r="K10" s="784">
        <v>4</v>
      </c>
      <c r="L10" s="785" t="s">
        <v>615</v>
      </c>
      <c r="M10" s="786">
        <v>13</v>
      </c>
      <c r="N10" s="787" t="str">
        <f>B9</f>
        <v>Egert Kingissepp, Mare Kingissepp, Marge Mägi, Silver Kingissepp</v>
      </c>
      <c r="O10" s="784">
        <v>13</v>
      </c>
      <c r="P10" s="785" t="s">
        <v>615</v>
      </c>
      <c r="Q10" s="786">
        <v>8</v>
      </c>
      <c r="R10" s="787" t="str">
        <f>B13</f>
        <v>Janek Kiisk, Margo Peebo, Ruudi Väärtnõu</v>
      </c>
      <c r="S10" s="784">
        <v>9</v>
      </c>
      <c r="T10" s="785" t="s">
        <v>615</v>
      </c>
      <c r="U10" s="786">
        <v>13</v>
      </c>
      <c r="V10" s="787" t="str">
        <f>B7</f>
        <v>Hardo Sokk, Jaan Joonas, Marek Kolk</v>
      </c>
      <c r="W10" s="784"/>
      <c r="X10" s="785" t="s">
        <v>615</v>
      </c>
      <c r="Y10" s="786"/>
      <c r="Z10" s="787"/>
      <c r="AA10" s="634">
        <f t="shared" si="0"/>
        <v>6</v>
      </c>
      <c r="AB10" s="791">
        <v>32</v>
      </c>
      <c r="AC10" s="784">
        <f t="shared" si="1"/>
        <v>52</v>
      </c>
      <c r="AD10" s="785" t="s">
        <v>615</v>
      </c>
      <c r="AE10" s="789">
        <f t="shared" si="2"/>
        <v>44</v>
      </c>
      <c r="AF10" s="804">
        <f t="shared" si="3"/>
        <v>8</v>
      </c>
      <c r="AH10" s="672">
        <f t="shared" ca="1" si="4"/>
        <v>2245</v>
      </c>
      <c r="AI10" s="676" t="str">
        <f t="shared" si="5"/>
        <v>Kadri Arunurm</v>
      </c>
      <c r="AJ10" s="675">
        <f ca="1">IFERROR(INDEX(Üldreiting!$M:$M,MATCH(AI10,Üldreiting!$H:$H,0)),"")</f>
        <v>509</v>
      </c>
      <c r="AK10" s="676" t="str">
        <f t="shared" si="6"/>
        <v>Kalju Olmre</v>
      </c>
      <c r="AL10" s="675">
        <f ca="1">IFERROR(INDEX(Üldreiting!$M:$M,MATCH(AK10,Üldreiting!$H:$H,0)),"")</f>
        <v>600</v>
      </c>
      <c r="AM10" s="676" t="str">
        <f t="shared" si="7"/>
        <v>Urmo Auväärt</v>
      </c>
      <c r="AN10" s="675">
        <f ca="1">IFERROR(INDEX(Üldreiting!$M:$M,MATCH(AM10,Üldreiting!$H:$H,0)),"")</f>
        <v>1136</v>
      </c>
      <c r="AO10" s="674" t="str">
        <f t="shared" si="8"/>
        <v/>
      </c>
      <c r="AP10" s="675" t="str">
        <f>IFERROR(INDEX(Üldreiting!$M:$M,MATCH(AO10,Üldreiting!$H:$H,0)),"")</f>
        <v/>
      </c>
      <c r="AQ10" s="676" t="str">
        <f t="shared" si="9"/>
        <v/>
      </c>
      <c r="AR10" s="675" t="str">
        <f>IFERROR(INDEX(Üldreiting!$M:$M,MATCH(AQ10,Üldreiting!$H:$H,0)),"")</f>
        <v/>
      </c>
    </row>
    <row r="11" spans="1:44" x14ac:dyDescent="0.2">
      <c r="A11" s="616">
        <v>5</v>
      </c>
      <c r="B11" s="617" t="s">
        <v>793</v>
      </c>
      <c r="C11" s="784">
        <v>10</v>
      </c>
      <c r="D11" s="785" t="s">
        <v>615</v>
      </c>
      <c r="E11" s="786">
        <v>8</v>
      </c>
      <c r="F11" s="787" t="str">
        <f>B16</f>
        <v>Aigi Orro, Elmo Lageda, Kalle Orro</v>
      </c>
      <c r="G11" s="784">
        <v>11</v>
      </c>
      <c r="H11" s="785" t="s">
        <v>615</v>
      </c>
      <c r="I11" s="786">
        <v>9</v>
      </c>
      <c r="J11" s="787" t="str">
        <f>B18</f>
        <v>Henri Mitt, Johannes Neiland, Matti Vinni</v>
      </c>
      <c r="K11" s="784">
        <v>1</v>
      </c>
      <c r="L11" s="785" t="s">
        <v>615</v>
      </c>
      <c r="M11" s="786">
        <v>13</v>
      </c>
      <c r="N11" s="787" t="str">
        <f>B7</f>
        <v>Hardo Sokk, Jaan Joonas, Marek Kolk</v>
      </c>
      <c r="O11" s="784">
        <v>12</v>
      </c>
      <c r="P11" s="785" t="s">
        <v>615</v>
      </c>
      <c r="Q11" s="786">
        <v>13</v>
      </c>
      <c r="R11" s="787" t="str">
        <f>B8</f>
        <v>Maive Sein, Maris Rõõm, Varje Reede</v>
      </c>
      <c r="S11" s="784">
        <v>11</v>
      </c>
      <c r="T11" s="785" t="s">
        <v>615</v>
      </c>
      <c r="U11" s="786">
        <v>5</v>
      </c>
      <c r="V11" s="787" t="str">
        <f>B12</f>
        <v>Alari Keedus, Jelena Brakina, Ülo Piik</v>
      </c>
      <c r="W11" s="784"/>
      <c r="X11" s="785" t="s">
        <v>615</v>
      </c>
      <c r="Y11" s="786"/>
      <c r="Z11" s="787"/>
      <c r="AA11" s="634">
        <f t="shared" si="0"/>
        <v>6</v>
      </c>
      <c r="AB11" s="791">
        <v>30</v>
      </c>
      <c r="AC11" s="784">
        <f t="shared" si="1"/>
        <v>45</v>
      </c>
      <c r="AD11" s="785" t="s">
        <v>615</v>
      </c>
      <c r="AE11" s="789">
        <f t="shared" si="2"/>
        <v>48</v>
      </c>
      <c r="AF11" s="804">
        <f t="shared" si="3"/>
        <v>-3</v>
      </c>
      <c r="AH11" s="672">
        <f t="shared" ca="1" si="4"/>
        <v>2493.5</v>
      </c>
      <c r="AI11" s="676" t="str">
        <f t="shared" si="5"/>
        <v>Janek Kiisk</v>
      </c>
      <c r="AJ11" s="675">
        <f ca="1">IFERROR(INDEX(Üldreiting!$M:$M,MATCH(AI11,Üldreiting!$H:$H,0)),"")</f>
        <v>863.5</v>
      </c>
      <c r="AK11" s="676" t="str">
        <f t="shared" si="6"/>
        <v>Margo Peebo</v>
      </c>
      <c r="AL11" s="675">
        <f ca="1">IFERROR(INDEX(Üldreiting!$M:$M,MATCH(AK11,Üldreiting!$H:$H,0)),"")</f>
        <v>658</v>
      </c>
      <c r="AM11" s="676" t="str">
        <f t="shared" si="7"/>
        <v>Ruudi Väärtnõu</v>
      </c>
      <c r="AN11" s="675">
        <f ca="1">IFERROR(INDEX(Üldreiting!$M:$M,MATCH(AM11,Üldreiting!$H:$H,0)),"")</f>
        <v>972</v>
      </c>
      <c r="AO11" s="674" t="str">
        <f t="shared" si="8"/>
        <v/>
      </c>
      <c r="AP11" s="675" t="str">
        <f>IFERROR(INDEX(Üldreiting!$M:$M,MATCH(AO11,Üldreiting!$H:$H,0)),"")</f>
        <v/>
      </c>
      <c r="AQ11" s="676" t="str">
        <f t="shared" si="9"/>
        <v/>
      </c>
      <c r="AR11" s="675" t="str">
        <f>IFERROR(INDEX(Üldreiting!$M:$M,MATCH(AQ11,Üldreiting!$H:$H,0)),"")</f>
        <v/>
      </c>
    </row>
    <row r="12" spans="1:44" x14ac:dyDescent="0.2">
      <c r="A12" s="616">
        <v>6</v>
      </c>
      <c r="B12" s="617" t="s">
        <v>794</v>
      </c>
      <c r="C12" s="784">
        <v>6</v>
      </c>
      <c r="D12" s="785" t="s">
        <v>615</v>
      </c>
      <c r="E12" s="786">
        <v>13</v>
      </c>
      <c r="F12" s="787" t="str">
        <f>B10</f>
        <v>Kadri Arunurm, Kalju Olmre, Urmo Auväärt</v>
      </c>
      <c r="G12" s="784">
        <v>10</v>
      </c>
      <c r="H12" s="785" t="s">
        <v>615</v>
      </c>
      <c r="I12" s="786">
        <v>5</v>
      </c>
      <c r="J12" s="787" t="str">
        <f>B17</f>
        <v>Aimar Poom, Kertu Palm, Valmar Pantšenko</v>
      </c>
      <c r="K12" s="784">
        <v>13</v>
      </c>
      <c r="L12" s="785" t="s">
        <v>615</v>
      </c>
      <c r="M12" s="786">
        <v>3</v>
      </c>
      <c r="N12" s="787" t="str">
        <f>B15</f>
        <v>Enn Kivisaar, Enn Tõppan, Peeter Zirk</v>
      </c>
      <c r="O12" s="784">
        <v>13</v>
      </c>
      <c r="P12" s="785" t="s">
        <v>615</v>
      </c>
      <c r="Q12" s="786">
        <v>12</v>
      </c>
      <c r="R12" s="787" t="str">
        <f>B14</f>
        <v>Anti Alasi, Marta Ruus, Vello Pluum, Ülo Luuka</v>
      </c>
      <c r="S12" s="784">
        <v>5</v>
      </c>
      <c r="T12" s="785" t="s">
        <v>615</v>
      </c>
      <c r="U12" s="786">
        <v>11</v>
      </c>
      <c r="V12" s="787" t="str">
        <f>B11</f>
        <v>Marika Poom, Märten Aardevälja, Siim Oks</v>
      </c>
      <c r="W12" s="784"/>
      <c r="X12" s="785" t="s">
        <v>615</v>
      </c>
      <c r="Y12" s="786"/>
      <c r="Z12" s="787"/>
      <c r="AA12" s="634">
        <f t="shared" si="0"/>
        <v>6</v>
      </c>
      <c r="AB12" s="791">
        <v>24</v>
      </c>
      <c r="AC12" s="784">
        <f t="shared" si="1"/>
        <v>47</v>
      </c>
      <c r="AD12" s="785" t="s">
        <v>615</v>
      </c>
      <c r="AE12" s="789">
        <f t="shared" si="2"/>
        <v>44</v>
      </c>
      <c r="AF12" s="804">
        <f t="shared" si="3"/>
        <v>3</v>
      </c>
      <c r="AH12" s="672">
        <f t="shared" ca="1" si="4"/>
        <v>321</v>
      </c>
      <c r="AI12" s="676" t="str">
        <f t="shared" si="5"/>
        <v>Marika Poom</v>
      </c>
      <c r="AJ12" s="675">
        <f ca="1">IFERROR(INDEX(Üldreiting!$M:$M,MATCH(AI12,Üldreiting!$H:$H,0)),"")</f>
        <v>163</v>
      </c>
      <c r="AK12" s="676" t="str">
        <f t="shared" si="6"/>
        <v>Märten Aardevälja</v>
      </c>
      <c r="AL12" s="675">
        <f ca="1">IFERROR(INDEX(Üldreiting!$M:$M,MATCH(AK12,Üldreiting!$H:$H,0)),"")</f>
        <v>79</v>
      </c>
      <c r="AM12" s="676" t="str">
        <f t="shared" si="7"/>
        <v>Siim Oks</v>
      </c>
      <c r="AN12" s="675">
        <f ca="1">IFERROR(INDEX(Üldreiting!$M:$M,MATCH(AM12,Üldreiting!$H:$H,0)),"")</f>
        <v>79</v>
      </c>
      <c r="AO12" s="674" t="str">
        <f t="shared" si="8"/>
        <v/>
      </c>
      <c r="AP12" s="675" t="str">
        <f>IFERROR(INDEX(Üldreiting!$M:$M,MATCH(AO12,Üldreiting!$H:$H,0)),"")</f>
        <v/>
      </c>
      <c r="AQ12" s="676" t="str">
        <f t="shared" si="9"/>
        <v/>
      </c>
      <c r="AR12" s="675" t="str">
        <f>IFERROR(INDEX(Üldreiting!$M:$M,MATCH(AQ12,Üldreiting!$H:$H,0)),"")</f>
        <v/>
      </c>
    </row>
    <row r="13" spans="1:44" x14ac:dyDescent="0.2">
      <c r="A13" s="616">
        <v>7</v>
      </c>
      <c r="B13" s="617" t="s">
        <v>795</v>
      </c>
      <c r="C13" s="784">
        <v>13</v>
      </c>
      <c r="D13" s="785" t="s">
        <v>615</v>
      </c>
      <c r="E13" s="786">
        <v>5</v>
      </c>
      <c r="F13" s="787" t="str">
        <f>B20</f>
        <v>Jaan Sepp, Mait Metsla, Vladimir Ogneštšikov</v>
      </c>
      <c r="G13" s="784">
        <v>11</v>
      </c>
      <c r="H13" s="785" t="s">
        <v>615</v>
      </c>
      <c r="I13" s="786">
        <v>12</v>
      </c>
      <c r="J13" s="787" t="str">
        <f>B9</f>
        <v>Egert Kingissepp, Mare Kingissepp, Marge Mägi, Silver Kingissepp</v>
      </c>
      <c r="K13" s="784">
        <v>13</v>
      </c>
      <c r="L13" s="785" t="s">
        <v>615</v>
      </c>
      <c r="M13" s="786">
        <v>9</v>
      </c>
      <c r="N13" s="787" t="str">
        <f>B16</f>
        <v>Aigi Orro, Elmo Lageda, Kalle Orro</v>
      </c>
      <c r="O13" s="784">
        <v>8</v>
      </c>
      <c r="P13" s="785" t="s">
        <v>615</v>
      </c>
      <c r="Q13" s="786">
        <v>13</v>
      </c>
      <c r="R13" s="787" t="str">
        <f>B10</f>
        <v>Kadri Arunurm, Kalju Olmre, Urmo Auväärt</v>
      </c>
      <c r="S13" s="784">
        <v>13</v>
      </c>
      <c r="T13" s="785" t="s">
        <v>615</v>
      </c>
      <c r="U13" s="786">
        <v>1</v>
      </c>
      <c r="V13" s="787" t="str">
        <f>B15</f>
        <v>Enn Kivisaar, Enn Tõppan, Peeter Zirk</v>
      </c>
      <c r="W13" s="784"/>
      <c r="X13" s="785" t="s">
        <v>615</v>
      </c>
      <c r="Y13" s="786"/>
      <c r="Z13" s="787"/>
      <c r="AA13" s="634">
        <f t="shared" si="0"/>
        <v>6</v>
      </c>
      <c r="AB13" s="791">
        <v>22</v>
      </c>
      <c r="AC13" s="784">
        <f t="shared" si="1"/>
        <v>58</v>
      </c>
      <c r="AD13" s="785" t="s">
        <v>615</v>
      </c>
      <c r="AE13" s="789">
        <f t="shared" si="2"/>
        <v>40</v>
      </c>
      <c r="AF13" s="804">
        <f t="shared" si="3"/>
        <v>18</v>
      </c>
      <c r="AH13" s="672">
        <f t="shared" ca="1" si="4"/>
        <v>1085</v>
      </c>
      <c r="AI13" s="676" t="str">
        <f t="shared" si="5"/>
        <v>Alari Keedus</v>
      </c>
      <c r="AJ13" s="675">
        <f ca="1">IFERROR(INDEX(Üldreiting!$M:$M,MATCH(AI13,Üldreiting!$H:$H,0)),"")</f>
        <v>320</v>
      </c>
      <c r="AK13" s="676" t="str">
        <f t="shared" si="6"/>
        <v>Jelena Brakina</v>
      </c>
      <c r="AL13" s="675">
        <f ca="1">IFERROR(INDEX(Üldreiting!$M:$M,MATCH(AK13,Üldreiting!$H:$H,0)),"")</f>
        <v>276</v>
      </c>
      <c r="AM13" s="676" t="str">
        <f t="shared" si="7"/>
        <v>Ülo Piik</v>
      </c>
      <c r="AN13" s="675">
        <f ca="1">IFERROR(INDEX(Üldreiting!$M:$M,MATCH(AM13,Üldreiting!$H:$H,0)),"")</f>
        <v>489</v>
      </c>
      <c r="AO13" s="674" t="str">
        <f t="shared" si="8"/>
        <v/>
      </c>
      <c r="AP13" s="675" t="str">
        <f>IFERROR(INDEX(Üldreiting!$M:$M,MATCH(AO13,Üldreiting!$H:$H,0)),"")</f>
        <v/>
      </c>
      <c r="AQ13" s="676" t="str">
        <f t="shared" si="9"/>
        <v/>
      </c>
      <c r="AR13" s="675" t="str">
        <f>IFERROR(INDEX(Üldreiting!$M:$M,MATCH(AQ13,Üldreiting!$H:$H,0)),"")</f>
        <v/>
      </c>
    </row>
    <row r="14" spans="1:44" x14ac:dyDescent="0.2">
      <c r="A14" s="616">
        <v>8</v>
      </c>
      <c r="B14" s="617" t="s">
        <v>798</v>
      </c>
      <c r="C14" s="784">
        <v>1</v>
      </c>
      <c r="D14" s="785" t="s">
        <v>615</v>
      </c>
      <c r="E14" s="786">
        <v>13</v>
      </c>
      <c r="F14" s="787" t="str">
        <f>B9</f>
        <v>Egert Kingissepp, Mare Kingissepp, Marge Mägi, Silver Kingissepp</v>
      </c>
      <c r="G14" s="784">
        <v>13</v>
      </c>
      <c r="H14" s="785" t="s">
        <v>615</v>
      </c>
      <c r="I14" s="786">
        <v>9</v>
      </c>
      <c r="J14" s="787" t="str">
        <f>B20</f>
        <v>Jaan Sepp, Mait Metsla, Vladimir Ogneštšikov</v>
      </c>
      <c r="K14" s="784">
        <v>6</v>
      </c>
      <c r="L14" s="785" t="s">
        <v>615</v>
      </c>
      <c r="M14" s="786">
        <v>13</v>
      </c>
      <c r="N14" s="787" t="str">
        <f>B8</f>
        <v>Maive Sein, Maris Rõõm, Varje Reede</v>
      </c>
      <c r="O14" s="784">
        <v>12</v>
      </c>
      <c r="P14" s="785" t="s">
        <v>615</v>
      </c>
      <c r="Q14" s="786">
        <v>13</v>
      </c>
      <c r="R14" s="787" t="str">
        <f>B12</f>
        <v>Alari Keedus, Jelena Brakina, Ülo Piik</v>
      </c>
      <c r="S14" s="784">
        <v>13</v>
      </c>
      <c r="T14" s="785" t="s">
        <v>615</v>
      </c>
      <c r="U14" s="786">
        <v>12</v>
      </c>
      <c r="V14" s="787" t="str">
        <f>B16</f>
        <v>Aigi Orro, Elmo Lageda, Kalle Orro</v>
      </c>
      <c r="W14" s="784"/>
      <c r="X14" s="785" t="s">
        <v>615</v>
      </c>
      <c r="Y14" s="786"/>
      <c r="Z14" s="787"/>
      <c r="AA14" s="636">
        <f t="shared" si="0"/>
        <v>4</v>
      </c>
      <c r="AB14" s="792">
        <v>26</v>
      </c>
      <c r="AC14" s="784">
        <f t="shared" si="1"/>
        <v>45</v>
      </c>
      <c r="AD14" s="785" t="s">
        <v>615</v>
      </c>
      <c r="AE14" s="789">
        <f t="shared" si="2"/>
        <v>60</v>
      </c>
      <c r="AF14" s="804">
        <f t="shared" si="3"/>
        <v>-15</v>
      </c>
      <c r="AH14" s="672">
        <f t="shared" ca="1" si="4"/>
        <v>688</v>
      </c>
      <c r="AI14" s="676" t="str">
        <f t="shared" si="5"/>
        <v>Anti Alasi</v>
      </c>
      <c r="AJ14" s="675">
        <f ca="1">IFERROR(INDEX(Üldreiting!$M:$M,MATCH(AI14,Üldreiting!$H:$H,0)),"")</f>
        <v>178</v>
      </c>
      <c r="AK14" s="676" t="str">
        <f t="shared" si="6"/>
        <v>Marta Ruus</v>
      </c>
      <c r="AL14" s="675">
        <f ca="1">IFERROR(INDEX(Üldreiting!$M:$M,MATCH(AK14,Üldreiting!$H:$H,0)),"")</f>
        <v>371</v>
      </c>
      <c r="AM14" s="676" t="str">
        <f t="shared" si="7"/>
        <v>Vello Pluum, Ülo Luuka</v>
      </c>
      <c r="AN14" s="675" t="str">
        <f>IFERROR(INDEX(Üldreiting!$M:$M,MATCH(AM14,Üldreiting!$H:$H,0)),"")</f>
        <v/>
      </c>
      <c r="AO14" s="674" t="str">
        <f t="shared" si="8"/>
        <v>Vello Pluum</v>
      </c>
      <c r="AP14" s="675">
        <f ca="1">IFERROR(INDEX(Üldreiting!$M:$M,MATCH(AO14,Üldreiting!$H:$H,0)),"")</f>
        <v>70</v>
      </c>
      <c r="AQ14" s="676" t="str">
        <f t="shared" si="9"/>
        <v>Ülo Luuka</v>
      </c>
      <c r="AR14" s="675">
        <f ca="1">IFERROR(INDEX(Üldreiting!$M:$M,MATCH(AQ14,Üldreiting!$H:$H,0)),"")</f>
        <v>69</v>
      </c>
    </row>
    <row r="15" spans="1:44" x14ac:dyDescent="0.2">
      <c r="A15" s="616">
        <v>9</v>
      </c>
      <c r="B15" s="617" t="s">
        <v>796</v>
      </c>
      <c r="C15" s="784">
        <v>13</v>
      </c>
      <c r="D15" s="785" t="s">
        <v>615</v>
      </c>
      <c r="E15" s="786">
        <v>6</v>
      </c>
      <c r="F15" s="787" t="str">
        <f>B17</f>
        <v>Aimar Poom, Kertu Palm, Valmar Pantšenko</v>
      </c>
      <c r="G15" s="784">
        <v>4</v>
      </c>
      <c r="H15" s="785" t="s">
        <v>615</v>
      </c>
      <c r="I15" s="786">
        <v>13</v>
      </c>
      <c r="J15" s="787" t="str">
        <f>B10</f>
        <v>Kadri Arunurm, Kalju Olmre, Urmo Auväärt</v>
      </c>
      <c r="K15" s="784">
        <v>3</v>
      </c>
      <c r="L15" s="785" t="s">
        <v>615</v>
      </c>
      <c r="M15" s="786">
        <v>13</v>
      </c>
      <c r="N15" s="787" t="str">
        <f>B12</f>
        <v>Alari Keedus, Jelena Brakina, Ülo Piik</v>
      </c>
      <c r="O15" s="784">
        <v>13</v>
      </c>
      <c r="P15" s="785" t="s">
        <v>615</v>
      </c>
      <c r="Q15" s="786">
        <v>11</v>
      </c>
      <c r="R15" s="787" t="str">
        <f>B20</f>
        <v>Jaan Sepp, Mait Metsla, Vladimir Ogneštšikov</v>
      </c>
      <c r="S15" s="784">
        <v>1</v>
      </c>
      <c r="T15" s="785" t="s">
        <v>615</v>
      </c>
      <c r="U15" s="786">
        <v>13</v>
      </c>
      <c r="V15" s="787" t="str">
        <f>B13</f>
        <v>Janek Kiisk, Margo Peebo, Ruudi Väärtnõu</v>
      </c>
      <c r="W15" s="784"/>
      <c r="X15" s="785" t="s">
        <v>615</v>
      </c>
      <c r="Y15" s="786"/>
      <c r="Z15" s="787"/>
      <c r="AA15" s="636">
        <f t="shared" si="0"/>
        <v>4</v>
      </c>
      <c r="AB15" s="792">
        <v>24</v>
      </c>
      <c r="AC15" s="784">
        <f t="shared" si="1"/>
        <v>34</v>
      </c>
      <c r="AD15" s="785" t="s">
        <v>615</v>
      </c>
      <c r="AE15" s="789">
        <f t="shared" si="2"/>
        <v>56</v>
      </c>
      <c r="AF15" s="804">
        <f t="shared" si="3"/>
        <v>-22</v>
      </c>
      <c r="AH15" s="672">
        <f t="shared" ca="1" si="4"/>
        <v>1908</v>
      </c>
      <c r="AI15" s="676" t="str">
        <f t="shared" si="5"/>
        <v>Aimar Poom</v>
      </c>
      <c r="AJ15" s="675">
        <f ca="1">IFERROR(INDEX(Üldreiting!$M:$M,MATCH(AI15,Üldreiting!$H:$H,0)),"")</f>
        <v>701</v>
      </c>
      <c r="AK15" s="676" t="str">
        <f t="shared" si="6"/>
        <v>Kertu Palm</v>
      </c>
      <c r="AL15" s="675">
        <f ca="1">IFERROR(INDEX(Üldreiting!$M:$M,MATCH(AK15,Üldreiting!$H:$H,0)),"")</f>
        <v>627</v>
      </c>
      <c r="AM15" s="676" t="str">
        <f t="shared" si="7"/>
        <v>Valmar Pantšenko</v>
      </c>
      <c r="AN15" s="675">
        <f ca="1">IFERROR(INDEX(Üldreiting!$M:$M,MATCH(AM15,Üldreiting!$H:$H,0)),"")</f>
        <v>580</v>
      </c>
      <c r="AO15" s="674" t="str">
        <f t="shared" si="8"/>
        <v/>
      </c>
      <c r="AP15" s="675" t="str">
        <f>IFERROR(INDEX(Üldreiting!$M:$M,MATCH(AO15,Üldreiting!$H:$H,0)),"")</f>
        <v/>
      </c>
      <c r="AQ15" s="676" t="str">
        <f t="shared" si="9"/>
        <v/>
      </c>
      <c r="AR15" s="675" t="str">
        <f>IFERROR(INDEX(Üldreiting!$M:$M,MATCH(AQ15,Üldreiting!$H:$H,0)),"")</f>
        <v/>
      </c>
    </row>
    <row r="16" spans="1:44" x14ac:dyDescent="0.2">
      <c r="A16" s="616">
        <v>10</v>
      </c>
      <c r="B16" s="617" t="s">
        <v>777</v>
      </c>
      <c r="C16" s="784">
        <v>8</v>
      </c>
      <c r="D16" s="785" t="s">
        <v>615</v>
      </c>
      <c r="E16" s="786">
        <v>10</v>
      </c>
      <c r="F16" s="787" t="str">
        <f>B11</f>
        <v>Marika Poom, Märten Aardevälja, Siim Oks</v>
      </c>
      <c r="G16" s="784">
        <v>13</v>
      </c>
      <c r="H16" s="785" t="s">
        <v>615</v>
      </c>
      <c r="I16" s="786">
        <v>11</v>
      </c>
      <c r="J16" s="787" t="str">
        <f>B19</f>
        <v>Andres Veski, Kenneth Muusikus, Svetlana Veski</v>
      </c>
      <c r="K16" s="784">
        <v>9</v>
      </c>
      <c r="L16" s="785" t="s">
        <v>615</v>
      </c>
      <c r="M16" s="786">
        <v>13</v>
      </c>
      <c r="N16" s="787" t="str">
        <f>B13</f>
        <v>Janek Kiisk, Margo Peebo, Ruudi Väärtnõu</v>
      </c>
      <c r="O16" s="784">
        <v>13</v>
      </c>
      <c r="P16" s="785" t="s">
        <v>615</v>
      </c>
      <c r="Q16" s="786">
        <v>8</v>
      </c>
      <c r="R16" s="787" t="str">
        <f>B18</f>
        <v>Henri Mitt, Johannes Neiland, Matti Vinni</v>
      </c>
      <c r="S16" s="784">
        <v>12</v>
      </c>
      <c r="T16" s="785" t="s">
        <v>615</v>
      </c>
      <c r="U16" s="786">
        <v>13</v>
      </c>
      <c r="V16" s="787" t="str">
        <f>B14</f>
        <v>Anti Alasi, Marta Ruus, Vello Pluum, Ülo Luuka</v>
      </c>
      <c r="W16" s="784"/>
      <c r="X16" s="785" t="s">
        <v>615</v>
      </c>
      <c r="Y16" s="786"/>
      <c r="Z16" s="787"/>
      <c r="AA16" s="636">
        <f t="shared" si="0"/>
        <v>4</v>
      </c>
      <c r="AB16" s="792">
        <v>20</v>
      </c>
      <c r="AC16" s="784">
        <f t="shared" si="1"/>
        <v>55</v>
      </c>
      <c r="AD16" s="785" t="s">
        <v>615</v>
      </c>
      <c r="AE16" s="789">
        <f t="shared" si="2"/>
        <v>55</v>
      </c>
      <c r="AF16" s="804">
        <f t="shared" si="3"/>
        <v>0</v>
      </c>
      <c r="AH16" s="672">
        <f t="shared" ca="1" si="4"/>
        <v>798</v>
      </c>
      <c r="AI16" s="676" t="str">
        <f t="shared" si="5"/>
        <v>Henri Mitt</v>
      </c>
      <c r="AJ16" s="675">
        <f ca="1">IFERROR(INDEX(Üldreiting!$M:$M,MATCH(AI16,Üldreiting!$H:$H,0)),"")</f>
        <v>227</v>
      </c>
      <c r="AK16" s="676" t="str">
        <f t="shared" si="6"/>
        <v>Johannes Neiland</v>
      </c>
      <c r="AL16" s="675">
        <f ca="1">IFERROR(INDEX(Üldreiting!$M:$M,MATCH(AK16,Üldreiting!$H:$H,0)),"")</f>
        <v>397</v>
      </c>
      <c r="AM16" s="676" t="str">
        <f t="shared" si="7"/>
        <v>Matti Vinni</v>
      </c>
      <c r="AN16" s="675">
        <f ca="1">IFERROR(INDEX(Üldreiting!$M:$M,MATCH(AM16,Üldreiting!$H:$H,0)),"")</f>
        <v>174</v>
      </c>
      <c r="AO16" s="674" t="str">
        <f t="shared" si="8"/>
        <v/>
      </c>
      <c r="AP16" s="675" t="str">
        <f>IFERROR(INDEX(Üldreiting!$M:$M,MATCH(AO16,Üldreiting!$H:$H,0)),"")</f>
        <v/>
      </c>
      <c r="AQ16" s="676" t="str">
        <f t="shared" si="9"/>
        <v/>
      </c>
      <c r="AR16" s="675" t="str">
        <f>IFERROR(INDEX(Üldreiting!$M:$M,MATCH(AQ16,Üldreiting!$H:$H,0)),"")</f>
        <v/>
      </c>
    </row>
    <row r="17" spans="1:46" x14ac:dyDescent="0.2">
      <c r="A17" s="616">
        <v>11</v>
      </c>
      <c r="B17" s="234" t="s">
        <v>654</v>
      </c>
      <c r="C17" s="784">
        <v>6</v>
      </c>
      <c r="D17" s="785" t="s">
        <v>615</v>
      </c>
      <c r="E17" s="786">
        <v>13</v>
      </c>
      <c r="F17" s="787" t="str">
        <f>B15</f>
        <v>Enn Kivisaar, Enn Tõppan, Peeter Zirk</v>
      </c>
      <c r="G17" s="784">
        <v>5</v>
      </c>
      <c r="H17" s="785" t="s">
        <v>615</v>
      </c>
      <c r="I17" s="786">
        <v>10</v>
      </c>
      <c r="J17" s="787" t="str">
        <f>B12</f>
        <v>Alari Keedus, Jelena Brakina, Ülo Piik</v>
      </c>
      <c r="K17" s="784">
        <v>5</v>
      </c>
      <c r="L17" s="785" t="s">
        <v>615</v>
      </c>
      <c r="M17" s="786">
        <v>11</v>
      </c>
      <c r="N17" s="787" t="str">
        <f>B20</f>
        <v>Jaan Sepp, Mait Metsla, Vladimir Ogneštšikov</v>
      </c>
      <c r="O17" s="784">
        <v>13</v>
      </c>
      <c r="P17" s="785" t="s">
        <v>615</v>
      </c>
      <c r="Q17" s="786">
        <v>12</v>
      </c>
      <c r="R17" s="787" t="str">
        <f>B19</f>
        <v>Andres Veski, Kenneth Muusikus, Svetlana Veski</v>
      </c>
      <c r="S17" s="784">
        <v>13</v>
      </c>
      <c r="T17" s="785" t="s">
        <v>615</v>
      </c>
      <c r="U17" s="786">
        <v>4</v>
      </c>
      <c r="V17" s="787" t="str">
        <f>B18</f>
        <v>Henri Mitt, Johannes Neiland, Matti Vinni</v>
      </c>
      <c r="W17" s="784"/>
      <c r="X17" s="785" t="s">
        <v>615</v>
      </c>
      <c r="Y17" s="786"/>
      <c r="Z17" s="787"/>
      <c r="AA17" s="636">
        <f t="shared" si="0"/>
        <v>4</v>
      </c>
      <c r="AB17" s="792">
        <v>16</v>
      </c>
      <c r="AC17" s="784">
        <f t="shared" si="1"/>
        <v>42</v>
      </c>
      <c r="AD17" s="785" t="s">
        <v>615</v>
      </c>
      <c r="AE17" s="789">
        <f t="shared" si="2"/>
        <v>50</v>
      </c>
      <c r="AF17" s="804">
        <f t="shared" si="3"/>
        <v>-8</v>
      </c>
      <c r="AH17" s="672">
        <f t="shared" ca="1" si="4"/>
        <v>2443</v>
      </c>
      <c r="AI17" s="676" t="str">
        <f t="shared" si="5"/>
        <v>Aigi Orro</v>
      </c>
      <c r="AJ17" s="675">
        <f ca="1">IFERROR(INDEX(Üldreiting!$M:$M,MATCH(AI17,Üldreiting!$H:$H,0)),"")</f>
        <v>918.5</v>
      </c>
      <c r="AK17" s="676" t="str">
        <f t="shared" si="6"/>
        <v>Elmo Lageda</v>
      </c>
      <c r="AL17" s="675">
        <f ca="1">IFERROR(INDEX(Üldreiting!$M:$M,MATCH(AK17,Üldreiting!$H:$H,0)),"")</f>
        <v>606</v>
      </c>
      <c r="AM17" s="676" t="str">
        <f t="shared" si="7"/>
        <v>Kalle Orro</v>
      </c>
      <c r="AN17" s="675">
        <f ca="1">IFERROR(INDEX(Üldreiting!$M:$M,MATCH(AM17,Üldreiting!$H:$H,0)),"")</f>
        <v>918.5</v>
      </c>
      <c r="AO17" s="674" t="str">
        <f t="shared" si="8"/>
        <v/>
      </c>
      <c r="AP17" s="675" t="str">
        <f>IFERROR(INDEX(Üldreiting!$M:$M,MATCH(AO17,Üldreiting!$H:$H,0)),"")</f>
        <v/>
      </c>
      <c r="AQ17" s="676" t="str">
        <f t="shared" si="9"/>
        <v/>
      </c>
      <c r="AR17" s="675" t="str">
        <f>IFERROR(INDEX(Üldreiting!$M:$M,MATCH(AQ17,Üldreiting!$H:$H,0)),"")</f>
        <v/>
      </c>
    </row>
    <row r="18" spans="1:46" x14ac:dyDescent="0.2">
      <c r="A18" s="616">
        <v>12</v>
      </c>
      <c r="B18" s="52" t="s">
        <v>797</v>
      </c>
      <c r="C18" s="784">
        <v>8</v>
      </c>
      <c r="D18" s="785" t="s">
        <v>615</v>
      </c>
      <c r="E18" s="786">
        <v>13</v>
      </c>
      <c r="F18" s="787" t="str">
        <f>B8</f>
        <v>Maive Sein, Maris Rõõm, Varje Reede</v>
      </c>
      <c r="G18" s="784">
        <v>9</v>
      </c>
      <c r="H18" s="785" t="s">
        <v>615</v>
      </c>
      <c r="I18" s="786">
        <v>11</v>
      </c>
      <c r="J18" s="787" t="str">
        <f>B11</f>
        <v>Marika Poom, Märten Aardevälja, Siim Oks</v>
      </c>
      <c r="K18" s="784">
        <v>13</v>
      </c>
      <c r="L18" s="785" t="s">
        <v>615</v>
      </c>
      <c r="M18" s="786">
        <v>5</v>
      </c>
      <c r="N18" s="787" t="str">
        <f>B19</f>
        <v>Andres Veski, Kenneth Muusikus, Svetlana Veski</v>
      </c>
      <c r="O18" s="784">
        <v>8</v>
      </c>
      <c r="P18" s="785" t="s">
        <v>615</v>
      </c>
      <c r="Q18" s="786">
        <v>13</v>
      </c>
      <c r="R18" s="787" t="str">
        <f>B16</f>
        <v>Aigi Orro, Elmo Lageda, Kalle Orro</v>
      </c>
      <c r="S18" s="784">
        <v>4</v>
      </c>
      <c r="T18" s="785" t="s">
        <v>615</v>
      </c>
      <c r="U18" s="786">
        <v>13</v>
      </c>
      <c r="V18" s="787" t="str">
        <f>B17</f>
        <v>Aimar Poom, Kertu Palm, Valmar Pantšenko</v>
      </c>
      <c r="W18" s="784"/>
      <c r="X18" s="785" t="s">
        <v>615</v>
      </c>
      <c r="Y18" s="786"/>
      <c r="Z18" s="787"/>
      <c r="AA18" s="634">
        <f t="shared" si="0"/>
        <v>2</v>
      </c>
      <c r="AB18" s="791">
        <v>24</v>
      </c>
      <c r="AC18" s="784">
        <f t="shared" si="1"/>
        <v>42</v>
      </c>
      <c r="AD18" s="785" t="s">
        <v>615</v>
      </c>
      <c r="AE18" s="789">
        <f t="shared" si="2"/>
        <v>55</v>
      </c>
      <c r="AF18" s="804">
        <f t="shared" si="3"/>
        <v>-13</v>
      </c>
      <c r="AH18" s="672">
        <f t="shared" ca="1" si="4"/>
        <v>156</v>
      </c>
      <c r="AI18" s="676" t="str">
        <f t="shared" si="5"/>
        <v>Enn Kivisaar</v>
      </c>
      <c r="AJ18" s="675">
        <f ca="1">IFERROR(INDEX(Üldreiting!$M:$M,MATCH(AI18,Üldreiting!$H:$H,0)),"")</f>
        <v>52</v>
      </c>
      <c r="AK18" s="676" t="str">
        <f t="shared" si="6"/>
        <v>Enn Tõppan</v>
      </c>
      <c r="AL18" s="675">
        <f ca="1">IFERROR(INDEX(Üldreiting!$M:$M,MATCH(AK18,Üldreiting!$H:$H,0)),"")</f>
        <v>52</v>
      </c>
      <c r="AM18" s="676" t="str">
        <f t="shared" si="7"/>
        <v>Peeter Zirk</v>
      </c>
      <c r="AN18" s="675">
        <f ca="1">IFERROR(INDEX(Üldreiting!$M:$M,MATCH(AM18,Üldreiting!$H:$H,0)),"")</f>
        <v>52</v>
      </c>
      <c r="AO18" s="674" t="str">
        <f t="shared" si="8"/>
        <v/>
      </c>
      <c r="AP18" s="675" t="str">
        <f>IFERROR(INDEX(Üldreiting!$M:$M,MATCH(AO18,Üldreiting!$H:$H,0)),"")</f>
        <v/>
      </c>
      <c r="AQ18" s="676" t="str">
        <f t="shared" si="9"/>
        <v/>
      </c>
      <c r="AR18" s="675" t="str">
        <f>IFERROR(INDEX(Üldreiting!$M:$M,MATCH(AQ18,Üldreiting!$H:$H,0)),"")</f>
        <v/>
      </c>
    </row>
    <row r="19" spans="1:46" s="415" customFormat="1" x14ac:dyDescent="0.2">
      <c r="A19" s="616">
        <v>13</v>
      </c>
      <c r="B19" s="234" t="s">
        <v>781</v>
      </c>
      <c r="C19" s="784">
        <v>8</v>
      </c>
      <c r="D19" s="785" t="s">
        <v>615</v>
      </c>
      <c r="E19" s="786">
        <v>13</v>
      </c>
      <c r="F19" s="787" t="str">
        <f>B7</f>
        <v>Hardo Sokk, Jaan Joonas, Marek Kolk</v>
      </c>
      <c r="G19" s="784">
        <v>11</v>
      </c>
      <c r="H19" s="785" t="s">
        <v>615</v>
      </c>
      <c r="I19" s="786">
        <v>13</v>
      </c>
      <c r="J19" s="787" t="str">
        <f>B16</f>
        <v>Aigi Orro, Elmo Lageda, Kalle Orro</v>
      </c>
      <c r="K19" s="784">
        <v>5</v>
      </c>
      <c r="L19" s="785" t="s">
        <v>615</v>
      </c>
      <c r="M19" s="786">
        <v>13</v>
      </c>
      <c r="N19" s="787" t="str">
        <f>B18</f>
        <v>Henri Mitt, Johannes Neiland, Matti Vinni</v>
      </c>
      <c r="O19" s="784">
        <v>12</v>
      </c>
      <c r="P19" s="785" t="s">
        <v>615</v>
      </c>
      <c r="Q19" s="786">
        <v>13</v>
      </c>
      <c r="R19" s="787" t="str">
        <f>B17</f>
        <v>Aimar Poom, Kertu Palm, Valmar Pantšenko</v>
      </c>
      <c r="S19" s="784">
        <v>13</v>
      </c>
      <c r="T19" s="785" t="s">
        <v>615</v>
      </c>
      <c r="U19" s="786">
        <v>3</v>
      </c>
      <c r="V19" s="787" t="str">
        <f>B20</f>
        <v>Jaan Sepp, Mait Metsla, Vladimir Ogneštšikov</v>
      </c>
      <c r="W19" s="784"/>
      <c r="X19" s="785" t="s">
        <v>615</v>
      </c>
      <c r="Y19" s="786"/>
      <c r="Z19" s="787"/>
      <c r="AA19" s="634">
        <f t="shared" ref="AA19:AA20" si="10">2*(IF(C19&gt;E19,1)+IF(G19&gt;I19,1)+IF(K19&gt;M19,1)+IF(O19&gt;Q19,1)+IF(S19&gt;U19,1)+IF(W19&gt;Y19,1))</f>
        <v>2</v>
      </c>
      <c r="AB19" s="791">
        <v>22</v>
      </c>
      <c r="AC19" s="784">
        <f t="shared" ref="AC19:AC20" si="11">C19+G19+K19+O19+S19+W19</f>
        <v>49</v>
      </c>
      <c r="AD19" s="785" t="s">
        <v>615</v>
      </c>
      <c r="AE19" s="789">
        <f t="shared" ref="AE19:AE20" si="12">E19+I19+M19+Q19+U19+Y19</f>
        <v>55</v>
      </c>
      <c r="AF19" s="804">
        <f t="shared" ref="AF19:AF20" si="13">AC19-AE19</f>
        <v>-6</v>
      </c>
      <c r="AH19" s="672">
        <f t="shared" ca="1" si="4"/>
        <v>938</v>
      </c>
      <c r="AI19" s="676" t="str">
        <f t="shared" si="5"/>
        <v>Jaan Sepp</v>
      </c>
      <c r="AJ19" s="675">
        <f ca="1">IFERROR(INDEX(Üldreiting!$M:$M,MATCH(AI19,Üldreiting!$H:$H,0)),"")</f>
        <v>386</v>
      </c>
      <c r="AK19" s="676" t="str">
        <f t="shared" si="6"/>
        <v>Mait Metsla</v>
      </c>
      <c r="AL19" s="675">
        <f ca="1">IFERROR(INDEX(Üldreiting!$M:$M,MATCH(AK19,Üldreiting!$H:$H,0)),"")</f>
        <v>502</v>
      </c>
      <c r="AM19" s="676" t="str">
        <f t="shared" si="7"/>
        <v>Vladimir Ogneštšikov</v>
      </c>
      <c r="AN19" s="675">
        <f ca="1">IFERROR(INDEX(Üldreiting!$M:$M,MATCH(AM19,Üldreiting!$H:$H,0)),"")</f>
        <v>50</v>
      </c>
      <c r="AO19" s="674" t="str">
        <f t="shared" si="8"/>
        <v/>
      </c>
      <c r="AP19" s="675" t="str">
        <f>IFERROR(INDEX(Üldreiting!$M:$M,MATCH(AO19,Üldreiting!$H:$H,0)),"")</f>
        <v/>
      </c>
      <c r="AQ19" s="676" t="str">
        <f t="shared" si="9"/>
        <v/>
      </c>
      <c r="AR19" s="675" t="str">
        <f>IFERROR(INDEX(Üldreiting!$M:$M,MATCH(AQ19,Üldreiting!$H:$H,0)),"")</f>
        <v/>
      </c>
      <c r="AS19" s="69"/>
      <c r="AT19" s="69"/>
    </row>
    <row r="20" spans="1:46" s="415" customFormat="1" x14ac:dyDescent="0.2">
      <c r="A20" s="616">
        <v>14</v>
      </c>
      <c r="B20" s="265" t="s">
        <v>941</v>
      </c>
      <c r="C20" s="784">
        <v>5</v>
      </c>
      <c r="D20" s="785" t="s">
        <v>615</v>
      </c>
      <c r="E20" s="786">
        <v>13</v>
      </c>
      <c r="F20" s="787" t="str">
        <f>B13</f>
        <v>Janek Kiisk, Margo Peebo, Ruudi Väärtnõu</v>
      </c>
      <c r="G20" s="784">
        <v>9</v>
      </c>
      <c r="H20" s="785" t="s">
        <v>615</v>
      </c>
      <c r="I20" s="786">
        <v>13</v>
      </c>
      <c r="J20" s="787" t="str">
        <f>B14</f>
        <v>Anti Alasi, Marta Ruus, Vello Pluum, Ülo Luuka</v>
      </c>
      <c r="K20" s="784">
        <v>11</v>
      </c>
      <c r="L20" s="785" t="s">
        <v>615</v>
      </c>
      <c r="M20" s="786">
        <v>5</v>
      </c>
      <c r="N20" s="787" t="str">
        <f>B17</f>
        <v>Aimar Poom, Kertu Palm, Valmar Pantšenko</v>
      </c>
      <c r="O20" s="784">
        <v>11</v>
      </c>
      <c r="P20" s="785" t="s">
        <v>615</v>
      </c>
      <c r="Q20" s="786">
        <v>13</v>
      </c>
      <c r="R20" s="787" t="str">
        <f>B15</f>
        <v>Enn Kivisaar, Enn Tõppan, Peeter Zirk</v>
      </c>
      <c r="S20" s="784">
        <v>3</v>
      </c>
      <c r="T20" s="785" t="s">
        <v>615</v>
      </c>
      <c r="U20" s="786">
        <v>13</v>
      </c>
      <c r="V20" s="787" t="str">
        <f>B19</f>
        <v>Andres Veski, Kenneth Muusikus, Svetlana Veski</v>
      </c>
      <c r="W20" s="784"/>
      <c r="X20" s="785" t="s">
        <v>615</v>
      </c>
      <c r="Y20" s="786"/>
      <c r="Z20" s="787"/>
      <c r="AA20" s="634">
        <f t="shared" si="10"/>
        <v>2</v>
      </c>
      <c r="AB20" s="791">
        <v>20</v>
      </c>
      <c r="AC20" s="784">
        <f t="shared" si="11"/>
        <v>39</v>
      </c>
      <c r="AD20" s="785" t="s">
        <v>615</v>
      </c>
      <c r="AE20" s="789">
        <f t="shared" si="12"/>
        <v>57</v>
      </c>
      <c r="AF20" s="804">
        <f t="shared" si="13"/>
        <v>-18</v>
      </c>
      <c r="AH20" s="672">
        <f t="shared" ca="1" si="4"/>
        <v>1277</v>
      </c>
      <c r="AI20" s="676" t="str">
        <f t="shared" si="5"/>
        <v>Andres Veski</v>
      </c>
      <c r="AJ20" s="675">
        <f ca="1">IFERROR(INDEX(Üldreiting!$M:$M,MATCH(AI20,Üldreiting!$H:$H,0)),"")</f>
        <v>320.5</v>
      </c>
      <c r="AK20" s="676" t="str">
        <f t="shared" si="6"/>
        <v>Kenneth Muusikus</v>
      </c>
      <c r="AL20" s="675">
        <f ca="1">IFERROR(INDEX(Üldreiting!$M:$M,MATCH(AK20,Üldreiting!$H:$H,0)),"")</f>
        <v>555</v>
      </c>
      <c r="AM20" s="676" t="str">
        <f t="shared" si="7"/>
        <v>Svetlana Veski</v>
      </c>
      <c r="AN20" s="675">
        <f ca="1">IFERROR(INDEX(Üldreiting!$M:$M,MATCH(AM20,Üldreiting!$H:$H,0)),"")</f>
        <v>401.5</v>
      </c>
      <c r="AO20" s="674" t="str">
        <f t="shared" si="8"/>
        <v/>
      </c>
      <c r="AP20" s="675" t="str">
        <f>IFERROR(INDEX(Üldreiting!$M:$M,MATCH(AO20,Üldreiting!$H:$H,0)),"")</f>
        <v/>
      </c>
      <c r="AQ20" s="676" t="str">
        <f t="shared" si="9"/>
        <v/>
      </c>
      <c r="AR20" s="675" t="str">
        <f>IFERROR(INDEX(Üldreiting!$M:$M,MATCH(AQ20,Üldreiting!$H:$H,0)),"")</f>
        <v/>
      </c>
      <c r="AS20" s="69"/>
      <c r="AT20" s="69"/>
    </row>
    <row r="21" spans="1:46" s="415" customFormat="1" hidden="1" x14ac:dyDescent="0.2">
      <c r="A21" s="606"/>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H21" s="69"/>
      <c r="AI21" s="69"/>
      <c r="AJ21" s="69"/>
      <c r="AK21" s="69"/>
      <c r="AL21" s="69"/>
      <c r="AM21" s="69"/>
      <c r="AN21" s="69"/>
      <c r="AO21" s="69"/>
      <c r="AP21" s="69"/>
      <c r="AQ21" s="69"/>
      <c r="AR21" s="69"/>
      <c r="AS21" s="69"/>
      <c r="AT21" s="69"/>
    </row>
    <row r="22" spans="1:46" s="415" customFormat="1" hidden="1" x14ac:dyDescent="0.2">
      <c r="A22" s="606"/>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H22" s="69"/>
      <c r="AI22" s="69"/>
      <c r="AJ22" s="69"/>
      <c r="AK22" s="69"/>
      <c r="AL22" s="69"/>
      <c r="AM22" s="69"/>
      <c r="AN22" s="69"/>
      <c r="AO22" s="69"/>
      <c r="AP22" s="69"/>
      <c r="AQ22" s="69"/>
      <c r="AR22" s="69"/>
      <c r="AS22" s="69"/>
      <c r="AT22" s="69"/>
    </row>
    <row r="23" spans="1:46" s="415" customFormat="1" hidden="1" x14ac:dyDescent="0.2">
      <c r="A23" s="606"/>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H23" s="69"/>
      <c r="AI23" s="69"/>
      <c r="AJ23" s="69"/>
      <c r="AK23" s="69"/>
      <c r="AL23" s="69"/>
      <c r="AM23" s="69"/>
      <c r="AN23" s="69"/>
      <c r="AO23" s="69"/>
      <c r="AP23" s="69"/>
      <c r="AQ23" s="69"/>
      <c r="AR23" s="69"/>
      <c r="AS23" s="69"/>
      <c r="AT23" s="69"/>
    </row>
    <row r="24" spans="1:46" s="415" customFormat="1" hidden="1" x14ac:dyDescent="0.2">
      <c r="A24" s="606"/>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H24" s="69"/>
      <c r="AI24" s="69"/>
      <c r="AJ24" s="69"/>
      <c r="AK24" s="69"/>
      <c r="AL24" s="69"/>
      <c r="AM24" s="69"/>
      <c r="AN24" s="69"/>
      <c r="AO24" s="69"/>
      <c r="AP24" s="69"/>
      <c r="AQ24" s="69"/>
      <c r="AR24" s="69"/>
      <c r="AS24" s="69"/>
      <c r="AT24" s="69"/>
    </row>
    <row r="25" spans="1:46" s="415" customFormat="1" hidden="1" x14ac:dyDescent="0.2">
      <c r="A25" s="606"/>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H25" s="69"/>
      <c r="AI25" s="69"/>
      <c r="AJ25" s="69"/>
      <c r="AK25" s="69"/>
      <c r="AL25" s="69"/>
      <c r="AM25" s="69"/>
      <c r="AN25" s="69"/>
      <c r="AO25" s="69"/>
      <c r="AP25" s="69"/>
      <c r="AQ25" s="69"/>
      <c r="AR25" s="69"/>
      <c r="AS25" s="69"/>
      <c r="AT25" s="69"/>
    </row>
    <row r="26" spans="1:46" s="415" customFormat="1"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H26" s="69"/>
      <c r="AI26" s="69"/>
      <c r="AJ26" s="69"/>
      <c r="AK26" s="69"/>
      <c r="AL26" s="69"/>
      <c r="AM26" s="69"/>
      <c r="AN26" s="69"/>
      <c r="AO26" s="69"/>
      <c r="AP26" s="69"/>
      <c r="AQ26" s="69"/>
      <c r="AR26" s="69"/>
      <c r="AS26" s="69"/>
      <c r="AT26" s="69"/>
    </row>
    <row r="27" spans="1:46"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row>
    <row r="28" spans="1:46"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row>
    <row r="29" spans="1:46"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row>
    <row r="30" spans="1:46"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row>
    <row r="31" spans="1:46"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row>
    <row r="32" spans="1:46"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row>
    <row r="33" spans="1:32" s="69" customFormat="1"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row>
    <row r="34" spans="1:32" s="69" customFormat="1"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row>
    <row r="35" spans="1:32" s="69" customFormat="1"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row>
    <row r="36" spans="1:32" s="69" customFormat="1"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row>
    <row r="37" spans="1:32" s="69" customFormat="1"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row>
    <row r="38" spans="1:32" s="69" customFormat="1"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1:32" s="69" customFormat="1"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row>
    <row r="40" spans="1:32" s="69" customFormat="1"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row>
    <row r="41" spans="1:32" s="69" customFormat="1"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row>
    <row r="42" spans="1:32" s="69" customFormat="1"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row>
    <row r="43" spans="1:32" s="69" customFormat="1"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row>
    <row r="44" spans="1:32" s="69" customFormat="1"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row>
    <row r="45" spans="1:32" s="69" customFormat="1"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row>
    <row r="46" spans="1:32" s="69" customFormat="1"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row>
    <row r="47" spans="1:32" s="69" customFormat="1"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row>
    <row r="48" spans="1:32" s="69" customFormat="1"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row>
    <row r="49" spans="1:32" s="69" customFormat="1"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row>
    <row r="50" spans="1:32" s="69" customFormat="1"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row>
    <row r="51" spans="1:32" s="69" customFormat="1"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row>
    <row r="52" spans="1:32" s="69" customFormat="1"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row>
    <row r="53" spans="1:32" s="69" customFormat="1"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row>
    <row r="54" spans="1:32" s="69" customFormat="1"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row>
    <row r="55" spans="1:32" s="69" customFormat="1"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row>
    <row r="56" spans="1:32" s="69" customFormat="1"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row>
    <row r="57" spans="1:32" s="69" customFormat="1"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s="69" customFormat="1"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row>
    <row r="59" spans="1:32" s="69" customFormat="1"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row>
    <row r="60" spans="1:32" s="69" customFormat="1"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row>
    <row r="61" spans="1:32" s="69" customFormat="1"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row>
    <row r="62" spans="1:32" s="69" customFormat="1"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row>
    <row r="63" spans="1:32" s="69" customFormat="1"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row>
    <row r="64" spans="1:32" s="69" customFormat="1"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row>
    <row r="65" spans="1:32" s="69" customFormat="1"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row>
    <row r="66" spans="1:32" s="69" customFormat="1"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row>
    <row r="67" spans="1:32" s="69" customFormat="1"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row>
    <row r="68" spans="1:32" s="69" customFormat="1"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row>
    <row r="69" spans="1:32" s="69" customFormat="1"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row>
    <row r="70" spans="1:32" s="69" customFormat="1"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row>
    <row r="71" spans="1:32" s="69" customFormat="1"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row>
    <row r="72" spans="1:32" s="69" customFormat="1"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row>
    <row r="73" spans="1:32" s="69" customFormat="1"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row>
    <row r="74" spans="1:32" s="69" customFormat="1"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row>
    <row r="75" spans="1:32" s="69" customFormat="1"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row>
    <row r="76" spans="1:32" s="69" customFormat="1"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row>
    <row r="77" spans="1:32" s="69" customFormat="1"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row>
    <row r="78" spans="1:32" s="69" customFormat="1"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row>
    <row r="79" spans="1:32" s="69" customFormat="1"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row>
    <row r="80" spans="1:32" s="69" customFormat="1"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row>
    <row r="81" spans="1:32" s="69" customFormat="1"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row>
    <row r="82" spans="1:32" s="69" customFormat="1"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row>
    <row r="83" spans="1:32" s="69" customFormat="1"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row>
    <row r="84" spans="1:32" s="69" customFormat="1"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row>
    <row r="85" spans="1:32" s="69" customFormat="1"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row>
    <row r="86" spans="1:32" s="69" customFormat="1"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row>
    <row r="87" spans="1:32" s="69" customFormat="1"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row>
    <row r="88" spans="1:32" s="69" customFormat="1"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row>
    <row r="89" spans="1:32" s="69" customFormat="1"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row>
    <row r="90" spans="1:32" s="69" customFormat="1"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row>
    <row r="91" spans="1:32" s="69" customFormat="1"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row>
    <row r="92" spans="1:32" s="69" customFormat="1"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row>
    <row r="93" spans="1:32" s="69" customFormat="1"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row>
    <row r="94" spans="1:32" s="69" customFormat="1" hidden="1" x14ac:dyDescent="0.2">
      <c r="B94" s="610"/>
      <c r="O94" s="606"/>
      <c r="P94" s="606"/>
      <c r="Q94" s="606"/>
      <c r="R94" s="606"/>
      <c r="S94" s="606"/>
      <c r="T94" s="606"/>
      <c r="U94" s="606"/>
      <c r="V94" s="606"/>
      <c r="W94" s="606"/>
      <c r="X94" s="606"/>
      <c r="Y94" s="606"/>
      <c r="Z94" s="606"/>
      <c r="AA94" s="606"/>
    </row>
    <row r="95" spans="1:32" s="69" customFormat="1" hidden="1" x14ac:dyDescent="0.2">
      <c r="O95" s="606"/>
      <c r="P95" s="606"/>
      <c r="Q95" s="606"/>
      <c r="R95" s="606"/>
      <c r="S95" s="606"/>
      <c r="T95" s="606"/>
      <c r="U95" s="606"/>
      <c r="V95" s="606"/>
      <c r="W95" s="606"/>
      <c r="X95" s="606"/>
      <c r="Y95" s="606"/>
      <c r="Z95" s="606"/>
      <c r="AA95" s="606"/>
    </row>
    <row r="96" spans="1:32" s="69" customFormat="1" hidden="1" x14ac:dyDescent="0.2">
      <c r="O96" s="606"/>
      <c r="P96" s="606"/>
      <c r="Q96" s="606"/>
      <c r="R96" s="606"/>
      <c r="S96" s="606"/>
      <c r="T96" s="606"/>
      <c r="U96" s="606"/>
      <c r="V96" s="606"/>
      <c r="W96" s="606"/>
      <c r="X96" s="606"/>
      <c r="Y96" s="606"/>
      <c r="Z96" s="606"/>
      <c r="AA96" s="606"/>
    </row>
    <row r="97" spans="1:27" s="69" customFormat="1" hidden="1" x14ac:dyDescent="0.2">
      <c r="O97" s="606"/>
      <c r="P97" s="606"/>
      <c r="Q97" s="606"/>
      <c r="R97" s="606"/>
      <c r="S97" s="606"/>
      <c r="T97" s="606"/>
      <c r="U97" s="606"/>
      <c r="V97" s="606"/>
      <c r="W97" s="606"/>
      <c r="X97" s="606"/>
      <c r="Y97" s="606"/>
      <c r="Z97" s="606"/>
      <c r="AA97" s="606"/>
    </row>
    <row r="98" spans="1:27" s="69" customFormat="1" hidden="1" x14ac:dyDescent="0.2">
      <c r="O98" s="606"/>
      <c r="P98" s="606"/>
      <c r="Q98" s="606"/>
      <c r="R98" s="606"/>
      <c r="S98" s="606"/>
      <c r="T98" s="606"/>
      <c r="U98" s="606"/>
      <c r="V98" s="606"/>
      <c r="W98" s="606"/>
      <c r="X98" s="606"/>
      <c r="Y98" s="606"/>
      <c r="Z98" s="606"/>
      <c r="AA98" s="606"/>
    </row>
    <row r="99" spans="1:27" s="69" customFormat="1" x14ac:dyDescent="0.2">
      <c r="O99" s="606"/>
      <c r="P99" s="606"/>
      <c r="Q99" s="606"/>
      <c r="R99" s="606"/>
      <c r="S99" s="606"/>
      <c r="T99" s="606"/>
      <c r="U99" s="606"/>
      <c r="V99" s="606"/>
      <c r="W99" s="606"/>
      <c r="X99" s="606"/>
      <c r="Y99" s="606"/>
      <c r="Z99" s="606"/>
      <c r="AA99" s="606"/>
    </row>
    <row r="100" spans="1:27" s="69" customFormat="1" x14ac:dyDescent="0.2">
      <c r="A100" s="239" t="s">
        <v>538</v>
      </c>
      <c r="B100" s="49"/>
      <c r="C100" s="203"/>
      <c r="D100" s="203"/>
      <c r="E100" s="204"/>
      <c r="F100" s="205"/>
      <c r="G100" s="74"/>
      <c r="H100" s="130"/>
      <c r="I100" s="70"/>
      <c r="J100" s="130"/>
      <c r="O100" s="606"/>
      <c r="P100" s="606"/>
      <c r="Q100" s="606"/>
      <c r="R100" s="606"/>
      <c r="S100" s="606"/>
      <c r="T100" s="606"/>
      <c r="U100" s="606"/>
      <c r="V100" s="606"/>
      <c r="W100" s="606"/>
      <c r="X100" s="606"/>
      <c r="Y100" s="606"/>
      <c r="Z100" s="606"/>
      <c r="AA100" s="606"/>
    </row>
    <row r="101" spans="1:27" s="69" customFormat="1" x14ac:dyDescent="0.2">
      <c r="A101" s="74"/>
      <c r="B101" s="74"/>
      <c r="C101" s="74"/>
      <c r="D101" s="74"/>
      <c r="E101" s="74"/>
      <c r="F101" s="74"/>
      <c r="G101" s="74"/>
      <c r="H101" s="130"/>
      <c r="I101" s="70"/>
      <c r="J101" s="130"/>
      <c r="O101" s="606"/>
      <c r="P101" s="606"/>
      <c r="Q101" s="606"/>
      <c r="R101" s="606"/>
      <c r="S101" s="606"/>
      <c r="T101" s="606"/>
      <c r="U101" s="606"/>
      <c r="V101" s="606"/>
      <c r="W101" s="606"/>
      <c r="X101" s="606"/>
      <c r="Y101" s="606"/>
      <c r="Z101" s="606"/>
      <c r="AA101" s="606"/>
    </row>
    <row r="102" spans="1:27" s="69" customFormat="1" x14ac:dyDescent="0.2">
      <c r="A102" s="793">
        <v>1</v>
      </c>
      <c r="B102" s="641" t="str">
        <f>IFERROR(INDEX(B$1:B$106,MATCH(A102,A$1:A$101,0)),"")</f>
        <v>Hardo Sokk, Jaan Joonas, Marek Kolk</v>
      </c>
      <c r="C102" s="241">
        <v>13</v>
      </c>
      <c r="D102" s="241"/>
      <c r="G102" s="241"/>
      <c r="H102" s="262"/>
      <c r="I102" s="74"/>
      <c r="J102" s="74"/>
      <c r="O102" s="606"/>
      <c r="P102" s="606"/>
      <c r="Q102" s="606"/>
      <c r="R102" s="606"/>
      <c r="S102" s="606"/>
      <c r="T102" s="606"/>
      <c r="U102" s="606"/>
      <c r="V102" s="606"/>
      <c r="W102" s="606"/>
      <c r="X102" s="606"/>
      <c r="Y102" s="606"/>
      <c r="Z102" s="606"/>
      <c r="AA102" s="606"/>
    </row>
    <row r="103" spans="1:27" s="69" customFormat="1" x14ac:dyDescent="0.2">
      <c r="A103" s="793"/>
      <c r="B103" s="794"/>
      <c r="C103" s="643" t="str">
        <f>IF(COUNT(C102,C104)=2,IF(C102&gt;C104,B102,B104),"")</f>
        <v>Hardo Sokk, Jaan Joonas, Marek Kolk</v>
      </c>
      <c r="D103" s="74"/>
      <c r="G103" s="648">
        <v>13</v>
      </c>
      <c r="H103" s="262"/>
      <c r="I103" s="74"/>
      <c r="J103" s="74"/>
      <c r="O103" s="262"/>
      <c r="P103" s="606"/>
      <c r="Q103" s="606"/>
      <c r="R103" s="606"/>
      <c r="S103" s="606"/>
      <c r="T103" s="606"/>
      <c r="U103" s="606"/>
      <c r="V103" s="606"/>
      <c r="W103" s="606"/>
      <c r="X103" s="606"/>
      <c r="Y103" s="606"/>
      <c r="Z103" s="606"/>
      <c r="AA103" s="606"/>
    </row>
    <row r="104" spans="1:27" s="69" customFormat="1" x14ac:dyDescent="0.2">
      <c r="A104" s="793">
        <v>4</v>
      </c>
      <c r="B104" s="650" t="str">
        <f>IFERROR(INDEX(B$1:B$106,MATCH(A104,A$1:A$101,0)),"")</f>
        <v>Kadri Arunurm, Kalju Olmre, Urmo Auväärt</v>
      </c>
      <c r="C104" s="244">
        <v>5</v>
      </c>
      <c r="D104" s="647"/>
      <c r="E104" s="651"/>
      <c r="F104" s="652"/>
      <c r="G104" s="241"/>
      <c r="H104" s="262"/>
      <c r="I104" s="74"/>
      <c r="J104" s="74"/>
      <c r="O104" s="262"/>
      <c r="P104" s="606"/>
      <c r="Q104" s="606"/>
      <c r="R104" s="606"/>
      <c r="S104" s="606"/>
      <c r="T104" s="606"/>
      <c r="U104" s="606"/>
      <c r="V104" s="606"/>
      <c r="W104" s="606"/>
      <c r="X104" s="606"/>
      <c r="Y104" s="606"/>
      <c r="Z104" s="606"/>
      <c r="AA104" s="606"/>
    </row>
    <row r="105" spans="1:27" s="69" customFormat="1" ht="13.5" thickBot="1" x14ac:dyDescent="0.25">
      <c r="A105" s="793"/>
      <c r="B105" s="645"/>
      <c r="C105" s="247"/>
      <c r="D105" s="247"/>
      <c r="E105" s="262"/>
      <c r="F105" s="653"/>
      <c r="G105" s="241"/>
      <c r="H105" s="262"/>
      <c r="I105" s="418" t="str">
        <f>IF(COUNT(G103,G107)=2,IF(G103&gt;G107,C103,C107),"")</f>
        <v>Hardo Sokk, Jaan Joonas, Marek Kolk</v>
      </c>
      <c r="J105" s="74"/>
      <c r="O105" s="262"/>
      <c r="P105" s="606"/>
      <c r="Q105" s="606"/>
      <c r="R105" s="606"/>
      <c r="S105" s="606"/>
      <c r="T105" s="606"/>
      <c r="U105" s="606"/>
      <c r="V105" s="606"/>
      <c r="W105" s="606"/>
      <c r="X105" s="606"/>
      <c r="Y105" s="606"/>
      <c r="Z105" s="606"/>
      <c r="AA105" s="606"/>
    </row>
    <row r="106" spans="1:27" s="69" customFormat="1" x14ac:dyDescent="0.2">
      <c r="A106" s="793">
        <v>2</v>
      </c>
      <c r="B106" s="641" t="str">
        <f>IFERROR(INDEX(B$1:B$106,MATCH(A106,A$1:A$101,0)),"")</f>
        <v>Maive Sein, Maris Rõõm, Varje Reede</v>
      </c>
      <c r="C106" s="241">
        <v>13</v>
      </c>
      <c r="D106" s="247"/>
      <c r="E106" s="262"/>
      <c r="F106" s="653"/>
      <c r="G106" s="420"/>
      <c r="H106" s="656"/>
      <c r="I106" s="250" t="s">
        <v>589</v>
      </c>
      <c r="J106" s="251"/>
      <c r="O106" s="262"/>
      <c r="P106" s="606"/>
      <c r="Q106" s="606"/>
      <c r="R106" s="606"/>
      <c r="S106" s="606"/>
      <c r="T106" s="606"/>
      <c r="U106" s="606"/>
      <c r="V106" s="606"/>
      <c r="W106" s="606"/>
      <c r="X106" s="606"/>
      <c r="Y106" s="606"/>
      <c r="Z106" s="606"/>
      <c r="AA106" s="606"/>
    </row>
    <row r="107" spans="1:27" s="69" customFormat="1" x14ac:dyDescent="0.2">
      <c r="A107" s="793"/>
      <c r="B107" s="794"/>
      <c r="C107" s="643" t="str">
        <f>IF(COUNT(C106,C108)=2,IF(C106&gt;C108,B106,B108),"")</f>
        <v>Maive Sein, Maris Rõõm, Varje Reede</v>
      </c>
      <c r="D107" s="243"/>
      <c r="E107" s="654"/>
      <c r="F107" s="655"/>
      <c r="G107" s="247">
        <v>4</v>
      </c>
      <c r="H107" s="262"/>
      <c r="I107" s="49"/>
      <c r="J107" s="49"/>
      <c r="O107" s="262"/>
      <c r="P107" s="606"/>
      <c r="Q107" s="606"/>
      <c r="R107" s="606"/>
      <c r="S107" s="606"/>
      <c r="T107" s="606"/>
      <c r="U107" s="606"/>
      <c r="V107" s="606"/>
      <c r="W107" s="606"/>
      <c r="X107" s="606"/>
      <c r="Y107" s="606"/>
      <c r="Z107" s="606"/>
      <c r="AA107" s="606"/>
    </row>
    <row r="108" spans="1:27" s="69" customFormat="1" ht="13.5" thickBot="1" x14ac:dyDescent="0.25">
      <c r="A108" s="793">
        <v>3</v>
      </c>
      <c r="B108" s="650" t="str">
        <f>IFERROR(INDEX(B$1:B$106,MATCH(A108,A$1:A$101,0)),"")</f>
        <v>Egert Kingissepp, Mare Kingissepp, Marge Mägi, Silver Kingissepp</v>
      </c>
      <c r="C108" s="244">
        <v>8</v>
      </c>
      <c r="D108" s="241"/>
      <c r="G108" s="247"/>
      <c r="H108" s="262"/>
      <c r="I108" s="425" t="str">
        <f>IF(COUNT(G103,G107)=2,IF(G103&lt;G107,C103,C107),"")</f>
        <v>Maive Sein, Maris Rõõm, Varje Reede</v>
      </c>
      <c r="J108" s="252"/>
      <c r="O108" s="262"/>
      <c r="P108" s="606"/>
      <c r="Q108" s="606"/>
      <c r="R108" s="606"/>
      <c r="S108" s="606"/>
      <c r="T108" s="606"/>
      <c r="U108" s="606"/>
      <c r="V108" s="606"/>
      <c r="W108" s="606"/>
      <c r="X108" s="606"/>
      <c r="Y108" s="606"/>
      <c r="Z108" s="606"/>
      <c r="AA108" s="606"/>
    </row>
    <row r="109" spans="1:27" s="69" customFormat="1" x14ac:dyDescent="0.2">
      <c r="A109" s="606"/>
      <c r="B109" s="606"/>
      <c r="C109" s="241"/>
      <c r="D109" s="241"/>
      <c r="G109" s="247"/>
      <c r="H109" s="262"/>
      <c r="I109" s="250" t="s">
        <v>590</v>
      </c>
      <c r="J109" s="49"/>
      <c r="O109" s="262"/>
      <c r="P109" s="606"/>
      <c r="Q109" s="606"/>
      <c r="R109" s="606"/>
      <c r="S109" s="606"/>
      <c r="T109" s="606"/>
      <c r="U109" s="606"/>
      <c r="V109" s="606"/>
      <c r="W109" s="606"/>
      <c r="X109" s="606"/>
      <c r="Y109" s="606"/>
      <c r="Z109" s="606"/>
      <c r="AA109" s="606"/>
    </row>
    <row r="110" spans="1:27" s="69" customFormat="1" x14ac:dyDescent="0.2">
      <c r="A110" s="606"/>
      <c r="B110" s="606"/>
      <c r="C110" s="418" t="str">
        <f>IF(COUNT(C102,C104)=2,IF(C102&lt;C104,B102,B104),"")</f>
        <v>Kadri Arunurm, Kalju Olmre, Urmo Auväärt</v>
      </c>
      <c r="D110" s="74"/>
      <c r="G110" s="247">
        <v>8</v>
      </c>
      <c r="H110" s="262"/>
      <c r="I110" s="49"/>
      <c r="J110" s="49"/>
      <c r="O110" s="262"/>
      <c r="P110" s="606"/>
      <c r="Q110" s="606"/>
      <c r="R110" s="606"/>
      <c r="S110" s="606"/>
      <c r="T110" s="606"/>
      <c r="U110" s="606"/>
      <c r="V110" s="606"/>
      <c r="W110" s="606"/>
      <c r="X110" s="606"/>
      <c r="Y110" s="606"/>
      <c r="Z110" s="606"/>
      <c r="AA110" s="606"/>
    </row>
    <row r="111" spans="1:27" s="69" customFormat="1" ht="13.5" thickBot="1" x14ac:dyDescent="0.25">
      <c r="A111" s="606"/>
      <c r="B111" s="606"/>
      <c r="C111" s="646"/>
      <c r="D111" s="646"/>
      <c r="E111" s="651"/>
      <c r="F111" s="652"/>
      <c r="G111" s="252"/>
      <c r="H111" s="657"/>
      <c r="I111" s="425" t="str">
        <f>IF(COUNT(G110,G112)=2,IF(G110&gt;G112,C110,C112),"")</f>
        <v>Egert Kingissepp, Mare Kingissepp, Marge Mägi, Silver Kingissepp</v>
      </c>
      <c r="J111" s="252"/>
      <c r="O111" s="262"/>
      <c r="P111" s="606"/>
      <c r="Q111" s="606"/>
      <c r="R111" s="606"/>
      <c r="S111" s="606"/>
      <c r="T111" s="606"/>
      <c r="U111" s="606"/>
      <c r="V111" s="606"/>
      <c r="W111" s="606"/>
      <c r="X111" s="606"/>
      <c r="Y111" s="606"/>
      <c r="Z111" s="606"/>
      <c r="AA111" s="606"/>
    </row>
    <row r="112" spans="1:27" s="69" customFormat="1" x14ac:dyDescent="0.2">
      <c r="A112" s="606"/>
      <c r="B112" s="606"/>
      <c r="C112" s="417" t="str">
        <f>IF(COUNT(C106,C108)=2,IF(C106&lt;C108,B106,B108),"")</f>
        <v>Egert Kingissepp, Mare Kingissepp, Marge Mägi, Silver Kingissepp</v>
      </c>
      <c r="D112" s="243"/>
      <c r="E112" s="654"/>
      <c r="F112" s="655"/>
      <c r="G112" s="247">
        <v>13</v>
      </c>
      <c r="H112" s="262"/>
      <c r="I112" s="253" t="s">
        <v>591</v>
      </c>
      <c r="J112" s="49"/>
      <c r="O112" s="262"/>
      <c r="P112" s="606"/>
      <c r="Q112" s="606"/>
      <c r="R112" s="606"/>
      <c r="S112" s="606"/>
      <c r="T112" s="606"/>
      <c r="U112" s="606"/>
      <c r="V112" s="606"/>
      <c r="W112" s="606"/>
      <c r="X112" s="606"/>
      <c r="Y112" s="606"/>
      <c r="Z112" s="606"/>
      <c r="AA112" s="606"/>
    </row>
    <row r="113" spans="1:27" s="69" customFormat="1" x14ac:dyDescent="0.2">
      <c r="A113" s="606"/>
      <c r="B113" s="606"/>
      <c r="C113" s="74"/>
      <c r="D113" s="74"/>
      <c r="G113" s="74"/>
      <c r="H113" s="262"/>
      <c r="I113" s="49"/>
      <c r="J113" s="49"/>
      <c r="O113" s="262"/>
      <c r="P113" s="606"/>
      <c r="Q113" s="606"/>
      <c r="R113" s="606"/>
      <c r="S113" s="606"/>
      <c r="T113" s="606"/>
      <c r="U113" s="606"/>
      <c r="V113" s="606"/>
      <c r="W113" s="606"/>
      <c r="X113" s="606"/>
      <c r="Y113" s="606"/>
      <c r="Z113" s="606"/>
      <c r="AA113" s="606"/>
    </row>
    <row r="114" spans="1:27" s="69" customFormat="1" ht="13.5" thickBot="1" x14ac:dyDescent="0.25">
      <c r="A114" s="606"/>
      <c r="B114" s="606"/>
      <c r="C114" s="49"/>
      <c r="D114" s="49"/>
      <c r="G114" s="74"/>
      <c r="H114" s="262"/>
      <c r="I114" s="252" t="str">
        <f>IF(COUNT(G110,G112)=2,IF(G110&lt;G112,C110,C112),"")</f>
        <v>Kadri Arunurm, Kalju Olmre, Urmo Auväärt</v>
      </c>
      <c r="J114" s="252"/>
      <c r="O114" s="262"/>
      <c r="P114" s="606"/>
      <c r="Q114" s="606"/>
      <c r="R114" s="606"/>
      <c r="S114" s="606"/>
      <c r="T114" s="606"/>
      <c r="U114" s="606"/>
      <c r="V114" s="606"/>
      <c r="W114" s="606"/>
      <c r="X114" s="606"/>
      <c r="Y114" s="606"/>
      <c r="Z114" s="606"/>
      <c r="AA114" s="606"/>
    </row>
    <row r="115" spans="1:27" s="69" customFormat="1" x14ac:dyDescent="0.2">
      <c r="A115" s="606"/>
      <c r="B115" s="606"/>
      <c r="C115" s="204"/>
      <c r="D115" s="204"/>
      <c r="G115" s="259"/>
      <c r="H115" s="262"/>
      <c r="I115" s="250" t="s">
        <v>371</v>
      </c>
      <c r="J115" s="238"/>
      <c r="O115" s="262"/>
      <c r="P115" s="606"/>
      <c r="Q115" s="606"/>
      <c r="R115" s="606"/>
      <c r="S115" s="606"/>
      <c r="T115" s="606"/>
      <c r="U115" s="606"/>
      <c r="V115" s="606"/>
      <c r="W115" s="606"/>
      <c r="X115" s="606"/>
      <c r="Y115" s="606"/>
      <c r="Z115" s="606"/>
      <c r="AA115" s="606"/>
    </row>
    <row r="116" spans="1:27" s="69" customFormat="1" x14ac:dyDescent="0.2">
      <c r="A116" s="606"/>
      <c r="B116" s="606"/>
      <c r="O116" s="262"/>
      <c r="P116" s="606"/>
      <c r="Q116" s="606"/>
      <c r="R116" s="606"/>
      <c r="S116" s="606"/>
      <c r="T116" s="606"/>
      <c r="U116" s="606"/>
      <c r="V116" s="606"/>
      <c r="W116" s="606"/>
      <c r="X116" s="606"/>
      <c r="Y116" s="606"/>
      <c r="Z116" s="606"/>
      <c r="AA116" s="606"/>
    </row>
    <row r="117" spans="1:27" s="69" customFormat="1" x14ac:dyDescent="0.2">
      <c r="A117" s="239" t="s">
        <v>578</v>
      </c>
      <c r="B117" s="49"/>
      <c r="C117" s="203"/>
      <c r="D117" s="203"/>
      <c r="E117" s="204"/>
      <c r="F117" s="205"/>
      <c r="G117" s="74"/>
      <c r="H117" s="130"/>
      <c r="I117" s="70"/>
      <c r="J117" s="130"/>
      <c r="O117" s="262"/>
      <c r="P117" s="606"/>
      <c r="Q117" s="606"/>
      <c r="R117" s="606"/>
      <c r="S117" s="606"/>
      <c r="T117" s="606"/>
      <c r="U117" s="606"/>
      <c r="V117" s="606"/>
      <c r="W117" s="606"/>
      <c r="X117" s="606"/>
      <c r="Y117" s="606"/>
      <c r="Z117" s="606"/>
      <c r="AA117" s="606"/>
    </row>
    <row r="118" spans="1:27" s="69" customFormat="1" x14ac:dyDescent="0.2">
      <c r="A118" s="74"/>
      <c r="B118" s="74"/>
      <c r="C118" s="74"/>
      <c r="D118" s="74"/>
      <c r="E118" s="74"/>
      <c r="F118" s="74"/>
      <c r="G118" s="74"/>
      <c r="H118" s="130"/>
      <c r="I118" s="70"/>
      <c r="J118" s="130"/>
      <c r="O118" s="262"/>
      <c r="P118" s="606"/>
      <c r="Q118" s="606"/>
      <c r="R118" s="606"/>
      <c r="S118" s="606"/>
      <c r="T118" s="606"/>
      <c r="U118" s="606"/>
      <c r="V118" s="606"/>
      <c r="W118" s="606"/>
      <c r="X118" s="606"/>
      <c r="Y118" s="606"/>
      <c r="Z118" s="606"/>
      <c r="AA118" s="606"/>
    </row>
    <row r="119" spans="1:27" s="69" customFormat="1" x14ac:dyDescent="0.2">
      <c r="A119" s="793">
        <v>5</v>
      </c>
      <c r="B119" s="641" t="str">
        <f>IFERROR(INDEX(B$1:B$106,MATCH(A119,A$1:A$101,0)),"")</f>
        <v>Marika Poom, Märten Aardevälja, Siim Oks</v>
      </c>
      <c r="C119" s="241">
        <v>13</v>
      </c>
      <c r="D119" s="241"/>
      <c r="G119" s="241"/>
      <c r="H119" s="262"/>
      <c r="I119" s="74"/>
      <c r="J119" s="74"/>
      <c r="O119" s="262"/>
      <c r="P119" s="606"/>
      <c r="Q119" s="606"/>
      <c r="R119" s="606"/>
      <c r="S119" s="606"/>
      <c r="T119" s="606"/>
      <c r="U119" s="606"/>
      <c r="V119" s="606"/>
      <c r="W119" s="606"/>
      <c r="X119" s="606"/>
      <c r="Y119" s="606"/>
      <c r="Z119" s="606"/>
      <c r="AA119" s="606"/>
    </row>
    <row r="120" spans="1:27" s="69" customFormat="1" x14ac:dyDescent="0.2">
      <c r="A120" s="793"/>
      <c r="B120" s="794"/>
      <c r="C120" s="643" t="str">
        <f>IF(COUNT(C119,C121)=2,IF(C119&gt;C121,B119,B121),"")</f>
        <v>Marika Poom, Märten Aardevälja, Siim Oks</v>
      </c>
      <c r="D120" s="74"/>
      <c r="G120" s="648">
        <v>3</v>
      </c>
      <c r="H120" s="262"/>
      <c r="I120" s="74"/>
      <c r="J120" s="74"/>
      <c r="O120" s="262"/>
      <c r="P120" s="606"/>
      <c r="Q120" s="606"/>
      <c r="R120" s="606"/>
      <c r="S120" s="606"/>
      <c r="T120" s="606"/>
      <c r="U120" s="606"/>
      <c r="V120" s="606"/>
      <c r="W120" s="606"/>
      <c r="X120" s="606"/>
      <c r="Y120" s="606"/>
      <c r="Z120" s="606"/>
      <c r="AA120" s="606"/>
    </row>
    <row r="121" spans="1:27" s="69" customFormat="1" x14ac:dyDescent="0.2">
      <c r="A121" s="793">
        <v>8</v>
      </c>
      <c r="B121" s="650" t="str">
        <f>IFERROR(INDEX(B$1:B$106,MATCH(A121,A$1:A$101,0)),"")</f>
        <v>Anti Alasi, Marta Ruus, Vello Pluum, Ülo Luuka</v>
      </c>
      <c r="C121" s="244">
        <v>11</v>
      </c>
      <c r="D121" s="647"/>
      <c r="E121" s="651"/>
      <c r="F121" s="652"/>
      <c r="G121" s="241"/>
      <c r="H121" s="262"/>
      <c r="I121" s="74"/>
      <c r="J121" s="74"/>
      <c r="O121" s="262"/>
      <c r="P121" s="606"/>
      <c r="Q121" s="606"/>
      <c r="R121" s="606"/>
      <c r="S121" s="606"/>
      <c r="T121" s="606"/>
      <c r="U121" s="606"/>
      <c r="V121" s="606"/>
      <c r="W121" s="606"/>
      <c r="X121" s="606"/>
      <c r="Y121" s="606"/>
      <c r="Z121" s="606"/>
      <c r="AA121" s="606"/>
    </row>
    <row r="122" spans="1:27" s="69" customFormat="1" ht="13.5" thickBot="1" x14ac:dyDescent="0.25">
      <c r="A122" s="793"/>
      <c r="B122" s="645"/>
      <c r="C122" s="247"/>
      <c r="D122" s="247"/>
      <c r="E122" s="262"/>
      <c r="F122" s="653"/>
      <c r="G122" s="241"/>
      <c r="H122" s="262"/>
      <c r="I122" s="418" t="str">
        <f>IF(COUNT(G120,G124)=2,IF(G120&gt;G124,C120,C124),"")</f>
        <v>Janek Kiisk, Margo Peebo, Ruudi Väärtnõu</v>
      </c>
      <c r="J122" s="74"/>
      <c r="O122" s="262"/>
      <c r="P122" s="606"/>
      <c r="Q122" s="606"/>
      <c r="R122" s="606"/>
      <c r="S122" s="606"/>
      <c r="T122" s="606"/>
      <c r="U122" s="606"/>
      <c r="V122" s="606"/>
      <c r="W122" s="606"/>
      <c r="X122" s="606"/>
      <c r="Y122" s="606"/>
      <c r="Z122" s="606"/>
      <c r="AA122" s="606"/>
    </row>
    <row r="123" spans="1:27" s="69" customFormat="1" x14ac:dyDescent="0.2">
      <c r="A123" s="793">
        <v>6</v>
      </c>
      <c r="B123" s="641" t="str">
        <f>IFERROR(INDEX(B$1:B$106,MATCH(A123,A$1:A$101,0)),"")</f>
        <v>Alari Keedus, Jelena Brakina, Ülo Piik</v>
      </c>
      <c r="C123" s="241">
        <v>11</v>
      </c>
      <c r="D123" s="247"/>
      <c r="E123" s="262"/>
      <c r="F123" s="653"/>
      <c r="G123" s="420"/>
      <c r="H123" s="656"/>
      <c r="I123" s="250" t="s">
        <v>372</v>
      </c>
      <c r="J123" s="251"/>
      <c r="O123" s="262"/>
      <c r="P123" s="606"/>
      <c r="Q123" s="606"/>
      <c r="R123" s="606"/>
      <c r="S123" s="606"/>
      <c r="T123" s="606"/>
      <c r="U123" s="606"/>
      <c r="V123" s="606"/>
      <c r="W123" s="606"/>
      <c r="X123" s="606"/>
      <c r="Y123" s="606"/>
      <c r="Z123" s="606"/>
      <c r="AA123" s="606"/>
    </row>
    <row r="124" spans="1:27" s="69" customFormat="1" x14ac:dyDescent="0.2">
      <c r="A124" s="793"/>
      <c r="B124" s="794"/>
      <c r="C124" s="643" t="str">
        <f>IF(COUNT(C123,C125)=2,IF(C123&gt;C125,B123,B125),"")</f>
        <v>Janek Kiisk, Margo Peebo, Ruudi Väärtnõu</v>
      </c>
      <c r="D124" s="243"/>
      <c r="E124" s="654"/>
      <c r="F124" s="655"/>
      <c r="G124" s="247">
        <v>13</v>
      </c>
      <c r="H124" s="262"/>
      <c r="I124" s="49"/>
      <c r="J124" s="49"/>
      <c r="O124" s="262"/>
      <c r="P124" s="606"/>
      <c r="Q124" s="606"/>
      <c r="R124" s="606"/>
      <c r="S124" s="606"/>
      <c r="T124" s="606"/>
      <c r="U124" s="606"/>
      <c r="V124" s="606"/>
      <c r="W124" s="606"/>
      <c r="X124" s="606"/>
      <c r="Y124" s="606"/>
      <c r="Z124" s="606"/>
      <c r="AA124" s="606"/>
    </row>
    <row r="125" spans="1:27" s="69" customFormat="1" ht="13.5" thickBot="1" x14ac:dyDescent="0.25">
      <c r="A125" s="793">
        <v>7</v>
      </c>
      <c r="B125" s="650" t="str">
        <f>IFERROR(INDEX(B$1:B$106,MATCH(A125,A$1:A$101,0)),"")</f>
        <v>Janek Kiisk, Margo Peebo, Ruudi Väärtnõu</v>
      </c>
      <c r="C125" s="244">
        <v>13</v>
      </c>
      <c r="D125" s="241"/>
      <c r="G125" s="247"/>
      <c r="H125" s="262"/>
      <c r="I125" s="425" t="str">
        <f>IF(COUNT(G120,G124)=2,IF(G120&lt;G124,C120,C124),"")</f>
        <v>Marika Poom, Märten Aardevälja, Siim Oks</v>
      </c>
      <c r="J125" s="252"/>
      <c r="O125" s="262"/>
      <c r="P125" s="606"/>
      <c r="Q125" s="606"/>
      <c r="R125" s="606"/>
      <c r="S125" s="606"/>
      <c r="T125" s="606"/>
      <c r="U125" s="606"/>
      <c r="V125" s="606"/>
      <c r="W125" s="606"/>
      <c r="X125" s="606"/>
      <c r="Y125" s="606"/>
      <c r="Z125" s="606"/>
      <c r="AA125" s="606"/>
    </row>
    <row r="126" spans="1:27" s="69" customFormat="1" x14ac:dyDescent="0.2">
      <c r="A126" s="606"/>
      <c r="B126" s="606"/>
      <c r="C126" s="241"/>
      <c r="D126" s="241"/>
      <c r="G126" s="247"/>
      <c r="H126" s="262"/>
      <c r="I126" s="250" t="s">
        <v>373</v>
      </c>
      <c r="J126" s="49"/>
      <c r="O126" s="262"/>
      <c r="P126" s="606"/>
      <c r="Q126" s="606"/>
      <c r="R126" s="606"/>
      <c r="S126" s="606"/>
      <c r="T126" s="606"/>
      <c r="U126" s="606"/>
      <c r="V126" s="606"/>
      <c r="W126" s="606"/>
      <c r="X126" s="606"/>
      <c r="Y126" s="606"/>
      <c r="Z126" s="606"/>
      <c r="AA126" s="606"/>
    </row>
    <row r="127" spans="1:27" s="69" customFormat="1" x14ac:dyDescent="0.2">
      <c r="A127" s="606"/>
      <c r="B127" s="606"/>
      <c r="C127" s="418" t="str">
        <f>IF(COUNT(C119,C121)=2,IF(C119&lt;C121,B119,B121),"")</f>
        <v>Anti Alasi, Marta Ruus, Vello Pluum, Ülo Luuka</v>
      </c>
      <c r="D127" s="74"/>
      <c r="G127" s="247">
        <v>6</v>
      </c>
      <c r="H127" s="262"/>
      <c r="I127" s="49"/>
      <c r="J127" s="49"/>
      <c r="O127" s="262"/>
      <c r="P127" s="606"/>
      <c r="Q127" s="606"/>
      <c r="R127" s="606"/>
      <c r="S127" s="606"/>
      <c r="T127" s="606"/>
      <c r="U127" s="606"/>
      <c r="V127" s="606"/>
      <c r="W127" s="606"/>
      <c r="X127" s="606"/>
      <c r="Y127" s="606"/>
      <c r="Z127" s="606"/>
      <c r="AA127" s="606"/>
    </row>
    <row r="128" spans="1:27" s="69" customFormat="1" ht="13.5" thickBot="1" x14ac:dyDescent="0.25">
      <c r="A128" s="606"/>
      <c r="B128" s="606"/>
      <c r="C128" s="646"/>
      <c r="D128" s="646"/>
      <c r="E128" s="651"/>
      <c r="F128" s="652"/>
      <c r="G128" s="252"/>
      <c r="H128" s="657"/>
      <c r="I128" s="425" t="str">
        <f>IF(COUNT(G127,G129)=2,IF(G127&gt;G129,C127,C129),"")</f>
        <v>Alari Keedus, Jelena Brakina, Ülo Piik</v>
      </c>
      <c r="J128" s="252"/>
      <c r="O128" s="262"/>
      <c r="P128" s="606"/>
      <c r="Q128" s="606"/>
      <c r="R128" s="606"/>
      <c r="S128" s="606"/>
      <c r="T128" s="606"/>
      <c r="U128" s="606"/>
      <c r="V128" s="606"/>
      <c r="W128" s="606"/>
      <c r="X128" s="606"/>
      <c r="Y128" s="606"/>
      <c r="Z128" s="606"/>
      <c r="AA128" s="606"/>
    </row>
    <row r="129" spans="1:27" s="69" customFormat="1" x14ac:dyDescent="0.2">
      <c r="A129" s="606"/>
      <c r="B129" s="606"/>
      <c r="C129" s="417" t="str">
        <f>IF(COUNT(C123,C125)=2,IF(C123&lt;C125,B123,B125),"")</f>
        <v>Alari Keedus, Jelena Brakina, Ülo Piik</v>
      </c>
      <c r="D129" s="243"/>
      <c r="E129" s="654"/>
      <c r="F129" s="655"/>
      <c r="G129" s="247">
        <v>13</v>
      </c>
      <c r="H129" s="262"/>
      <c r="I129" s="253" t="s">
        <v>374</v>
      </c>
      <c r="J129" s="49"/>
      <c r="O129" s="262"/>
      <c r="P129" s="606"/>
      <c r="Q129" s="606"/>
      <c r="R129" s="606"/>
      <c r="S129" s="606"/>
      <c r="T129" s="606"/>
      <c r="U129" s="606"/>
      <c r="V129" s="606"/>
      <c r="W129" s="606"/>
      <c r="X129" s="606"/>
      <c r="Y129" s="606"/>
      <c r="Z129" s="606"/>
      <c r="AA129" s="606"/>
    </row>
    <row r="130" spans="1:27" s="69" customFormat="1" x14ac:dyDescent="0.2">
      <c r="A130" s="606"/>
      <c r="B130" s="606"/>
      <c r="C130" s="74"/>
      <c r="D130" s="74"/>
      <c r="G130" s="74"/>
      <c r="H130" s="262"/>
      <c r="I130" s="49"/>
      <c r="J130" s="49"/>
      <c r="O130" s="262"/>
      <c r="P130" s="606"/>
      <c r="Q130" s="606"/>
      <c r="R130" s="606"/>
      <c r="S130" s="606"/>
      <c r="T130" s="606"/>
      <c r="U130" s="606"/>
      <c r="V130" s="606"/>
      <c r="W130" s="606"/>
      <c r="X130" s="606"/>
      <c r="Y130" s="606"/>
      <c r="Z130" s="606"/>
      <c r="AA130" s="606"/>
    </row>
    <row r="131" spans="1:27" s="69" customFormat="1" ht="13.5" thickBot="1" x14ac:dyDescent="0.25">
      <c r="A131" s="606"/>
      <c r="B131" s="606"/>
      <c r="C131" s="49"/>
      <c r="D131" s="49"/>
      <c r="G131" s="74"/>
      <c r="H131" s="262"/>
      <c r="I131" s="252" t="str">
        <f>IF(COUNT(G127,G129)=2,IF(G127&lt;G129,C127,C129),"")</f>
        <v>Anti Alasi, Marta Ruus, Vello Pluum, Ülo Luuka</v>
      </c>
      <c r="J131" s="252"/>
      <c r="K131" s="606"/>
      <c r="L131" s="606"/>
      <c r="M131" s="606"/>
      <c r="N131" s="606"/>
      <c r="O131" s="606"/>
      <c r="P131" s="606"/>
      <c r="Q131" s="606"/>
      <c r="R131" s="606"/>
      <c r="S131" s="606"/>
      <c r="T131" s="606"/>
      <c r="U131" s="606"/>
      <c r="V131" s="606"/>
      <c r="W131" s="606"/>
      <c r="X131" s="606"/>
      <c r="Y131" s="606"/>
      <c r="Z131" s="606"/>
      <c r="AA131" s="606"/>
    </row>
    <row r="132" spans="1:27" s="69" customFormat="1" x14ac:dyDescent="0.2">
      <c r="A132" s="606"/>
      <c r="B132" s="606"/>
      <c r="C132" s="204"/>
      <c r="D132" s="204"/>
      <c r="G132" s="259"/>
      <c r="H132" s="262"/>
      <c r="I132" s="250" t="s">
        <v>375</v>
      </c>
      <c r="J132" s="238"/>
      <c r="K132" s="606"/>
      <c r="L132" s="606"/>
      <c r="M132" s="606"/>
      <c r="N132" s="606"/>
      <c r="O132" s="606"/>
      <c r="P132" s="606"/>
      <c r="Q132" s="606"/>
      <c r="R132" s="606"/>
      <c r="S132" s="606"/>
      <c r="T132" s="606"/>
      <c r="U132" s="606"/>
      <c r="V132" s="606"/>
      <c r="W132" s="606"/>
      <c r="X132" s="606"/>
      <c r="Y132" s="606"/>
      <c r="Z132" s="606"/>
      <c r="AA132" s="606"/>
    </row>
    <row r="133" spans="1:27" s="69" customFormat="1" x14ac:dyDescent="0.2">
      <c r="A133" s="74"/>
      <c r="B133" s="74"/>
      <c r="K133" s="606"/>
      <c r="L133" s="606"/>
      <c r="M133" s="606"/>
      <c r="N133" s="606"/>
      <c r="O133" s="606"/>
      <c r="P133" s="606"/>
      <c r="Q133" s="606"/>
      <c r="R133" s="606"/>
      <c r="S133" s="606"/>
      <c r="T133" s="606"/>
      <c r="U133" s="606"/>
      <c r="V133" s="606"/>
      <c r="W133" s="606"/>
      <c r="X133" s="606"/>
      <c r="Y133" s="606"/>
      <c r="Z133" s="606"/>
      <c r="AA133" s="606"/>
    </row>
    <row r="134" spans="1:27" s="69" customFormat="1" x14ac:dyDescent="0.2">
      <c r="A134" s="239" t="s">
        <v>593</v>
      </c>
      <c r="B134" s="49"/>
      <c r="C134" s="203"/>
      <c r="D134" s="203"/>
      <c r="E134" s="204"/>
      <c r="F134" s="205"/>
      <c r="G134" s="74"/>
      <c r="H134" s="130"/>
      <c r="I134" s="70"/>
      <c r="J134" s="130"/>
      <c r="K134" s="606"/>
      <c r="L134" s="606"/>
      <c r="M134" s="606"/>
      <c r="N134" s="606"/>
      <c r="O134" s="606"/>
      <c r="P134" s="606"/>
      <c r="Q134" s="606"/>
      <c r="R134" s="606"/>
      <c r="S134" s="606"/>
      <c r="T134" s="606"/>
      <c r="U134" s="606"/>
      <c r="V134" s="606"/>
      <c r="W134" s="606"/>
      <c r="X134" s="606"/>
      <c r="Y134" s="606"/>
      <c r="Z134" s="606"/>
      <c r="AA134" s="606"/>
    </row>
    <row r="135" spans="1:27" s="69" customFormat="1" x14ac:dyDescent="0.2">
      <c r="A135" s="74"/>
      <c r="B135" s="74"/>
      <c r="C135" s="74"/>
      <c r="D135" s="74"/>
      <c r="E135" s="74"/>
      <c r="F135" s="74"/>
      <c r="G135" s="74"/>
      <c r="H135" s="130"/>
      <c r="I135" s="70"/>
      <c r="J135" s="130"/>
      <c r="K135" s="606"/>
      <c r="L135" s="606"/>
      <c r="M135" s="606"/>
      <c r="N135" s="606"/>
      <c r="O135" s="606"/>
      <c r="P135" s="606"/>
      <c r="Q135" s="606"/>
      <c r="R135" s="606"/>
      <c r="S135" s="606"/>
      <c r="T135" s="606"/>
      <c r="U135" s="606"/>
      <c r="V135" s="606"/>
      <c r="W135" s="606"/>
      <c r="X135" s="606"/>
      <c r="Y135" s="606"/>
      <c r="Z135" s="606"/>
      <c r="AA135" s="606"/>
    </row>
    <row r="136" spans="1:27" s="69" customFormat="1" x14ac:dyDescent="0.2">
      <c r="A136" s="793">
        <v>9</v>
      </c>
      <c r="B136" s="641" t="str">
        <f>IFERROR(INDEX(B$1:B$106,MATCH(A136,A$1:A$101,0)),"")</f>
        <v>Enn Kivisaar, Enn Tõppan, Peeter Zirk</v>
      </c>
      <c r="C136" s="241">
        <v>5</v>
      </c>
      <c r="D136" s="241"/>
      <c r="G136" s="241"/>
      <c r="H136" s="262"/>
      <c r="I136" s="74"/>
      <c r="J136" s="74"/>
      <c r="K136" s="606"/>
      <c r="L136" s="606"/>
      <c r="M136" s="606"/>
      <c r="N136" s="606"/>
      <c r="O136" s="606"/>
      <c r="P136" s="606"/>
      <c r="Q136" s="606"/>
      <c r="R136" s="606"/>
      <c r="S136" s="606"/>
      <c r="T136" s="606"/>
      <c r="U136" s="606"/>
      <c r="V136" s="606"/>
      <c r="W136" s="606"/>
      <c r="X136" s="606"/>
      <c r="Y136" s="606"/>
      <c r="Z136" s="606"/>
      <c r="AA136" s="606"/>
    </row>
    <row r="137" spans="1:27" s="69" customFormat="1" x14ac:dyDescent="0.2">
      <c r="A137" s="793"/>
      <c r="B137" s="794"/>
      <c r="C137" s="643" t="str">
        <f>IF(COUNT(C136,C138)=2,IF(C136&gt;C138,B136,B138),"")</f>
        <v>Henri Mitt, Johannes Neiland, Matti Vinni</v>
      </c>
      <c r="D137" s="74"/>
      <c r="G137" s="648">
        <v>12</v>
      </c>
      <c r="H137" s="262"/>
      <c r="I137" s="74"/>
      <c r="J137" s="74"/>
      <c r="K137" s="606"/>
      <c r="L137" s="606"/>
      <c r="M137" s="606"/>
      <c r="N137" s="606"/>
      <c r="O137" s="606"/>
      <c r="P137" s="606"/>
      <c r="Q137" s="606"/>
      <c r="R137" s="606"/>
      <c r="S137" s="606"/>
      <c r="T137" s="606"/>
      <c r="U137" s="606"/>
      <c r="V137" s="606"/>
      <c r="W137" s="606"/>
      <c r="X137" s="606"/>
      <c r="Y137" s="606"/>
      <c r="Z137" s="606"/>
      <c r="AA137" s="606"/>
    </row>
    <row r="138" spans="1:27" s="69" customFormat="1" x14ac:dyDescent="0.2">
      <c r="A138" s="793">
        <v>12</v>
      </c>
      <c r="B138" s="650" t="str">
        <f>IFERROR(INDEX(B$1:B$106,MATCH(A138,A$1:A$101,0)),"")</f>
        <v>Henri Mitt, Johannes Neiland, Matti Vinni</v>
      </c>
      <c r="C138" s="244">
        <v>13</v>
      </c>
      <c r="D138" s="647"/>
      <c r="E138" s="651"/>
      <c r="F138" s="652"/>
      <c r="G138" s="241"/>
      <c r="H138" s="262"/>
      <c r="I138" s="74"/>
      <c r="J138" s="74"/>
      <c r="K138" s="606"/>
      <c r="L138" s="606"/>
      <c r="M138" s="606"/>
      <c r="N138" s="606"/>
      <c r="O138" s="606"/>
      <c r="P138" s="606"/>
      <c r="Q138" s="606"/>
      <c r="R138" s="606"/>
      <c r="S138" s="606"/>
      <c r="T138" s="606"/>
      <c r="U138" s="606"/>
      <c r="V138" s="606"/>
      <c r="W138" s="606"/>
      <c r="X138" s="606"/>
      <c r="Y138" s="606"/>
      <c r="Z138" s="606"/>
      <c r="AA138" s="606"/>
    </row>
    <row r="139" spans="1:27" s="69" customFormat="1" ht="13.5" thickBot="1" x14ac:dyDescent="0.25">
      <c r="A139" s="793"/>
      <c r="B139" s="645"/>
      <c r="C139" s="247"/>
      <c r="D139" s="247"/>
      <c r="E139" s="262"/>
      <c r="F139" s="653"/>
      <c r="G139" s="241"/>
      <c r="H139" s="262"/>
      <c r="I139" s="418" t="str">
        <f>IF(COUNT(G137,G141)=2,IF(G137&gt;G141,C137,C141),"")</f>
        <v>Aimar Poom, Kertu Palm, Valmar Pantšenko</v>
      </c>
      <c r="J139" s="74"/>
      <c r="K139" s="606"/>
      <c r="L139" s="606"/>
      <c r="M139" s="606"/>
      <c r="N139" s="606"/>
      <c r="O139" s="606"/>
      <c r="P139" s="606"/>
      <c r="Q139" s="606"/>
      <c r="R139" s="606"/>
      <c r="S139" s="606"/>
      <c r="T139" s="606"/>
      <c r="U139" s="606"/>
      <c r="V139" s="606"/>
      <c r="W139" s="606"/>
      <c r="X139" s="606"/>
      <c r="Y139" s="606"/>
      <c r="Z139" s="606"/>
      <c r="AA139" s="606"/>
    </row>
    <row r="140" spans="1:27" s="69" customFormat="1" x14ac:dyDescent="0.2">
      <c r="A140" s="793">
        <v>10</v>
      </c>
      <c r="B140" s="641" t="str">
        <f>IFERROR(INDEX(B$1:B$106,MATCH(A140,A$1:A$101,0)),"")</f>
        <v>Aigi Orro, Elmo Lageda, Kalle Orro</v>
      </c>
      <c r="C140" s="241">
        <v>11</v>
      </c>
      <c r="D140" s="247"/>
      <c r="E140" s="262"/>
      <c r="F140" s="653"/>
      <c r="G140" s="420"/>
      <c r="H140" s="656"/>
      <c r="I140" s="250" t="s">
        <v>376</v>
      </c>
      <c r="J140" s="251"/>
      <c r="K140" s="606"/>
      <c r="L140" s="606"/>
      <c r="M140" s="606"/>
      <c r="N140" s="606"/>
      <c r="O140" s="606"/>
      <c r="P140" s="606"/>
      <c r="Q140" s="606"/>
      <c r="R140" s="606"/>
      <c r="S140" s="606"/>
      <c r="T140" s="606"/>
      <c r="U140" s="606"/>
      <c r="V140" s="606"/>
      <c r="W140" s="606"/>
      <c r="X140" s="606"/>
      <c r="Y140" s="606"/>
      <c r="Z140" s="606"/>
      <c r="AA140" s="606"/>
    </row>
    <row r="141" spans="1:27" s="69" customFormat="1" x14ac:dyDescent="0.2">
      <c r="A141" s="793"/>
      <c r="B141" s="794"/>
      <c r="C141" s="643" t="str">
        <f>IF(COUNT(C140,C142)=2,IF(C140&gt;C142,B140,B142),"")</f>
        <v>Aimar Poom, Kertu Palm, Valmar Pantšenko</v>
      </c>
      <c r="D141" s="243"/>
      <c r="E141" s="654"/>
      <c r="F141" s="655"/>
      <c r="G141" s="247">
        <v>13</v>
      </c>
      <c r="H141" s="262"/>
      <c r="I141" s="49"/>
      <c r="J141" s="49"/>
      <c r="K141" s="606"/>
      <c r="L141" s="606"/>
      <c r="M141" s="606"/>
      <c r="N141" s="606"/>
      <c r="O141" s="606"/>
      <c r="P141" s="606"/>
      <c r="Q141" s="606"/>
      <c r="R141" s="606"/>
      <c r="S141" s="606"/>
      <c r="T141" s="606"/>
      <c r="U141" s="606"/>
      <c r="V141" s="606"/>
      <c r="W141" s="606"/>
      <c r="X141" s="606"/>
      <c r="Y141" s="606"/>
      <c r="Z141" s="606"/>
      <c r="AA141" s="606"/>
    </row>
    <row r="142" spans="1:27" s="69" customFormat="1" ht="13.5" thickBot="1" x14ac:dyDescent="0.25">
      <c r="A142" s="793">
        <v>11</v>
      </c>
      <c r="B142" s="650" t="str">
        <f>IFERROR(INDEX(B$1:B$106,MATCH(A142,A$1:A$101,0)),"")</f>
        <v>Aimar Poom, Kertu Palm, Valmar Pantšenko</v>
      </c>
      <c r="C142" s="244">
        <v>13</v>
      </c>
      <c r="D142" s="241"/>
      <c r="G142" s="247"/>
      <c r="H142" s="262"/>
      <c r="I142" s="425" t="str">
        <f>IF(COUNT(G137,G141)=2,IF(G137&lt;G141,C137,C141),"")</f>
        <v>Henri Mitt, Johannes Neiland, Matti Vinni</v>
      </c>
      <c r="J142" s="252"/>
      <c r="K142" s="606"/>
      <c r="L142" s="606"/>
      <c r="M142" s="606"/>
      <c r="N142" s="606"/>
      <c r="O142" s="606"/>
      <c r="P142" s="606"/>
      <c r="Q142" s="606"/>
      <c r="R142" s="606"/>
      <c r="S142" s="606"/>
      <c r="T142" s="606"/>
      <c r="U142" s="606"/>
      <c r="V142" s="606"/>
      <c r="W142" s="606"/>
      <c r="X142" s="606"/>
      <c r="Y142" s="606"/>
      <c r="Z142" s="606"/>
      <c r="AA142" s="606"/>
    </row>
    <row r="143" spans="1:27" s="69" customFormat="1" x14ac:dyDescent="0.2">
      <c r="A143" s="606"/>
      <c r="B143" s="606"/>
      <c r="C143" s="241"/>
      <c r="D143" s="241"/>
      <c r="G143" s="247"/>
      <c r="H143" s="262"/>
      <c r="I143" s="250" t="s">
        <v>377</v>
      </c>
      <c r="J143" s="49"/>
      <c r="K143" s="606"/>
      <c r="L143" s="606"/>
      <c r="M143" s="606"/>
      <c r="N143" s="606"/>
      <c r="O143" s="606"/>
      <c r="P143" s="606"/>
      <c r="Q143" s="606"/>
      <c r="R143" s="606"/>
      <c r="S143" s="606"/>
      <c r="T143" s="606"/>
      <c r="U143" s="606"/>
      <c r="V143" s="606"/>
      <c r="W143" s="606"/>
      <c r="X143" s="606"/>
      <c r="Y143" s="606"/>
      <c r="Z143" s="606"/>
      <c r="AA143" s="606"/>
    </row>
    <row r="144" spans="1:27" s="69" customFormat="1" x14ac:dyDescent="0.2">
      <c r="A144" s="606"/>
      <c r="B144" s="606"/>
      <c r="C144" s="418" t="str">
        <f>IF(COUNT(C136,C138)=2,IF(C136&lt;C138,B136,B138),"")</f>
        <v>Enn Kivisaar, Enn Tõppan, Peeter Zirk</v>
      </c>
      <c r="D144" s="74"/>
      <c r="G144" s="247">
        <v>2</v>
      </c>
      <c r="H144" s="262"/>
      <c r="I144" s="49"/>
      <c r="J144" s="49"/>
      <c r="K144" s="606"/>
      <c r="L144" s="606"/>
      <c r="M144" s="606"/>
      <c r="N144" s="606"/>
      <c r="O144" s="606"/>
      <c r="P144" s="606"/>
      <c r="Q144" s="606"/>
      <c r="R144" s="606"/>
      <c r="S144" s="606"/>
      <c r="T144" s="606"/>
      <c r="U144" s="606"/>
      <c r="V144" s="606"/>
      <c r="W144" s="606"/>
      <c r="X144" s="606"/>
      <c r="Y144" s="606"/>
      <c r="Z144" s="606"/>
      <c r="AA144" s="606"/>
    </row>
    <row r="145" spans="1:27" s="69" customFormat="1" ht="13.5" thickBot="1" x14ac:dyDescent="0.25">
      <c r="A145" s="606"/>
      <c r="B145" s="606"/>
      <c r="C145" s="646"/>
      <c r="D145" s="646"/>
      <c r="E145" s="651"/>
      <c r="F145" s="652"/>
      <c r="G145" s="252"/>
      <c r="H145" s="657"/>
      <c r="I145" s="425" t="str">
        <f>IF(COUNT(G144,G146)=2,IF(G144&gt;G146,C144,C146),"")</f>
        <v>Aigi Orro, Elmo Lageda, Kalle Orro</v>
      </c>
      <c r="J145" s="252"/>
      <c r="K145" s="606"/>
      <c r="L145" s="606"/>
      <c r="M145" s="606"/>
      <c r="N145" s="606"/>
      <c r="O145" s="606"/>
      <c r="P145" s="606"/>
      <c r="Q145" s="606"/>
      <c r="R145" s="606"/>
      <c r="S145" s="606"/>
      <c r="T145" s="606"/>
      <c r="U145" s="606"/>
      <c r="V145" s="606"/>
      <c r="W145" s="606"/>
      <c r="X145" s="606"/>
      <c r="Y145" s="606"/>
      <c r="Z145" s="606"/>
      <c r="AA145" s="606"/>
    </row>
    <row r="146" spans="1:27" s="69" customFormat="1" x14ac:dyDescent="0.2">
      <c r="A146" s="606"/>
      <c r="B146" s="606"/>
      <c r="C146" s="417" t="str">
        <f>IF(COUNT(C140,C142)=2,IF(C140&lt;C142,B140,B142),"")</f>
        <v>Aigi Orro, Elmo Lageda, Kalle Orro</v>
      </c>
      <c r="D146" s="243"/>
      <c r="E146" s="654"/>
      <c r="F146" s="655"/>
      <c r="G146" s="247">
        <v>13</v>
      </c>
      <c r="H146" s="262"/>
      <c r="I146" s="253" t="s">
        <v>378</v>
      </c>
      <c r="J146" s="49"/>
      <c r="K146" s="606"/>
      <c r="L146" s="606"/>
      <c r="M146" s="606"/>
      <c r="N146" s="606"/>
      <c r="O146" s="606"/>
      <c r="P146" s="606"/>
      <c r="Q146" s="606"/>
      <c r="R146" s="606"/>
      <c r="S146" s="606"/>
      <c r="T146" s="606"/>
      <c r="U146" s="606"/>
      <c r="V146" s="606"/>
      <c r="W146" s="606"/>
      <c r="X146" s="606"/>
      <c r="Y146" s="606"/>
      <c r="Z146" s="606"/>
      <c r="AA146" s="606"/>
    </row>
    <row r="147" spans="1:27" s="69" customFormat="1" x14ac:dyDescent="0.2">
      <c r="A147" s="606"/>
      <c r="B147" s="606"/>
      <c r="C147" s="74"/>
      <c r="D147" s="74"/>
      <c r="G147" s="74"/>
      <c r="H147" s="262"/>
      <c r="I147" s="49"/>
      <c r="J147" s="49"/>
      <c r="K147" s="606"/>
      <c r="L147" s="606"/>
      <c r="M147" s="606"/>
      <c r="N147" s="606"/>
      <c r="O147" s="606"/>
      <c r="P147" s="606"/>
      <c r="Q147" s="606"/>
      <c r="R147" s="606"/>
      <c r="S147" s="606"/>
      <c r="T147" s="606"/>
      <c r="U147" s="606"/>
      <c r="V147" s="606"/>
      <c r="W147" s="606"/>
      <c r="X147" s="606"/>
      <c r="Y147" s="606"/>
      <c r="Z147" s="606"/>
      <c r="AA147" s="606"/>
    </row>
    <row r="148" spans="1:27" s="69" customFormat="1" ht="13.5" thickBot="1" x14ac:dyDescent="0.25">
      <c r="A148" s="606"/>
      <c r="B148" s="606"/>
      <c r="C148" s="49"/>
      <c r="D148" s="49"/>
      <c r="G148" s="74"/>
      <c r="H148" s="262"/>
      <c r="I148" s="252" t="str">
        <f>IF(COUNT(G144,G146)=2,IF(G144&lt;G146,C144,C146),"")</f>
        <v>Enn Kivisaar, Enn Tõppan, Peeter Zirk</v>
      </c>
      <c r="J148" s="252"/>
      <c r="K148" s="606"/>
      <c r="N148" s="606"/>
      <c r="O148" s="606"/>
      <c r="P148" s="606"/>
      <c r="Q148" s="606"/>
      <c r="R148" s="606"/>
      <c r="S148" s="606"/>
      <c r="T148" s="606"/>
      <c r="U148" s="606"/>
      <c r="V148" s="606"/>
      <c r="W148" s="606"/>
      <c r="X148" s="606"/>
      <c r="Y148" s="606"/>
      <c r="Z148" s="606"/>
      <c r="AA148" s="606"/>
    </row>
    <row r="149" spans="1:27" s="69" customFormat="1" x14ac:dyDescent="0.2">
      <c r="A149" s="606"/>
      <c r="B149" s="606"/>
      <c r="C149" s="204"/>
      <c r="D149" s="204"/>
      <c r="G149" s="259"/>
      <c r="H149" s="262"/>
      <c r="I149" s="250" t="s">
        <v>539</v>
      </c>
      <c r="J149" s="238"/>
      <c r="K149" s="606"/>
      <c r="Q149" s="606"/>
      <c r="R149" s="606"/>
      <c r="S149" s="606"/>
      <c r="T149" s="606"/>
      <c r="U149" s="606"/>
      <c r="V149" s="606"/>
      <c r="W149" s="606"/>
      <c r="X149" s="606"/>
      <c r="Y149" s="606"/>
      <c r="Z149" s="606"/>
      <c r="AA149" s="606"/>
    </row>
    <row r="150" spans="1:27" s="69" customFormat="1" x14ac:dyDescent="0.2">
      <c r="B150" s="74"/>
      <c r="C150" s="247"/>
      <c r="G150" s="606"/>
      <c r="H150" s="606"/>
      <c r="I150" s="606"/>
      <c r="J150" s="606"/>
      <c r="K150" s="606"/>
      <c r="Q150" s="606"/>
      <c r="R150" s="606"/>
      <c r="S150" s="606"/>
      <c r="T150" s="606"/>
      <c r="U150" s="606"/>
      <c r="V150" s="606"/>
      <c r="W150" s="606"/>
      <c r="X150" s="606"/>
      <c r="Y150" s="606"/>
      <c r="Z150" s="606"/>
      <c r="AA150" s="606"/>
    </row>
    <row r="151" spans="1:27" s="69" customFormat="1" x14ac:dyDescent="0.2">
      <c r="A151" s="239" t="s">
        <v>799</v>
      </c>
      <c r="B151" s="49"/>
      <c r="C151" s="203"/>
      <c r="D151" s="203"/>
      <c r="E151" s="204"/>
      <c r="F151" s="205"/>
      <c r="G151" s="606"/>
      <c r="H151" s="606"/>
      <c r="I151" s="606"/>
      <c r="J151" s="606"/>
      <c r="K151" s="606"/>
      <c r="Q151" s="606"/>
      <c r="R151" s="606"/>
      <c r="S151" s="606"/>
      <c r="T151" s="606"/>
      <c r="U151" s="606"/>
      <c r="V151" s="606"/>
      <c r="W151" s="606"/>
      <c r="X151" s="606"/>
      <c r="Y151" s="606"/>
      <c r="Z151" s="606"/>
      <c r="AA151" s="606"/>
    </row>
    <row r="152" spans="1:27" s="69" customFormat="1" x14ac:dyDescent="0.2">
      <c r="A152" s="74"/>
      <c r="B152" s="74"/>
      <c r="C152" s="74"/>
      <c r="D152" s="74"/>
      <c r="E152" s="74"/>
      <c r="F152" s="74"/>
      <c r="G152" s="606"/>
      <c r="H152" s="606"/>
      <c r="I152" s="606"/>
      <c r="J152" s="606"/>
      <c r="K152" s="606"/>
      <c r="Q152" s="606"/>
      <c r="R152" s="606"/>
      <c r="S152" s="606"/>
      <c r="T152" s="606"/>
      <c r="U152" s="606"/>
      <c r="V152" s="606"/>
      <c r="W152" s="606"/>
      <c r="X152" s="606"/>
      <c r="Y152" s="606"/>
      <c r="Z152" s="606"/>
      <c r="AA152" s="606"/>
    </row>
    <row r="153" spans="1:27" s="69" customFormat="1" x14ac:dyDescent="0.2">
      <c r="A153" s="606"/>
      <c r="B153" s="263">
        <v>13</v>
      </c>
      <c r="C153" s="641" t="str">
        <f>IFERROR(INDEX(B$1:B$106,MATCH(B153,A$1:A$106,0)),"")</f>
        <v>Andres Veski, Kenneth Muusikus, Svetlana Veski</v>
      </c>
      <c r="D153" s="74"/>
      <c r="G153" s="247">
        <v>8</v>
      </c>
      <c r="H153" s="262"/>
      <c r="I153" s="49"/>
      <c r="J153" s="49"/>
      <c r="K153" s="606"/>
      <c r="Q153" s="606"/>
      <c r="R153" s="606"/>
      <c r="S153" s="606"/>
      <c r="T153" s="606"/>
      <c r="U153" s="606"/>
      <c r="V153" s="606"/>
      <c r="W153" s="606"/>
      <c r="X153" s="606"/>
      <c r="Y153" s="606"/>
      <c r="Z153" s="606"/>
      <c r="AA153" s="606"/>
    </row>
    <row r="154" spans="1:27" s="69" customFormat="1" ht="13.5" thickBot="1" x14ac:dyDescent="0.25">
      <c r="A154" s="606"/>
      <c r="B154" s="263"/>
      <c r="C154" s="797"/>
      <c r="D154" s="797"/>
      <c r="E154" s="795"/>
      <c r="F154" s="796"/>
      <c r="G154" s="252"/>
      <c r="H154" s="657"/>
      <c r="I154" s="425" t="str">
        <f>IF(COUNT(G153,G155)=2,IF(G153&gt;G155,C153,C155),"")</f>
        <v>Jaan Sepp, Mait Metsla, Vladimir Ogneštšikov</v>
      </c>
      <c r="J154" s="252"/>
      <c r="K154" s="606"/>
      <c r="Q154" s="606"/>
      <c r="R154" s="606"/>
      <c r="S154" s="606"/>
      <c r="T154" s="606"/>
      <c r="U154" s="606"/>
      <c r="V154" s="606"/>
      <c r="W154" s="606"/>
      <c r="X154" s="606"/>
      <c r="Y154" s="606"/>
      <c r="Z154" s="606"/>
      <c r="AA154" s="606"/>
    </row>
    <row r="155" spans="1:27" s="69" customFormat="1" x14ac:dyDescent="0.2">
      <c r="A155" s="606"/>
      <c r="B155" s="263">
        <v>14</v>
      </c>
      <c r="C155" s="650" t="str">
        <f>IFERROR(INDEX(B$1:B$106,MATCH(B155,A$1:A$106,0)),"")</f>
        <v>Jaan Sepp, Mait Metsla, Vladimir Ogneštšikov</v>
      </c>
      <c r="D155" s="243"/>
      <c r="E155" s="654"/>
      <c r="F155" s="655"/>
      <c r="G155" s="247">
        <v>13</v>
      </c>
      <c r="H155" s="262"/>
      <c r="I155" s="253" t="s">
        <v>540</v>
      </c>
      <c r="J155" s="49"/>
      <c r="O155" s="262"/>
      <c r="P155" s="606"/>
      <c r="Q155" s="606"/>
      <c r="R155" s="606"/>
      <c r="S155" s="606"/>
      <c r="T155" s="606"/>
      <c r="U155" s="606"/>
      <c r="V155" s="606"/>
      <c r="W155" s="606"/>
      <c r="X155" s="606"/>
      <c r="Y155" s="606"/>
      <c r="Z155" s="606"/>
      <c r="AA155" s="606"/>
    </row>
    <row r="156" spans="1:27" s="69" customFormat="1" x14ac:dyDescent="0.2">
      <c r="A156" s="606"/>
      <c r="B156" s="606"/>
      <c r="C156" s="74"/>
      <c r="D156" s="74"/>
      <c r="G156" s="74"/>
      <c r="H156" s="262"/>
      <c r="I156" s="49"/>
      <c r="J156" s="49"/>
      <c r="O156" s="262"/>
      <c r="P156" s="606"/>
      <c r="Q156" s="606"/>
      <c r="R156" s="606"/>
      <c r="S156" s="606"/>
      <c r="T156" s="606"/>
      <c r="U156" s="606"/>
      <c r="V156" s="606"/>
      <c r="W156" s="606"/>
      <c r="X156" s="606"/>
      <c r="Y156" s="606"/>
      <c r="Z156" s="606"/>
      <c r="AA156" s="606"/>
    </row>
    <row r="157" spans="1:27" s="69" customFormat="1" ht="13.5" thickBot="1" x14ac:dyDescent="0.25">
      <c r="A157" s="606"/>
      <c r="B157" s="606"/>
      <c r="C157" s="49"/>
      <c r="D157" s="49"/>
      <c r="G157" s="74"/>
      <c r="H157" s="262"/>
      <c r="I157" s="252" t="str">
        <f>IF(COUNT(G153,G155)=2,IF(G153&lt;G155,C153,C155),"")</f>
        <v>Andres Veski, Kenneth Muusikus, Svetlana Veski</v>
      </c>
      <c r="J157" s="252"/>
      <c r="O157" s="262"/>
      <c r="P157" s="606"/>
      <c r="Q157" s="606"/>
      <c r="R157" s="606"/>
      <c r="S157" s="606"/>
      <c r="T157" s="606"/>
      <c r="U157" s="606"/>
      <c r="V157" s="606"/>
      <c r="W157" s="606"/>
      <c r="X157" s="606"/>
      <c r="Y157" s="606"/>
      <c r="Z157" s="606"/>
      <c r="AA157" s="606"/>
    </row>
    <row r="158" spans="1:27" s="69" customFormat="1" x14ac:dyDescent="0.2">
      <c r="A158" s="606"/>
      <c r="B158" s="606"/>
      <c r="C158" s="204"/>
      <c r="D158" s="204"/>
      <c r="G158" s="259"/>
      <c r="H158" s="262"/>
      <c r="I158" s="250" t="s">
        <v>541</v>
      </c>
      <c r="J158" s="238"/>
      <c r="O158" s="262"/>
      <c r="P158" s="606"/>
      <c r="Q158" s="606"/>
      <c r="R158" s="606"/>
      <c r="S158" s="606"/>
      <c r="T158" s="606"/>
      <c r="U158" s="606"/>
      <c r="V158" s="606"/>
      <c r="W158" s="606"/>
      <c r="X158" s="606"/>
      <c r="Y158" s="606"/>
      <c r="Z158" s="606"/>
      <c r="AA158" s="606"/>
    </row>
    <row r="159" spans="1:27" s="69" customFormat="1" hidden="1" x14ac:dyDescent="0.2">
      <c r="A159" s="606"/>
      <c r="O159" s="262"/>
      <c r="P159" s="606"/>
      <c r="Q159" s="606"/>
      <c r="R159" s="606"/>
      <c r="S159" s="606"/>
      <c r="T159" s="606"/>
      <c r="U159" s="606"/>
      <c r="V159" s="606"/>
      <c r="W159" s="606"/>
      <c r="X159" s="606"/>
      <c r="Y159" s="606"/>
      <c r="Z159" s="606"/>
      <c r="AA159" s="606"/>
    </row>
    <row r="160" spans="1:27" s="69" customFormat="1" hidden="1" x14ac:dyDescent="0.2">
      <c r="A160" s="606"/>
      <c r="O160" s="262"/>
      <c r="P160" s="606"/>
      <c r="Q160" s="606"/>
      <c r="R160" s="606"/>
      <c r="S160" s="606"/>
      <c r="T160" s="606"/>
      <c r="U160" s="606"/>
      <c r="V160" s="606"/>
      <c r="W160" s="606"/>
      <c r="X160" s="606"/>
      <c r="Y160" s="606"/>
      <c r="Z160" s="606"/>
      <c r="AA160" s="606"/>
    </row>
    <row r="161" spans="1:27" s="69" customFormat="1" hidden="1" x14ac:dyDescent="0.2">
      <c r="O161" s="262"/>
      <c r="P161" s="606"/>
      <c r="Q161" s="606"/>
      <c r="R161" s="606"/>
      <c r="S161" s="606"/>
      <c r="T161" s="606"/>
      <c r="U161" s="606"/>
      <c r="V161" s="606"/>
      <c r="W161" s="606"/>
      <c r="X161" s="606"/>
      <c r="Y161" s="606"/>
      <c r="Z161" s="606"/>
      <c r="AA161" s="606"/>
    </row>
    <row r="162" spans="1:27" s="69" customFormat="1" hidden="1" x14ac:dyDescent="0.2">
      <c r="O162" s="262"/>
      <c r="P162" s="606"/>
      <c r="Q162" s="606"/>
      <c r="R162" s="606"/>
      <c r="S162" s="606"/>
      <c r="T162" s="606"/>
      <c r="U162" s="606"/>
      <c r="V162" s="606"/>
      <c r="W162" s="606"/>
      <c r="X162" s="606"/>
      <c r="Y162" s="606"/>
      <c r="Z162" s="606"/>
      <c r="AA162" s="606"/>
    </row>
    <row r="163" spans="1:27" s="69" customFormat="1" hidden="1" x14ac:dyDescent="0.2">
      <c r="O163" s="262"/>
    </row>
    <row r="164" spans="1:27" s="69" customFormat="1" hidden="1" x14ac:dyDescent="0.2">
      <c r="O164" s="262"/>
    </row>
    <row r="165" spans="1:27" s="69" customFormat="1" hidden="1" x14ac:dyDescent="0.2">
      <c r="A165" s="74"/>
      <c r="O165" s="262"/>
    </row>
    <row r="166" spans="1:27" s="69" customFormat="1" hidden="1" x14ac:dyDescent="0.2">
      <c r="A166" s="74"/>
      <c r="O166" s="262"/>
      <c r="S166" s="262"/>
      <c r="T166" s="262"/>
      <c r="U166" s="262"/>
      <c r="V166" s="262"/>
      <c r="W166" s="262"/>
      <c r="X166" s="262"/>
      <c r="Y166" s="262"/>
      <c r="Z166" s="262"/>
    </row>
    <row r="167" spans="1:27" s="69" customFormat="1" hidden="1" x14ac:dyDescent="0.2">
      <c r="A167" s="74"/>
      <c r="O167" s="262"/>
      <c r="S167" s="262"/>
      <c r="T167" s="262"/>
      <c r="U167" s="262"/>
      <c r="V167" s="262"/>
      <c r="W167" s="262"/>
      <c r="X167" s="262"/>
      <c r="Y167" s="262"/>
      <c r="Z167" s="262"/>
    </row>
    <row r="168" spans="1:27" s="69" customFormat="1" hidden="1" x14ac:dyDescent="0.2"/>
    <row r="169" spans="1:27" s="69" customFormat="1" hidden="1" x14ac:dyDescent="0.2"/>
    <row r="170" spans="1:27" s="69" customFormat="1" hidden="1" x14ac:dyDescent="0.2"/>
    <row r="171" spans="1:27" s="69" customFormat="1" hidden="1" x14ac:dyDescent="0.2"/>
    <row r="172" spans="1:27" s="69" customFormat="1" hidden="1" x14ac:dyDescent="0.2"/>
    <row r="173" spans="1:27" s="69" customFormat="1" hidden="1" x14ac:dyDescent="0.2"/>
    <row r="174" spans="1:27" s="69" customFormat="1" hidden="1" x14ac:dyDescent="0.2"/>
    <row r="175" spans="1:27" s="69" customFormat="1" hidden="1" x14ac:dyDescent="0.2"/>
    <row r="176" spans="1:27" s="69" customFormat="1" hidden="1" x14ac:dyDescent="0.2"/>
    <row r="177" spans="12:12" s="69" customFormat="1" hidden="1" x14ac:dyDescent="0.2"/>
    <row r="178" spans="12:12" s="69" customFormat="1" hidden="1" x14ac:dyDescent="0.2">
      <c r="L178" s="262"/>
    </row>
    <row r="179" spans="12:12" s="69" customFormat="1" hidden="1" x14ac:dyDescent="0.2">
      <c r="L179" s="262"/>
    </row>
    <row r="180" spans="12:12" s="69" customFormat="1" hidden="1" x14ac:dyDescent="0.2"/>
    <row r="181" spans="12:12" s="69" customFormat="1" hidden="1" x14ac:dyDescent="0.2"/>
    <row r="182" spans="12:12" s="69" customFormat="1" hidden="1" x14ac:dyDescent="0.2"/>
    <row r="183" spans="12:12" s="69" customFormat="1" hidden="1" x14ac:dyDescent="0.2"/>
    <row r="184" spans="12:12" s="69" customFormat="1" hidden="1" x14ac:dyDescent="0.2"/>
    <row r="185" spans="12:12" s="69" customFormat="1" hidden="1" x14ac:dyDescent="0.2"/>
    <row r="186" spans="12:12" s="69" customFormat="1" hidden="1" x14ac:dyDescent="0.2"/>
    <row r="187" spans="12:12" s="69" customFormat="1" hidden="1" x14ac:dyDescent="0.2"/>
    <row r="188" spans="12:12" s="69" customFormat="1" hidden="1" x14ac:dyDescent="0.2"/>
    <row r="189" spans="12:12" s="69" customFormat="1" hidden="1" x14ac:dyDescent="0.2"/>
    <row r="190" spans="12:12" s="69" customFormat="1" hidden="1" x14ac:dyDescent="0.2"/>
    <row r="191" spans="12:12" s="69" customFormat="1" hidden="1" x14ac:dyDescent="0.2"/>
    <row r="192" spans="12:12" s="69" customFormat="1" hidden="1" x14ac:dyDescent="0.2"/>
    <row r="193" spans="11:33" hidden="1" x14ac:dyDescent="0.2">
      <c r="K193" s="69"/>
      <c r="L193" s="69"/>
      <c r="M193" s="69"/>
      <c r="S193" s="69"/>
      <c r="T193" s="69"/>
      <c r="U193" s="69"/>
      <c r="V193" s="69"/>
      <c r="W193" s="69"/>
      <c r="X193" s="69"/>
      <c r="Y193" s="69"/>
      <c r="Z193" s="69"/>
      <c r="AG193" s="69"/>
    </row>
    <row r="194" spans="11:33" hidden="1" x14ac:dyDescent="0.2">
      <c r="K194" s="69"/>
      <c r="L194" s="69"/>
      <c r="M194" s="69"/>
      <c r="S194" s="69"/>
      <c r="T194" s="69"/>
      <c r="U194" s="69"/>
      <c r="V194" s="69"/>
      <c r="W194" s="69"/>
      <c r="X194" s="69"/>
      <c r="Y194" s="69"/>
      <c r="Z194" s="69"/>
      <c r="AG194" s="69"/>
    </row>
    <row r="195" spans="11:33" hidden="1" x14ac:dyDescent="0.2">
      <c r="K195" s="69"/>
      <c r="L195" s="69"/>
      <c r="M195" s="69"/>
      <c r="S195" s="69"/>
      <c r="T195" s="69"/>
      <c r="U195" s="69"/>
      <c r="V195" s="69"/>
      <c r="W195" s="69"/>
      <c r="X195" s="69"/>
      <c r="Y195" s="69"/>
      <c r="Z195" s="69"/>
      <c r="AG195" s="69"/>
    </row>
    <row r="196" spans="11:33" hidden="1" x14ac:dyDescent="0.2">
      <c r="K196" s="69"/>
      <c r="L196" s="69"/>
      <c r="M196" s="69"/>
      <c r="S196" s="69"/>
      <c r="T196" s="69"/>
      <c r="U196" s="69"/>
      <c r="V196" s="69"/>
      <c r="W196" s="69"/>
      <c r="X196" s="69"/>
      <c r="Y196" s="69"/>
      <c r="Z196" s="69"/>
      <c r="AG196" s="69"/>
    </row>
    <row r="197" spans="11:33" hidden="1" x14ac:dyDescent="0.2">
      <c r="K197" s="69"/>
      <c r="L197" s="69"/>
      <c r="M197" s="69"/>
      <c r="S197" s="69"/>
      <c r="T197" s="69"/>
      <c r="U197" s="69"/>
      <c r="V197" s="69"/>
      <c r="W197" s="69"/>
      <c r="X197" s="69"/>
      <c r="Y197" s="69"/>
      <c r="Z197" s="69"/>
      <c r="AG197" s="69"/>
    </row>
    <row r="198" spans="11:33" hidden="1" x14ac:dyDescent="0.2">
      <c r="K198" s="69"/>
      <c r="L198" s="69"/>
      <c r="M198" s="69"/>
      <c r="S198" s="69"/>
      <c r="T198" s="69"/>
      <c r="U198" s="69"/>
      <c r="V198" s="69"/>
      <c r="W198" s="69"/>
      <c r="X198" s="69"/>
      <c r="Y198" s="69"/>
      <c r="Z198" s="69"/>
      <c r="AG198" s="69"/>
    </row>
    <row r="199" spans="11:33" hidden="1" x14ac:dyDescent="0.2">
      <c r="K199" s="69"/>
      <c r="L199" s="69"/>
      <c r="M199" s="69"/>
      <c r="S199" s="69"/>
      <c r="T199" s="69"/>
      <c r="U199" s="69"/>
      <c r="V199" s="69"/>
      <c r="W199" s="69"/>
      <c r="X199" s="69"/>
      <c r="Y199" s="69"/>
      <c r="Z199" s="69"/>
      <c r="AG199" s="69"/>
    </row>
    <row r="200" spans="11:33" hidden="1" x14ac:dyDescent="0.2">
      <c r="K200" s="69"/>
      <c r="L200" s="69"/>
      <c r="M200" s="69"/>
      <c r="S200" s="69"/>
      <c r="T200" s="69"/>
      <c r="U200" s="69"/>
      <c r="V200" s="69"/>
      <c r="W200" s="69"/>
      <c r="X200" s="69"/>
      <c r="Y200" s="69"/>
      <c r="Z200" s="69"/>
      <c r="AG200" s="69"/>
    </row>
    <row r="201" spans="11:33" hidden="1" x14ac:dyDescent="0.2">
      <c r="K201" s="69"/>
      <c r="L201" s="69"/>
      <c r="M201" s="69"/>
      <c r="S201" s="69"/>
      <c r="T201" s="69"/>
      <c r="U201" s="69"/>
      <c r="V201" s="69"/>
      <c r="W201" s="69"/>
      <c r="X201" s="69"/>
      <c r="Y201" s="69"/>
      <c r="Z201" s="69"/>
      <c r="AG201" s="69"/>
    </row>
    <row r="202" spans="11:33" hidden="1" x14ac:dyDescent="0.2">
      <c r="K202" s="69"/>
      <c r="L202" s="69"/>
      <c r="M202" s="69"/>
      <c r="S202" s="69"/>
      <c r="T202" s="69"/>
      <c r="U202" s="69"/>
      <c r="V202" s="69"/>
      <c r="W202" s="69"/>
      <c r="X202" s="69"/>
      <c r="Y202" s="69"/>
      <c r="Z202" s="69"/>
      <c r="AG202" s="69"/>
    </row>
    <row r="203" spans="11:33" hidden="1" x14ac:dyDescent="0.2">
      <c r="K203" s="69"/>
      <c r="L203" s="69"/>
      <c r="M203" s="69"/>
      <c r="S203" s="69"/>
      <c r="T203" s="69"/>
      <c r="U203" s="69"/>
      <c r="V203" s="69"/>
      <c r="W203" s="69"/>
      <c r="X203" s="69"/>
      <c r="Y203" s="69"/>
      <c r="Z203" s="69"/>
      <c r="AG203" s="69"/>
    </row>
    <row r="204" spans="11:33" hidden="1" x14ac:dyDescent="0.2">
      <c r="K204" s="69"/>
      <c r="L204" s="69"/>
      <c r="M204" s="69"/>
      <c r="S204" s="69"/>
      <c r="T204" s="69"/>
      <c r="U204" s="69"/>
      <c r="V204" s="69"/>
      <c r="W204" s="69"/>
      <c r="X204" s="69"/>
      <c r="Y204" s="69"/>
      <c r="Z204" s="69"/>
      <c r="AG204" s="69"/>
    </row>
    <row r="205" spans="11:33" hidden="1" x14ac:dyDescent="0.2">
      <c r="K205" s="69"/>
      <c r="L205" s="69"/>
      <c r="M205" s="69"/>
      <c r="S205" s="69"/>
      <c r="T205" s="69"/>
      <c r="U205" s="69"/>
      <c r="V205" s="69"/>
      <c r="W205" s="69"/>
      <c r="X205" s="69"/>
      <c r="Y205" s="69"/>
      <c r="Z205" s="69"/>
      <c r="AG205" s="69"/>
    </row>
    <row r="206" spans="11:33" hidden="1" x14ac:dyDescent="0.2">
      <c r="K206" s="69"/>
      <c r="L206" s="69"/>
      <c r="M206" s="69"/>
      <c r="S206" s="69"/>
      <c r="T206" s="69"/>
      <c r="U206" s="69"/>
      <c r="V206" s="69"/>
      <c r="W206" s="69"/>
      <c r="X206" s="69"/>
      <c r="Y206" s="69"/>
      <c r="Z206" s="69"/>
      <c r="AG206" s="69"/>
    </row>
    <row r="207" spans="11:33" hidden="1" x14ac:dyDescent="0.2">
      <c r="K207" s="69"/>
      <c r="L207" s="69"/>
      <c r="M207" s="69"/>
      <c r="S207" s="69"/>
      <c r="T207" s="69"/>
      <c r="U207" s="69"/>
      <c r="V207" s="69"/>
      <c r="W207" s="69"/>
      <c r="X207" s="69"/>
      <c r="Y207" s="69"/>
      <c r="Z207" s="69"/>
      <c r="AG207" s="69"/>
    </row>
    <row r="208" spans="11:33"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c r="E293" s="611"/>
    </row>
    <row r="294" spans="1:46" hidden="1" x14ac:dyDescent="0.2">
      <c r="E294" s="74"/>
    </row>
    <row r="295" spans="1:46" hidden="1" x14ac:dyDescent="0.2">
      <c r="E295" s="606"/>
    </row>
    <row r="296" spans="1:46" hidden="1" x14ac:dyDescent="0.2">
      <c r="E296" s="606"/>
    </row>
    <row r="297" spans="1:46" hidden="1" x14ac:dyDescent="0.2">
      <c r="E297" s="606"/>
    </row>
    <row r="298" spans="1:46" x14ac:dyDescent="0.2">
      <c r="E298" s="606"/>
      <c r="AS298" s="262"/>
    </row>
    <row r="299" spans="1:46" x14ac:dyDescent="0.2">
      <c r="A299" s="623"/>
      <c r="B299" s="623"/>
      <c r="C299" s="264" t="s">
        <v>220</v>
      </c>
      <c r="D299" s="611"/>
      <c r="E299" s="606"/>
      <c r="AS299" s="262"/>
      <c r="AT299" s="262"/>
    </row>
    <row r="300" spans="1:46" x14ac:dyDescent="0.2">
      <c r="A300" s="624">
        <v>1</v>
      </c>
      <c r="B300" s="790" t="str">
        <f>IFERROR(INDEX(I$100:I$300,MATCH(A300&amp;". koht",I$101:I$301,0)),"")</f>
        <v>Hardo Sokk, Jaan Joonas, Marek Kolk</v>
      </c>
      <c r="C300" s="74">
        <v>115</v>
      </c>
      <c r="D300" s="74"/>
      <c r="E300" s="606"/>
      <c r="AS300" s="262"/>
      <c r="AT300" s="262"/>
    </row>
    <row r="301" spans="1:46" x14ac:dyDescent="0.2">
      <c r="A301" s="624">
        <v>2</v>
      </c>
      <c r="B301" s="266" t="str">
        <f t="shared" ref="B301:B313" si="14">IFERROR(INDEX(I$100:I$300,MATCH(A301&amp;". koht",I$101:I$301,0)),"")</f>
        <v>Maive Sein, Maris Rõõm, Varje Reede</v>
      </c>
      <c r="C301" s="606">
        <v>105</v>
      </c>
      <c r="D301" s="606"/>
      <c r="E301" s="606"/>
      <c r="AS301" s="262"/>
      <c r="AT301" s="262"/>
    </row>
    <row r="302" spans="1:46" x14ac:dyDescent="0.2">
      <c r="A302" s="624">
        <v>3</v>
      </c>
      <c r="B302" s="266" t="str">
        <f t="shared" si="14"/>
        <v>Egert Kingissepp, Mare Kingissepp, Marge Mägi, Silver Kingissepp</v>
      </c>
      <c r="C302" s="606">
        <v>97</v>
      </c>
      <c r="D302" s="606"/>
      <c r="E302" s="606"/>
      <c r="AS302" s="262"/>
      <c r="AT302" s="262"/>
    </row>
    <row r="303" spans="1:46" x14ac:dyDescent="0.2">
      <c r="A303" s="624">
        <v>4</v>
      </c>
      <c r="B303" s="266" t="str">
        <f t="shared" si="14"/>
        <v>Kadri Arunurm, Kalju Olmre, Urmo Auväärt</v>
      </c>
      <c r="C303" s="606">
        <v>90</v>
      </c>
      <c r="D303" s="606"/>
      <c r="E303" s="606"/>
      <c r="AS303" s="262"/>
      <c r="AT303" s="262"/>
    </row>
    <row r="304" spans="1:46" x14ac:dyDescent="0.2">
      <c r="A304" s="624">
        <v>5</v>
      </c>
      <c r="B304" s="266" t="str">
        <f t="shared" si="14"/>
        <v>Janek Kiisk, Margo Peebo, Ruudi Väärtnõu</v>
      </c>
      <c r="C304" s="606">
        <v>84</v>
      </c>
      <c r="D304" s="606"/>
      <c r="AS304" s="262"/>
      <c r="AT304" s="262"/>
    </row>
    <row r="305" spans="1:46" x14ac:dyDescent="0.2">
      <c r="A305" s="624">
        <v>6</v>
      </c>
      <c r="B305" s="266" t="str">
        <f t="shared" si="14"/>
        <v>Marika Poom, Märten Aardevälja, Siim Oks</v>
      </c>
      <c r="C305" s="606">
        <v>79</v>
      </c>
      <c r="D305" s="606"/>
      <c r="AS305" s="262"/>
      <c r="AT305" s="262"/>
    </row>
    <row r="306" spans="1:46" x14ac:dyDescent="0.2">
      <c r="A306" s="624">
        <v>7</v>
      </c>
      <c r="B306" s="266" t="str">
        <f t="shared" si="14"/>
        <v>Alari Keedus, Jelena Brakina, Ülo Piik</v>
      </c>
      <c r="C306" s="606">
        <v>74</v>
      </c>
      <c r="D306" s="606"/>
      <c r="AS306" s="262"/>
      <c r="AT306" s="262"/>
    </row>
    <row r="307" spans="1:46" x14ac:dyDescent="0.2">
      <c r="A307" s="624">
        <v>8</v>
      </c>
      <c r="B307" s="266" t="str">
        <f t="shared" si="14"/>
        <v>Anti Alasi, Marta Ruus, Vello Pluum, Ülo Luuka</v>
      </c>
      <c r="C307" s="606">
        <v>69</v>
      </c>
      <c r="D307" s="606"/>
      <c r="AS307" s="262"/>
      <c r="AT307" s="262"/>
    </row>
    <row r="308" spans="1:46" x14ac:dyDescent="0.2">
      <c r="A308" s="624">
        <v>9</v>
      </c>
      <c r="B308" s="266" t="str">
        <f t="shared" si="14"/>
        <v>Aimar Poom, Kertu Palm, Valmar Pantšenko</v>
      </c>
      <c r="C308" s="606">
        <v>64</v>
      </c>
      <c r="D308" s="606"/>
      <c r="AS308" s="262"/>
      <c r="AT308" s="262"/>
    </row>
    <row r="309" spans="1:46" x14ac:dyDescent="0.2">
      <c r="A309" s="624">
        <v>10</v>
      </c>
      <c r="B309" s="266" t="str">
        <f t="shared" si="14"/>
        <v>Henri Mitt, Johannes Neiland, Matti Vinni</v>
      </c>
      <c r="C309" s="606">
        <v>60</v>
      </c>
      <c r="D309" s="606"/>
      <c r="AS309" s="262"/>
      <c r="AT309" s="262"/>
    </row>
    <row r="310" spans="1:46" x14ac:dyDescent="0.2">
      <c r="A310" s="624">
        <v>11</v>
      </c>
      <c r="B310" s="266" t="str">
        <f t="shared" si="14"/>
        <v>Aigi Orro, Elmo Lageda, Kalle Orro</v>
      </c>
      <c r="C310" s="606">
        <v>56</v>
      </c>
      <c r="D310" s="606"/>
      <c r="AS310" s="262"/>
      <c r="AT310" s="262"/>
    </row>
    <row r="311" spans="1:46" x14ac:dyDescent="0.2">
      <c r="A311" s="624">
        <v>12</v>
      </c>
      <c r="B311" s="266" t="str">
        <f t="shared" si="14"/>
        <v>Enn Kivisaar, Enn Tõppan, Peeter Zirk</v>
      </c>
      <c r="C311" s="69">
        <v>52</v>
      </c>
      <c r="AS311" s="262"/>
      <c r="AT311" s="262"/>
    </row>
    <row r="312" spans="1:46" x14ac:dyDescent="0.2">
      <c r="A312" s="624">
        <v>13</v>
      </c>
      <c r="B312" s="266" t="str">
        <f t="shared" si="14"/>
        <v>Jaan Sepp, Mait Metsla, Vladimir Ogneštšikov</v>
      </c>
      <c r="C312" s="69">
        <v>49</v>
      </c>
      <c r="AS312" s="262"/>
      <c r="AT312" s="262"/>
    </row>
    <row r="313" spans="1:46" x14ac:dyDescent="0.2">
      <c r="A313" s="624">
        <v>14</v>
      </c>
      <c r="B313" s="266" t="str">
        <f t="shared" si="14"/>
        <v>Andres Veski, Kenneth Muusikus, Svetlana Veski</v>
      </c>
      <c r="C313" s="69">
        <v>46</v>
      </c>
      <c r="AS313" s="262"/>
      <c r="AT313" s="262"/>
    </row>
    <row r="314" spans="1:46" hidden="1" x14ac:dyDescent="0.2">
      <c r="C314" s="69">
        <v>43</v>
      </c>
      <c r="AH314" s="672">
        <f t="shared" ref="AH314:AH333" si="15">SUM(AJ314:AR314)</f>
        <v>0</v>
      </c>
      <c r="AI314" s="676" t="str">
        <f t="shared" ref="AI314:AI333" si="16">IFERROR(LEFT($B314,(FIND(",",$B314,1)-1)),"")</f>
        <v/>
      </c>
      <c r="AJ314" s="675" t="str">
        <f>IFERROR(INDEX(Üldreiting!$M:$M,MATCH(AI314,Üldreiting!$H:$H,0)),"")</f>
        <v/>
      </c>
      <c r="AK314" s="676" t="str">
        <f t="shared" ref="AK314:AK333" si="17">IFERROR(MID($B314,FIND("^",SUBSTITUTE($B314,", ","^",1))+2,FIND("^",SUBSTITUTE($B314,", ","^",2))-FIND("^",SUBSTITUTE($B314,", ","^",1))-2),"")</f>
        <v/>
      </c>
      <c r="AL314" s="675" t="str">
        <f>IFERROR(INDEX(Üldreiting!$M:$M,MATCH(AK314,Üldreiting!$H:$H,0)),"")</f>
        <v/>
      </c>
      <c r="AM314" s="676" t="str">
        <f t="shared" ref="AM314:AM333" si="18">IFERROR(MID($B314,FIND(", ",$B314,FIND(", ",$B314,FIND(", ",$B314))+1)+2,30000),"")</f>
        <v/>
      </c>
      <c r="AN314" s="675" t="str">
        <f>IFERROR(INDEX(Üldreiting!$M:$M,MATCH(AM314,Üldreiting!$H:$H,0)),"")</f>
        <v/>
      </c>
      <c r="AO314" s="674" t="str">
        <f t="shared" ref="AO314:AO333" si="19">IFERROR(MID($B314,FIND(", ",$B314,FIND(", ",$B314)+1)+2,FIND(", ",$B314,FIND(", ",$B314,FIND(", ",$B314)+1)+1)-FIND(", ",$B314,FIND(", ",$B314)+1)-2),"")</f>
        <v/>
      </c>
      <c r="AP314" s="675" t="str">
        <f>IFERROR(INDEX(Üldreiting!$M:$M,MATCH(AO314,Üldreiting!$H:$H,0)),"")</f>
        <v/>
      </c>
      <c r="AQ314" s="676" t="str">
        <f t="shared" ref="AQ314:AQ333" si="20">IFERROR(MID($B314,FIND(", ",$B314,FIND(", ",$B314,FIND(", ",$B314)+1)+1)+2,30000),"")</f>
        <v/>
      </c>
      <c r="AR314" s="675" t="str">
        <f>IFERROR(INDEX(Üldreiting!$M:$M,MATCH(AQ314,Üldreiting!$H:$H,0)),"")</f>
        <v/>
      </c>
      <c r="AS314" s="262"/>
      <c r="AT314" s="262"/>
    </row>
    <row r="315" spans="1:46" hidden="1" x14ac:dyDescent="0.2">
      <c r="C315" s="69">
        <v>40</v>
      </c>
      <c r="AH315" s="672">
        <f t="shared" si="15"/>
        <v>0</v>
      </c>
      <c r="AI315" s="676" t="str">
        <f t="shared" si="16"/>
        <v/>
      </c>
      <c r="AJ315" s="675" t="str">
        <f>IFERROR(INDEX(Üldreiting!$M:$M,MATCH(AI315,Üldreiting!$H:$H,0)),"")</f>
        <v/>
      </c>
      <c r="AK315" s="676" t="str">
        <f t="shared" si="17"/>
        <v/>
      </c>
      <c r="AL315" s="675" t="str">
        <f>IFERROR(INDEX(Üldreiting!$M:$M,MATCH(AK315,Üldreiting!$H:$H,0)),"")</f>
        <v/>
      </c>
      <c r="AM315" s="676" t="str">
        <f t="shared" si="18"/>
        <v/>
      </c>
      <c r="AN315" s="675" t="str">
        <f>IFERROR(INDEX(Üldreiting!$M:$M,MATCH(AM315,Üldreiting!$H:$H,0)),"")</f>
        <v/>
      </c>
      <c r="AO315" s="674" t="str">
        <f t="shared" si="19"/>
        <v/>
      </c>
      <c r="AP315" s="675" t="str">
        <f>IFERROR(INDEX(Üldreiting!$M:$M,MATCH(AO315,Üldreiting!$H:$H,0)),"")</f>
        <v/>
      </c>
      <c r="AQ315" s="676" t="str">
        <f t="shared" si="20"/>
        <v/>
      </c>
      <c r="AR315" s="675" t="str">
        <f>IFERROR(INDEX(Üldreiting!$M:$M,MATCH(AQ315,Üldreiting!$H:$H,0)),"")</f>
        <v/>
      </c>
      <c r="AS315" s="262"/>
      <c r="AT315" s="262"/>
    </row>
    <row r="316" spans="1:46" hidden="1" x14ac:dyDescent="0.2">
      <c r="C316" s="69">
        <v>37</v>
      </c>
      <c r="AH316" s="672">
        <f t="shared" si="15"/>
        <v>0</v>
      </c>
      <c r="AI316" s="676" t="str">
        <f t="shared" si="16"/>
        <v/>
      </c>
      <c r="AJ316" s="675" t="str">
        <f>IFERROR(INDEX(Üldreiting!$M:$M,MATCH(AI316,Üldreiting!$H:$H,0)),"")</f>
        <v/>
      </c>
      <c r="AK316" s="676" t="str">
        <f t="shared" si="17"/>
        <v/>
      </c>
      <c r="AL316" s="675" t="str">
        <f>IFERROR(INDEX(Üldreiting!$M:$M,MATCH(AK316,Üldreiting!$H:$H,0)),"")</f>
        <v/>
      </c>
      <c r="AM316" s="676" t="str">
        <f t="shared" si="18"/>
        <v/>
      </c>
      <c r="AN316" s="675" t="str">
        <f>IFERROR(INDEX(Üldreiting!$M:$M,MATCH(AM316,Üldreiting!$H:$H,0)),"")</f>
        <v/>
      </c>
      <c r="AO316" s="674" t="str">
        <f t="shared" si="19"/>
        <v/>
      </c>
      <c r="AP316" s="675" t="str">
        <f>IFERROR(INDEX(Üldreiting!$M:$M,MATCH(AO316,Üldreiting!$H:$H,0)),"")</f>
        <v/>
      </c>
      <c r="AQ316" s="676" t="str">
        <f t="shared" si="20"/>
        <v/>
      </c>
      <c r="AR316" s="675" t="str">
        <f>IFERROR(INDEX(Üldreiting!$M:$M,MATCH(AQ316,Üldreiting!$H:$H,0)),"")</f>
        <v/>
      </c>
      <c r="AS316" s="262"/>
      <c r="AT316" s="262"/>
    </row>
    <row r="317" spans="1:46" hidden="1" x14ac:dyDescent="0.2">
      <c r="C317" s="69">
        <v>34</v>
      </c>
      <c r="AH317" s="672">
        <f t="shared" si="15"/>
        <v>0</v>
      </c>
      <c r="AI317" s="676" t="str">
        <f t="shared" si="16"/>
        <v/>
      </c>
      <c r="AJ317" s="675" t="str">
        <f>IFERROR(INDEX(Üldreiting!$M:$M,MATCH(AI317,Üldreiting!$H:$H,0)),"")</f>
        <v/>
      </c>
      <c r="AK317" s="676" t="str">
        <f t="shared" si="17"/>
        <v/>
      </c>
      <c r="AL317" s="675" t="str">
        <f>IFERROR(INDEX(Üldreiting!$M:$M,MATCH(AK317,Üldreiting!$H:$H,0)),"")</f>
        <v/>
      </c>
      <c r="AM317" s="676" t="str">
        <f t="shared" si="18"/>
        <v/>
      </c>
      <c r="AN317" s="675" t="str">
        <f>IFERROR(INDEX(Üldreiting!$M:$M,MATCH(AM317,Üldreiting!$H:$H,0)),"")</f>
        <v/>
      </c>
      <c r="AO317" s="674" t="str">
        <f t="shared" si="19"/>
        <v/>
      </c>
      <c r="AP317" s="675" t="str">
        <f>IFERROR(INDEX(Üldreiting!$M:$M,MATCH(AO317,Üldreiting!$H:$H,0)),"")</f>
        <v/>
      </c>
      <c r="AQ317" s="676" t="str">
        <f t="shared" si="20"/>
        <v/>
      </c>
      <c r="AR317" s="675" t="str">
        <f>IFERROR(INDEX(Üldreiting!$M:$M,MATCH(AQ317,Üldreiting!$H:$H,0)),"")</f>
        <v/>
      </c>
      <c r="AS317" s="262"/>
      <c r="AT317" s="262"/>
    </row>
    <row r="318" spans="1:46" hidden="1" x14ac:dyDescent="0.2">
      <c r="C318" s="69">
        <v>31</v>
      </c>
      <c r="AH318" s="672">
        <f t="shared" si="15"/>
        <v>0</v>
      </c>
      <c r="AI318" s="676" t="str">
        <f t="shared" si="16"/>
        <v/>
      </c>
      <c r="AJ318" s="675" t="str">
        <f>IFERROR(INDEX(Üldreiting!$M:$M,MATCH(AI318,Üldreiting!$H:$H,0)),"")</f>
        <v/>
      </c>
      <c r="AK318" s="676" t="str">
        <f t="shared" si="17"/>
        <v/>
      </c>
      <c r="AL318" s="675" t="str">
        <f>IFERROR(INDEX(Üldreiting!$M:$M,MATCH(AK318,Üldreiting!$H:$H,0)),"")</f>
        <v/>
      </c>
      <c r="AM318" s="676" t="str">
        <f t="shared" si="18"/>
        <v/>
      </c>
      <c r="AN318" s="675" t="str">
        <f>IFERROR(INDEX(Üldreiting!$M:$M,MATCH(AM318,Üldreiting!$H:$H,0)),"")</f>
        <v/>
      </c>
      <c r="AO318" s="674" t="str">
        <f t="shared" si="19"/>
        <v/>
      </c>
      <c r="AP318" s="675" t="str">
        <f>IFERROR(INDEX(Üldreiting!$M:$M,MATCH(AO318,Üldreiting!$H:$H,0)),"")</f>
        <v/>
      </c>
      <c r="AQ318" s="676" t="str">
        <f t="shared" si="20"/>
        <v/>
      </c>
      <c r="AR318" s="675" t="str">
        <f>IFERROR(INDEX(Üldreiting!$M:$M,MATCH(AQ318,Üldreiting!$H:$H,0)),"")</f>
        <v/>
      </c>
      <c r="AS318" s="262"/>
      <c r="AT318" s="262"/>
    </row>
    <row r="319" spans="1:46" hidden="1" x14ac:dyDescent="0.2">
      <c r="C319" s="69">
        <v>28</v>
      </c>
      <c r="S319" s="69"/>
      <c r="T319" s="69"/>
      <c r="U319" s="69"/>
      <c r="V319" s="69"/>
      <c r="AH319" s="672">
        <f t="shared" si="15"/>
        <v>0</v>
      </c>
      <c r="AI319" s="676" t="str">
        <f t="shared" si="16"/>
        <v/>
      </c>
      <c r="AJ319" s="675" t="str">
        <f>IFERROR(INDEX(Üldreiting!$M:$M,MATCH(AI319,Üldreiting!$H:$H,0)),"")</f>
        <v/>
      </c>
      <c r="AK319" s="676" t="str">
        <f t="shared" si="17"/>
        <v/>
      </c>
      <c r="AL319" s="675" t="str">
        <f>IFERROR(INDEX(Üldreiting!$M:$M,MATCH(AK319,Üldreiting!$H:$H,0)),"")</f>
        <v/>
      </c>
      <c r="AM319" s="676" t="str">
        <f t="shared" si="18"/>
        <v/>
      </c>
      <c r="AN319" s="675" t="str">
        <f>IFERROR(INDEX(Üldreiting!$M:$M,MATCH(AM319,Üldreiting!$H:$H,0)),"")</f>
        <v/>
      </c>
      <c r="AO319" s="674" t="str">
        <f t="shared" si="19"/>
        <v/>
      </c>
      <c r="AP319" s="675" t="str">
        <f>IFERROR(INDEX(Üldreiting!$M:$M,MATCH(AO319,Üldreiting!$H:$H,0)),"")</f>
        <v/>
      </c>
      <c r="AQ319" s="676" t="str">
        <f t="shared" si="20"/>
        <v/>
      </c>
      <c r="AR319" s="675" t="str">
        <f>IFERROR(INDEX(Üldreiting!$M:$M,MATCH(AQ319,Üldreiting!$H:$H,0)),"")</f>
        <v/>
      </c>
      <c r="AS319" s="262"/>
      <c r="AT319" s="262"/>
    </row>
    <row r="320" spans="1:46" hidden="1" x14ac:dyDescent="0.2">
      <c r="C320" s="69">
        <v>25</v>
      </c>
      <c r="S320" s="69"/>
      <c r="T320" s="69"/>
      <c r="U320" s="69"/>
      <c r="V320" s="69"/>
      <c r="AH320" s="672">
        <f t="shared" si="15"/>
        <v>0</v>
      </c>
      <c r="AI320" s="676" t="str">
        <f t="shared" si="16"/>
        <v/>
      </c>
      <c r="AJ320" s="675" t="str">
        <f>IFERROR(INDEX(Üldreiting!$M:$M,MATCH(AI320,Üldreiting!$H:$H,0)),"")</f>
        <v/>
      </c>
      <c r="AK320" s="676" t="str">
        <f t="shared" si="17"/>
        <v/>
      </c>
      <c r="AL320" s="675" t="str">
        <f>IFERROR(INDEX(Üldreiting!$M:$M,MATCH(AK320,Üldreiting!$H:$H,0)),"")</f>
        <v/>
      </c>
      <c r="AM320" s="676" t="str">
        <f t="shared" si="18"/>
        <v/>
      </c>
      <c r="AN320" s="675" t="str">
        <f>IFERROR(INDEX(Üldreiting!$M:$M,MATCH(AM320,Üldreiting!$H:$H,0)),"")</f>
        <v/>
      </c>
      <c r="AO320" s="674" t="str">
        <f t="shared" si="19"/>
        <v/>
      </c>
      <c r="AP320" s="675" t="str">
        <f>IFERROR(INDEX(Üldreiting!$M:$M,MATCH(AO320,Üldreiting!$H:$H,0)),"")</f>
        <v/>
      </c>
      <c r="AQ320" s="676" t="str">
        <f t="shared" si="20"/>
        <v/>
      </c>
      <c r="AR320" s="675" t="str">
        <f>IFERROR(INDEX(Üldreiting!$M:$M,MATCH(AQ320,Üldreiting!$H:$H,0)),"")</f>
        <v/>
      </c>
      <c r="AS320" s="262"/>
      <c r="AT320" s="262"/>
    </row>
    <row r="321" spans="3:46" hidden="1" x14ac:dyDescent="0.2">
      <c r="C321" s="69">
        <v>22</v>
      </c>
      <c r="S321" s="69"/>
      <c r="T321" s="69"/>
      <c r="U321" s="69"/>
      <c r="V321" s="69"/>
      <c r="AH321" s="672">
        <f t="shared" si="15"/>
        <v>0</v>
      </c>
      <c r="AI321" s="676" t="str">
        <f t="shared" si="16"/>
        <v/>
      </c>
      <c r="AJ321" s="675" t="str">
        <f>IFERROR(INDEX(Üldreiting!$M:$M,MATCH(AI321,Üldreiting!$H:$H,0)),"")</f>
        <v/>
      </c>
      <c r="AK321" s="676" t="str">
        <f t="shared" si="17"/>
        <v/>
      </c>
      <c r="AL321" s="675" t="str">
        <f>IFERROR(INDEX(Üldreiting!$M:$M,MATCH(AK321,Üldreiting!$H:$H,0)),"")</f>
        <v/>
      </c>
      <c r="AM321" s="676" t="str">
        <f t="shared" si="18"/>
        <v/>
      </c>
      <c r="AN321" s="675" t="str">
        <f>IFERROR(INDEX(Üldreiting!$M:$M,MATCH(AM321,Üldreiting!$H:$H,0)),"")</f>
        <v/>
      </c>
      <c r="AO321" s="674" t="str">
        <f t="shared" si="19"/>
        <v/>
      </c>
      <c r="AP321" s="675" t="str">
        <f>IFERROR(INDEX(Üldreiting!$M:$M,MATCH(AO321,Üldreiting!$H:$H,0)),"")</f>
        <v/>
      </c>
      <c r="AQ321" s="676" t="str">
        <f t="shared" si="20"/>
        <v/>
      </c>
      <c r="AR321" s="675" t="str">
        <f>IFERROR(INDEX(Üldreiting!$M:$M,MATCH(AQ321,Üldreiting!$H:$H,0)),"")</f>
        <v/>
      </c>
      <c r="AS321" s="262"/>
      <c r="AT321" s="262"/>
    </row>
    <row r="322" spans="3:46" hidden="1" x14ac:dyDescent="0.2">
      <c r="C322" s="69">
        <v>19</v>
      </c>
      <c r="S322" s="69"/>
      <c r="T322" s="69"/>
      <c r="U322" s="69"/>
      <c r="V322" s="69"/>
      <c r="AH322" s="672">
        <f t="shared" si="15"/>
        <v>0</v>
      </c>
      <c r="AI322" s="676" t="str">
        <f t="shared" si="16"/>
        <v/>
      </c>
      <c r="AJ322" s="675" t="str">
        <f>IFERROR(INDEX(Üldreiting!$M:$M,MATCH(AI322,Üldreiting!$H:$H,0)),"")</f>
        <v/>
      </c>
      <c r="AK322" s="676" t="str">
        <f t="shared" si="17"/>
        <v/>
      </c>
      <c r="AL322" s="675" t="str">
        <f>IFERROR(INDEX(Üldreiting!$M:$M,MATCH(AK322,Üldreiting!$H:$H,0)),"")</f>
        <v/>
      </c>
      <c r="AM322" s="676" t="str">
        <f t="shared" si="18"/>
        <v/>
      </c>
      <c r="AN322" s="675" t="str">
        <f>IFERROR(INDEX(Üldreiting!$M:$M,MATCH(AM322,Üldreiting!$H:$H,0)),"")</f>
        <v/>
      </c>
      <c r="AO322" s="674" t="str">
        <f t="shared" si="19"/>
        <v/>
      </c>
      <c r="AP322" s="675" t="str">
        <f>IFERROR(INDEX(Üldreiting!$M:$M,MATCH(AO322,Üldreiting!$H:$H,0)),"")</f>
        <v/>
      </c>
      <c r="AQ322" s="676" t="str">
        <f t="shared" si="20"/>
        <v/>
      </c>
      <c r="AR322" s="675" t="str">
        <f>IFERROR(INDEX(Üldreiting!$M:$M,MATCH(AQ322,Üldreiting!$H:$H,0)),"")</f>
        <v/>
      </c>
      <c r="AS322" s="262"/>
      <c r="AT322" s="262"/>
    </row>
    <row r="323" spans="3:46" hidden="1" x14ac:dyDescent="0.2">
      <c r="C323" s="69">
        <v>16</v>
      </c>
      <c r="M323" s="69"/>
      <c r="S323" s="69"/>
      <c r="T323" s="69"/>
      <c r="U323" s="69"/>
      <c r="V323" s="69"/>
      <c r="AH323" s="672">
        <f t="shared" si="15"/>
        <v>0</v>
      </c>
      <c r="AI323" s="676" t="str">
        <f t="shared" si="16"/>
        <v/>
      </c>
      <c r="AJ323" s="675" t="str">
        <f>IFERROR(INDEX(Üldreiting!$M:$M,MATCH(AI323,Üldreiting!$H:$H,0)),"")</f>
        <v/>
      </c>
      <c r="AK323" s="676" t="str">
        <f t="shared" si="17"/>
        <v/>
      </c>
      <c r="AL323" s="675" t="str">
        <f>IFERROR(INDEX(Üldreiting!$M:$M,MATCH(AK323,Üldreiting!$H:$H,0)),"")</f>
        <v/>
      </c>
      <c r="AM323" s="676" t="str">
        <f t="shared" si="18"/>
        <v/>
      </c>
      <c r="AN323" s="675" t="str">
        <f>IFERROR(INDEX(Üldreiting!$M:$M,MATCH(AM323,Üldreiting!$H:$H,0)),"")</f>
        <v/>
      </c>
      <c r="AO323" s="674" t="str">
        <f t="shared" si="19"/>
        <v/>
      </c>
      <c r="AP323" s="675" t="str">
        <f>IFERROR(INDEX(Üldreiting!$M:$M,MATCH(AO323,Üldreiting!$H:$H,0)),"")</f>
        <v/>
      </c>
      <c r="AQ323" s="676" t="str">
        <f t="shared" si="20"/>
        <v/>
      </c>
      <c r="AR323" s="675" t="str">
        <f>IFERROR(INDEX(Üldreiting!$M:$M,MATCH(AQ323,Üldreiting!$H:$H,0)),"")</f>
        <v/>
      </c>
      <c r="AS323" s="262"/>
      <c r="AT323" s="262"/>
    </row>
    <row r="324" spans="3:46" hidden="1" x14ac:dyDescent="0.2">
      <c r="C324" s="69">
        <v>14</v>
      </c>
      <c r="M324" s="69"/>
      <c r="S324" s="69"/>
      <c r="T324" s="69"/>
      <c r="U324" s="69"/>
      <c r="V324" s="69"/>
      <c r="AH324" s="672">
        <f t="shared" si="15"/>
        <v>0</v>
      </c>
      <c r="AI324" s="676" t="str">
        <f t="shared" si="16"/>
        <v/>
      </c>
      <c r="AJ324" s="675" t="str">
        <f>IFERROR(INDEX(Üldreiting!$M:$M,MATCH(AI324,Üldreiting!$H:$H,0)),"")</f>
        <v/>
      </c>
      <c r="AK324" s="676" t="str">
        <f t="shared" si="17"/>
        <v/>
      </c>
      <c r="AL324" s="675" t="str">
        <f>IFERROR(INDEX(Üldreiting!$M:$M,MATCH(AK324,Üldreiting!$H:$H,0)),"")</f>
        <v/>
      </c>
      <c r="AM324" s="676" t="str">
        <f t="shared" si="18"/>
        <v/>
      </c>
      <c r="AN324" s="675" t="str">
        <f>IFERROR(INDEX(Üldreiting!$M:$M,MATCH(AM324,Üldreiting!$H:$H,0)),"")</f>
        <v/>
      </c>
      <c r="AO324" s="674" t="str">
        <f t="shared" si="19"/>
        <v/>
      </c>
      <c r="AP324" s="675" t="str">
        <f>IFERROR(INDEX(Üldreiting!$M:$M,MATCH(AO324,Üldreiting!$H:$H,0)),"")</f>
        <v/>
      </c>
      <c r="AQ324" s="676" t="str">
        <f t="shared" si="20"/>
        <v/>
      </c>
      <c r="AR324" s="675" t="str">
        <f>IFERROR(INDEX(Üldreiting!$M:$M,MATCH(AQ324,Üldreiting!$H:$H,0)),"")</f>
        <v/>
      </c>
      <c r="AS324" s="262"/>
      <c r="AT324" s="262"/>
    </row>
    <row r="325" spans="3:46" hidden="1" x14ac:dyDescent="0.2">
      <c r="C325" s="69">
        <v>12</v>
      </c>
      <c r="M325" s="69"/>
      <c r="S325" s="69"/>
      <c r="T325" s="69"/>
      <c r="U325" s="69"/>
      <c r="V325" s="69"/>
      <c r="AH325" s="672">
        <f t="shared" si="15"/>
        <v>0</v>
      </c>
      <c r="AI325" s="676" t="str">
        <f t="shared" si="16"/>
        <v/>
      </c>
      <c r="AJ325" s="675" t="str">
        <f>IFERROR(INDEX(Üldreiting!$M:$M,MATCH(AI325,Üldreiting!$H:$H,0)),"")</f>
        <v/>
      </c>
      <c r="AK325" s="676" t="str">
        <f t="shared" si="17"/>
        <v/>
      </c>
      <c r="AL325" s="675" t="str">
        <f>IFERROR(INDEX(Üldreiting!$M:$M,MATCH(AK325,Üldreiting!$H:$H,0)),"")</f>
        <v/>
      </c>
      <c r="AM325" s="676" t="str">
        <f t="shared" si="18"/>
        <v/>
      </c>
      <c r="AN325" s="675" t="str">
        <f>IFERROR(INDEX(Üldreiting!$M:$M,MATCH(AM325,Üldreiting!$H:$H,0)),"")</f>
        <v/>
      </c>
      <c r="AO325" s="674" t="str">
        <f t="shared" si="19"/>
        <v/>
      </c>
      <c r="AP325" s="675" t="str">
        <f>IFERROR(INDEX(Üldreiting!$M:$M,MATCH(AO325,Üldreiting!$H:$H,0)),"")</f>
        <v/>
      </c>
      <c r="AQ325" s="676" t="str">
        <f t="shared" si="20"/>
        <v/>
      </c>
      <c r="AR325" s="675" t="str">
        <f>IFERROR(INDEX(Üldreiting!$M:$M,MATCH(AQ325,Üldreiting!$H:$H,0)),"")</f>
        <v/>
      </c>
      <c r="AS325" s="262"/>
      <c r="AT325" s="262"/>
    </row>
    <row r="326" spans="3:46" hidden="1" x14ac:dyDescent="0.2">
      <c r="C326" s="69">
        <v>10</v>
      </c>
      <c r="M326" s="69"/>
      <c r="S326" s="69"/>
      <c r="T326" s="69"/>
      <c r="U326" s="69"/>
      <c r="V326" s="69"/>
      <c r="AH326" s="672">
        <f t="shared" si="15"/>
        <v>0</v>
      </c>
      <c r="AI326" s="676" t="str">
        <f t="shared" si="16"/>
        <v/>
      </c>
      <c r="AJ326" s="675" t="str">
        <f>IFERROR(INDEX(Üldreiting!$M:$M,MATCH(AI326,Üldreiting!$H:$H,0)),"")</f>
        <v/>
      </c>
      <c r="AK326" s="676" t="str">
        <f t="shared" si="17"/>
        <v/>
      </c>
      <c r="AL326" s="675" t="str">
        <f>IFERROR(INDEX(Üldreiting!$M:$M,MATCH(AK326,Üldreiting!$H:$H,0)),"")</f>
        <v/>
      </c>
      <c r="AM326" s="676" t="str">
        <f t="shared" si="18"/>
        <v/>
      </c>
      <c r="AN326" s="675" t="str">
        <f>IFERROR(INDEX(Üldreiting!$M:$M,MATCH(AM326,Üldreiting!$H:$H,0)),"")</f>
        <v/>
      </c>
      <c r="AO326" s="674" t="str">
        <f t="shared" si="19"/>
        <v/>
      </c>
      <c r="AP326" s="675" t="str">
        <f>IFERROR(INDEX(Üldreiting!$M:$M,MATCH(AO326,Üldreiting!$H:$H,0)),"")</f>
        <v/>
      </c>
      <c r="AQ326" s="676" t="str">
        <f t="shared" si="20"/>
        <v/>
      </c>
      <c r="AR326" s="675" t="str">
        <f>IFERROR(INDEX(Üldreiting!$M:$M,MATCH(AQ326,Üldreiting!$H:$H,0)),"")</f>
        <v/>
      </c>
      <c r="AS326" s="262"/>
      <c r="AT326" s="262"/>
    </row>
    <row r="327" spans="3:46" hidden="1" x14ac:dyDescent="0.2">
      <c r="C327" s="69">
        <v>8</v>
      </c>
      <c r="M327" s="238"/>
      <c r="N327" s="238"/>
      <c r="O327" s="238"/>
      <c r="P327" s="238"/>
      <c r="Q327" s="238"/>
      <c r="S327" s="69"/>
      <c r="T327" s="69"/>
      <c r="U327" s="69"/>
      <c r="V327" s="69"/>
      <c r="AH327" s="672">
        <f t="shared" si="15"/>
        <v>0</v>
      </c>
      <c r="AI327" s="676" t="str">
        <f t="shared" si="16"/>
        <v/>
      </c>
      <c r="AJ327" s="675" t="str">
        <f>IFERROR(INDEX(Üldreiting!$M:$M,MATCH(AI327,Üldreiting!$H:$H,0)),"")</f>
        <v/>
      </c>
      <c r="AK327" s="676" t="str">
        <f t="shared" si="17"/>
        <v/>
      </c>
      <c r="AL327" s="675" t="str">
        <f>IFERROR(INDEX(Üldreiting!$M:$M,MATCH(AK327,Üldreiting!$H:$H,0)),"")</f>
        <v/>
      </c>
      <c r="AM327" s="676" t="str">
        <f t="shared" si="18"/>
        <v/>
      </c>
      <c r="AN327" s="675" t="str">
        <f>IFERROR(INDEX(Üldreiting!$M:$M,MATCH(AM327,Üldreiting!$H:$H,0)),"")</f>
        <v/>
      </c>
      <c r="AO327" s="674" t="str">
        <f t="shared" si="19"/>
        <v/>
      </c>
      <c r="AP327" s="675" t="str">
        <f>IFERROR(INDEX(Üldreiting!$M:$M,MATCH(AO327,Üldreiting!$H:$H,0)),"")</f>
        <v/>
      </c>
      <c r="AQ327" s="676" t="str">
        <f t="shared" si="20"/>
        <v/>
      </c>
      <c r="AR327" s="675" t="str">
        <f>IFERROR(INDEX(Üldreiting!$M:$M,MATCH(AQ327,Üldreiting!$H:$H,0)),"")</f>
        <v/>
      </c>
      <c r="AS327" s="262"/>
      <c r="AT327" s="262"/>
    </row>
    <row r="328" spans="3:46" hidden="1" x14ac:dyDescent="0.2">
      <c r="C328" s="69">
        <v>6</v>
      </c>
      <c r="S328" s="69"/>
      <c r="T328" s="69"/>
      <c r="U328" s="69"/>
      <c r="V328" s="69"/>
      <c r="AH328" s="672">
        <f t="shared" si="15"/>
        <v>0</v>
      </c>
      <c r="AI328" s="676" t="str">
        <f t="shared" si="16"/>
        <v/>
      </c>
      <c r="AJ328" s="675" t="str">
        <f>IFERROR(INDEX(Üldreiting!$M:$M,MATCH(AI328,Üldreiting!$H:$H,0)),"")</f>
        <v/>
      </c>
      <c r="AK328" s="676" t="str">
        <f t="shared" si="17"/>
        <v/>
      </c>
      <c r="AL328" s="675" t="str">
        <f>IFERROR(INDEX(Üldreiting!$M:$M,MATCH(AK328,Üldreiting!$H:$H,0)),"")</f>
        <v/>
      </c>
      <c r="AM328" s="676" t="str">
        <f t="shared" si="18"/>
        <v/>
      </c>
      <c r="AN328" s="675" t="str">
        <f>IFERROR(INDEX(Üldreiting!$M:$M,MATCH(AM328,Üldreiting!$H:$H,0)),"")</f>
        <v/>
      </c>
      <c r="AO328" s="674" t="str">
        <f t="shared" si="19"/>
        <v/>
      </c>
      <c r="AP328" s="675" t="str">
        <f>IFERROR(INDEX(Üldreiting!$M:$M,MATCH(AO328,Üldreiting!$H:$H,0)),"")</f>
        <v/>
      </c>
      <c r="AQ328" s="676" t="str">
        <f t="shared" si="20"/>
        <v/>
      </c>
      <c r="AR328" s="675" t="str">
        <f>IFERROR(INDEX(Üldreiting!$M:$M,MATCH(AQ328,Üldreiting!$H:$H,0)),"")</f>
        <v/>
      </c>
      <c r="AT328" s="262"/>
    </row>
    <row r="329" spans="3:46" hidden="1" x14ac:dyDescent="0.2">
      <c r="C329" s="69">
        <v>5</v>
      </c>
      <c r="S329" s="69"/>
      <c r="T329" s="69"/>
      <c r="U329" s="69"/>
      <c r="V329" s="69"/>
      <c r="AH329" s="672">
        <f t="shared" si="15"/>
        <v>0</v>
      </c>
      <c r="AI329" s="676" t="str">
        <f t="shared" si="16"/>
        <v/>
      </c>
      <c r="AJ329" s="675" t="str">
        <f>IFERROR(INDEX(Üldreiting!$M:$M,MATCH(AI329,Üldreiting!$H:$H,0)),"")</f>
        <v/>
      </c>
      <c r="AK329" s="676" t="str">
        <f t="shared" si="17"/>
        <v/>
      </c>
      <c r="AL329" s="675" t="str">
        <f>IFERROR(INDEX(Üldreiting!$M:$M,MATCH(AK329,Üldreiting!$H:$H,0)),"")</f>
        <v/>
      </c>
      <c r="AM329" s="676" t="str">
        <f t="shared" si="18"/>
        <v/>
      </c>
      <c r="AN329" s="675" t="str">
        <f>IFERROR(INDEX(Üldreiting!$M:$M,MATCH(AM329,Üldreiting!$H:$H,0)),"")</f>
        <v/>
      </c>
      <c r="AO329" s="674" t="str">
        <f t="shared" si="19"/>
        <v/>
      </c>
      <c r="AP329" s="675" t="str">
        <f>IFERROR(INDEX(Üldreiting!$M:$M,MATCH(AO329,Üldreiting!$H:$H,0)),"")</f>
        <v/>
      </c>
      <c r="AQ329" s="676" t="str">
        <f t="shared" si="20"/>
        <v/>
      </c>
      <c r="AR329" s="675" t="str">
        <f>IFERROR(INDEX(Üldreiting!$M:$M,MATCH(AQ329,Üldreiting!$H:$H,0)),"")</f>
        <v/>
      </c>
    </row>
    <row r="330" spans="3:46" hidden="1" x14ac:dyDescent="0.2">
      <c r="C330" s="69">
        <v>4</v>
      </c>
      <c r="S330" s="69"/>
      <c r="T330" s="69"/>
      <c r="U330" s="69"/>
      <c r="V330" s="69"/>
      <c r="AH330" s="672">
        <f t="shared" si="15"/>
        <v>0</v>
      </c>
      <c r="AI330" s="676" t="str">
        <f t="shared" si="16"/>
        <v/>
      </c>
      <c r="AJ330" s="675" t="str">
        <f>IFERROR(INDEX(Üldreiting!$M:$M,MATCH(AI330,Üldreiting!$H:$H,0)),"")</f>
        <v/>
      </c>
      <c r="AK330" s="676" t="str">
        <f t="shared" si="17"/>
        <v/>
      </c>
      <c r="AL330" s="675" t="str">
        <f>IFERROR(INDEX(Üldreiting!$M:$M,MATCH(AK330,Üldreiting!$H:$H,0)),"")</f>
        <v/>
      </c>
      <c r="AM330" s="676" t="str">
        <f t="shared" si="18"/>
        <v/>
      </c>
      <c r="AN330" s="675" t="str">
        <f>IFERROR(INDEX(Üldreiting!$M:$M,MATCH(AM330,Üldreiting!$H:$H,0)),"")</f>
        <v/>
      </c>
      <c r="AO330" s="674" t="str">
        <f t="shared" si="19"/>
        <v/>
      </c>
      <c r="AP330" s="675" t="str">
        <f>IFERROR(INDEX(Üldreiting!$M:$M,MATCH(AO330,Üldreiting!$H:$H,0)),"")</f>
        <v/>
      </c>
      <c r="AQ330" s="676" t="str">
        <f t="shared" si="20"/>
        <v/>
      </c>
      <c r="AR330" s="675" t="str">
        <f>IFERROR(INDEX(Üldreiting!$M:$M,MATCH(AQ330,Üldreiting!$H:$H,0)),"")</f>
        <v/>
      </c>
    </row>
    <row r="331" spans="3:46" hidden="1" x14ac:dyDescent="0.2">
      <c r="C331" s="69">
        <v>3</v>
      </c>
      <c r="S331" s="69"/>
      <c r="T331" s="69"/>
      <c r="U331" s="69"/>
      <c r="V331" s="69"/>
      <c r="AH331" s="672">
        <f t="shared" si="15"/>
        <v>0</v>
      </c>
      <c r="AI331" s="676" t="str">
        <f t="shared" si="16"/>
        <v/>
      </c>
      <c r="AJ331" s="675" t="str">
        <f>IFERROR(INDEX(Üldreiting!$M:$M,MATCH(AI331,Üldreiting!$H:$H,0)),"")</f>
        <v/>
      </c>
      <c r="AK331" s="676" t="str">
        <f t="shared" si="17"/>
        <v/>
      </c>
      <c r="AL331" s="675" t="str">
        <f>IFERROR(INDEX(Üldreiting!$M:$M,MATCH(AK331,Üldreiting!$H:$H,0)),"")</f>
        <v/>
      </c>
      <c r="AM331" s="676" t="str">
        <f t="shared" si="18"/>
        <v/>
      </c>
      <c r="AN331" s="675" t="str">
        <f>IFERROR(INDEX(Üldreiting!$M:$M,MATCH(AM331,Üldreiting!$H:$H,0)),"")</f>
        <v/>
      </c>
      <c r="AO331" s="674" t="str">
        <f t="shared" si="19"/>
        <v/>
      </c>
      <c r="AP331" s="675" t="str">
        <f>IFERROR(INDEX(Üldreiting!$M:$M,MATCH(AO331,Üldreiting!$H:$H,0)),"")</f>
        <v/>
      </c>
      <c r="AQ331" s="676" t="str">
        <f t="shared" si="20"/>
        <v/>
      </c>
      <c r="AR331" s="675" t="str">
        <f>IFERROR(INDEX(Üldreiting!$M:$M,MATCH(AQ331,Üldreiting!$H:$H,0)),"")</f>
        <v/>
      </c>
    </row>
    <row r="332" spans="3:46" hidden="1" x14ac:dyDescent="0.2">
      <c r="C332" s="69">
        <v>1</v>
      </c>
      <c r="AH332" s="672">
        <f t="shared" si="15"/>
        <v>0</v>
      </c>
      <c r="AI332" s="676" t="str">
        <f t="shared" si="16"/>
        <v/>
      </c>
      <c r="AJ332" s="675" t="str">
        <f>IFERROR(INDEX(Üldreiting!$M:$M,MATCH(AI332,Üldreiting!$H:$H,0)),"")</f>
        <v/>
      </c>
      <c r="AK332" s="676" t="str">
        <f t="shared" si="17"/>
        <v/>
      </c>
      <c r="AL332" s="675" t="str">
        <f>IFERROR(INDEX(Üldreiting!$M:$M,MATCH(AK332,Üldreiting!$H:$H,0)),"")</f>
        <v/>
      </c>
      <c r="AM332" s="676" t="str">
        <f t="shared" si="18"/>
        <v/>
      </c>
      <c r="AN332" s="675" t="str">
        <f>IFERROR(INDEX(Üldreiting!$M:$M,MATCH(AM332,Üldreiting!$H:$H,0)),"")</f>
        <v/>
      </c>
      <c r="AO332" s="674" t="str">
        <f t="shared" si="19"/>
        <v/>
      </c>
      <c r="AP332" s="675" t="str">
        <f>IFERROR(INDEX(Üldreiting!$M:$M,MATCH(AO332,Üldreiting!$H:$H,0)),"")</f>
        <v/>
      </c>
      <c r="AQ332" s="676" t="str">
        <f t="shared" si="20"/>
        <v/>
      </c>
      <c r="AR332" s="675" t="str">
        <f>IFERROR(INDEX(Üldreiting!$M:$M,MATCH(AQ332,Üldreiting!$H:$H,0)),"")</f>
        <v/>
      </c>
    </row>
    <row r="333" spans="3:46" hidden="1" x14ac:dyDescent="0.2">
      <c r="C333" s="69">
        <v>0</v>
      </c>
      <c r="AH333" s="672">
        <f t="shared" si="15"/>
        <v>0</v>
      </c>
      <c r="AI333" s="676" t="str">
        <f t="shared" si="16"/>
        <v/>
      </c>
      <c r="AJ333" s="675" t="str">
        <f>IFERROR(INDEX(Üldreiting!$M:$M,MATCH(AI333,Üldreiting!$H:$H,0)),"")</f>
        <v/>
      </c>
      <c r="AK333" s="676" t="str">
        <f t="shared" si="17"/>
        <v/>
      </c>
      <c r="AL333" s="675" t="str">
        <f>IFERROR(INDEX(Üldreiting!$M:$M,MATCH(AK333,Üldreiting!$H:$H,0)),"")</f>
        <v/>
      </c>
      <c r="AM333" s="676" t="str">
        <f t="shared" si="18"/>
        <v/>
      </c>
      <c r="AN333" s="675" t="str">
        <f>IFERROR(INDEX(Üldreiting!$M:$M,MATCH(AM333,Üldreiting!$H:$H,0)),"")</f>
        <v/>
      </c>
      <c r="AO333" s="674" t="str">
        <f t="shared" si="19"/>
        <v/>
      </c>
      <c r="AP333" s="675" t="str">
        <f>IFERROR(INDEX(Üldreiting!$M:$M,MATCH(AO333,Üldreiting!$H:$H,0)),"")</f>
        <v/>
      </c>
      <c r="AQ333" s="676" t="str">
        <f t="shared" si="20"/>
        <v/>
      </c>
      <c r="AR333" s="675" t="str">
        <f>IFERROR(INDEX(Üldreiting!$M:$M,MATCH(AQ333,Üldreiting!$H:$H,0)),"")</f>
        <v/>
      </c>
    </row>
  </sheetData>
  <conditionalFormatting sqref="A300:A313">
    <cfRule type="duplicateValues" dxfId="1406" priority="99"/>
  </conditionalFormatting>
  <conditionalFormatting sqref="B300:B313">
    <cfRule type="duplicateValues" dxfId="1405" priority="76"/>
  </conditionalFormatting>
  <conditionalFormatting sqref="C7:F20">
    <cfRule type="expression" dxfId="1404" priority="97">
      <formula>IF($C7&gt;$E7,TRUE)</formula>
    </cfRule>
    <cfRule type="expression" dxfId="1403" priority="98">
      <formula>IF($C7&lt;$E7,TRUE)</formula>
    </cfRule>
  </conditionalFormatting>
  <conditionalFormatting sqref="C7:C20">
    <cfRule type="expression" dxfId="1402" priority="96">
      <formula>IF($C7&gt;$E7,TRUE)</formula>
    </cfRule>
  </conditionalFormatting>
  <conditionalFormatting sqref="E7:E20">
    <cfRule type="expression" dxfId="1401" priority="95">
      <formula>IF($C7&lt;$E7,TRUE)</formula>
    </cfRule>
  </conditionalFormatting>
  <conditionalFormatting sqref="G7:J20">
    <cfRule type="expression" dxfId="1400" priority="93">
      <formula>IF($G7&gt;$I7,TRUE)</formula>
    </cfRule>
    <cfRule type="expression" dxfId="1399" priority="94">
      <formula>IF($G7&lt;$I7,TRUE)</formula>
    </cfRule>
  </conditionalFormatting>
  <conditionalFormatting sqref="G7:G20">
    <cfRule type="expression" dxfId="1398" priority="92">
      <formula>IF($G7&gt;$I7,TRUE)</formula>
    </cfRule>
  </conditionalFormatting>
  <conditionalFormatting sqref="I7:I20">
    <cfRule type="expression" dxfId="1397" priority="91">
      <formula>IF($G7&lt;$I7,TRUE)</formula>
    </cfRule>
  </conditionalFormatting>
  <conditionalFormatting sqref="K7:N20">
    <cfRule type="expression" dxfId="1396" priority="89">
      <formula>IF($K7&gt;$M7,TRUE)</formula>
    </cfRule>
    <cfRule type="expression" dxfId="1395" priority="90">
      <formula>IF($K7&lt;$M7,TRUE)</formula>
    </cfRule>
  </conditionalFormatting>
  <conditionalFormatting sqref="K7:K20">
    <cfRule type="expression" dxfId="1394" priority="88">
      <formula>IF($K7&gt;$M7,TRUE)</formula>
    </cfRule>
  </conditionalFormatting>
  <conditionalFormatting sqref="M7:M20">
    <cfRule type="expression" dxfId="1393" priority="87">
      <formula>IF($K7&lt;$M7,TRUE)</formula>
    </cfRule>
  </conditionalFormatting>
  <conditionalFormatting sqref="O7:R20">
    <cfRule type="expression" dxfId="1392" priority="85">
      <formula>IF($O7&gt;$Q7,TRUE)</formula>
    </cfRule>
    <cfRule type="expression" dxfId="1391" priority="86">
      <formula>IF($O7&lt;$Q7,TRUE)</formula>
    </cfRule>
  </conditionalFormatting>
  <conditionalFormatting sqref="O7:O20">
    <cfRule type="expression" dxfId="1390" priority="84">
      <formula>IF($O7&gt;$Q7,TRUE)</formula>
    </cfRule>
  </conditionalFormatting>
  <conditionalFormatting sqref="Q7:Q20">
    <cfRule type="expression" dxfId="1389" priority="83">
      <formula>IF($O7&lt;$Q7,TRUE)</formula>
    </cfRule>
  </conditionalFormatting>
  <conditionalFormatting sqref="S7:Z20">
    <cfRule type="expression" dxfId="1388" priority="81">
      <formula>IF($S7&gt;$U7,TRUE)</formula>
    </cfRule>
    <cfRule type="expression" dxfId="1387" priority="82">
      <formula>IF($S7&lt;$U7,TRUE)</formula>
    </cfRule>
  </conditionalFormatting>
  <conditionalFormatting sqref="S7:S20 W7:W20">
    <cfRule type="expression" dxfId="1386" priority="80">
      <formula>IF($S7&gt;$U7,TRUE)</formula>
    </cfRule>
  </conditionalFormatting>
  <conditionalFormatting sqref="U7:U20 Y7:Y20">
    <cfRule type="expression" dxfId="1385" priority="79">
      <formula>IF($S7&lt;$U7,TRUE)</formula>
    </cfRule>
  </conditionalFormatting>
  <conditionalFormatting sqref="B300">
    <cfRule type="expression" dxfId="1384" priority="43">
      <formula>$A$300=1</formula>
    </cfRule>
  </conditionalFormatting>
  <conditionalFormatting sqref="B301">
    <cfRule type="expression" dxfId="1383" priority="42">
      <formula>$A$301=2</formula>
    </cfRule>
  </conditionalFormatting>
  <conditionalFormatting sqref="B302">
    <cfRule type="expression" dxfId="1382" priority="41">
      <formula>$A$302=3</formula>
    </cfRule>
  </conditionalFormatting>
  <conditionalFormatting sqref="AO314:AO333 AO7:AO20 AQ314:AQ333 AQ7:AQ20 AK314:AK333 AK7:AK20 AI314:AI333 AI7:AI20">
    <cfRule type="expression" dxfId="1381" priority="38">
      <formula>AND(AJ7="",COUNTIF(AI7,"*,*")=0)</formula>
    </cfRule>
  </conditionalFormatting>
  <conditionalFormatting sqref="AM314:AM333 AM7:AM20">
    <cfRule type="expression" dxfId="1380" priority="34">
      <formula>AND(AN7="",FIND(",",AM7))</formula>
    </cfRule>
    <cfRule type="expression" dxfId="1379" priority="39">
      <formula>AND(AN7="",COUNTIF(AM7,"*,*")=0)</formula>
    </cfRule>
  </conditionalFormatting>
  <conditionalFormatting sqref="G110 G112">
    <cfRule type="containsBlanks" dxfId="1378" priority="32">
      <formula>LEN(TRIM(G110))=0</formula>
    </cfRule>
    <cfRule type="aboveAverage" dxfId="1377" priority="33"/>
  </conditionalFormatting>
  <conditionalFormatting sqref="C102 C104">
    <cfRule type="containsBlanks" dxfId="1376" priority="30">
      <formula>LEN(TRIM(C102))=0</formula>
    </cfRule>
    <cfRule type="aboveAverage" dxfId="1375" priority="31"/>
  </conditionalFormatting>
  <conditionalFormatting sqref="C106 C108">
    <cfRule type="containsBlanks" dxfId="1374" priority="28">
      <formula>LEN(TRIM(C106))=0</formula>
    </cfRule>
    <cfRule type="aboveAverage" dxfId="1373" priority="29"/>
  </conditionalFormatting>
  <conditionalFormatting sqref="G103 G107">
    <cfRule type="containsBlanks" dxfId="1372" priority="26">
      <formula>LEN(TRIM(G103))=0</formula>
    </cfRule>
    <cfRule type="aboveAverage" dxfId="1371" priority="27"/>
  </conditionalFormatting>
  <conditionalFormatting sqref="G127 G129">
    <cfRule type="containsBlanks" dxfId="1370" priority="24">
      <formula>LEN(TRIM(G127))=0</formula>
    </cfRule>
    <cfRule type="aboveAverage" dxfId="1369" priority="25"/>
  </conditionalFormatting>
  <conditionalFormatting sqref="C119 C121">
    <cfRule type="containsBlanks" dxfId="1368" priority="22">
      <formula>LEN(TRIM(C119))=0</formula>
    </cfRule>
    <cfRule type="aboveAverage" dxfId="1367" priority="23"/>
  </conditionalFormatting>
  <conditionalFormatting sqref="C123 C125">
    <cfRule type="containsBlanks" dxfId="1366" priority="20">
      <formula>LEN(TRIM(C123))=0</formula>
    </cfRule>
    <cfRule type="aboveAverage" dxfId="1365" priority="21"/>
  </conditionalFormatting>
  <conditionalFormatting sqref="G120 G124">
    <cfRule type="containsBlanks" dxfId="1364" priority="18">
      <formula>LEN(TRIM(G120))=0</formula>
    </cfRule>
    <cfRule type="aboveAverage" dxfId="1363" priority="19"/>
  </conditionalFormatting>
  <conditionalFormatting sqref="G144 G146">
    <cfRule type="containsBlanks" dxfId="1362" priority="16">
      <formula>LEN(TRIM(G144))=0</formula>
    </cfRule>
    <cfRule type="aboveAverage" dxfId="1361" priority="17"/>
  </conditionalFormatting>
  <conditionalFormatting sqref="C136 C138">
    <cfRule type="containsBlanks" dxfId="1360" priority="14">
      <formula>LEN(TRIM(C136))=0</formula>
    </cfRule>
    <cfRule type="aboveAverage" dxfId="1359" priority="15"/>
  </conditionalFormatting>
  <conditionalFormatting sqref="C140 C142">
    <cfRule type="containsBlanks" dxfId="1358" priority="12">
      <formula>LEN(TRIM(C140))=0</formula>
    </cfRule>
    <cfRule type="aboveAverage" dxfId="1357" priority="13"/>
  </conditionalFormatting>
  <conditionalFormatting sqref="G137 G141">
    <cfRule type="containsBlanks" dxfId="1356" priority="10">
      <formula>LEN(TRIM(G137))=0</formula>
    </cfRule>
    <cfRule type="aboveAverage" dxfId="1355" priority="11"/>
  </conditionalFormatting>
  <conditionalFormatting sqref="G153 G155">
    <cfRule type="containsBlanks" dxfId="1354" priority="8">
      <formula>LEN(TRIM(G153))=0</formula>
    </cfRule>
    <cfRule type="aboveAverage" dxfId="1353" priority="9"/>
  </conditionalFormatting>
  <conditionalFormatting sqref="C7:Z20">
    <cfRule type="containsText" dxfId="1352" priority="1" operator="containsText" text="vaba voor">
      <formula>NOT(ISERROR(SEARCH("vaba voor",C7)))</formula>
    </cfRule>
  </conditionalFormatting>
  <pageMargins left="0.39370078740157483" right="0.27559055118110237"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2" max="16383" man="1"/>
    <brk id="15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N1" sqref="N1"/>
    </sheetView>
  </sheetViews>
  <sheetFormatPr defaultRowHeight="12.75" x14ac:dyDescent="0.2"/>
  <cols>
    <col min="1" max="1" width="5.5703125" style="69" customWidth="1"/>
    <col min="2" max="2" width="40.140625"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6.28515625" style="69" hidden="1" customWidth="1"/>
    <col min="36" max="36" width="6" style="69" hidden="1" customWidth="1"/>
    <col min="37" max="37" width="27.7109375" style="69" hidden="1" customWidth="1"/>
    <col min="38" max="38" width="6" style="69" hidden="1" customWidth="1"/>
    <col min="39" max="39" width="17.28515625" style="69" hidden="1" customWidth="1"/>
    <col min="40" max="40" width="6" style="69" hidden="1" customWidth="1"/>
    <col min="41" max="41" width="15.28515625" style="69" hidden="1" customWidth="1"/>
    <col min="42" max="42" width="6" style="69" hidden="1" customWidth="1"/>
    <col min="43" max="16384" width="9.140625" style="69"/>
  </cols>
  <sheetData>
    <row r="1" spans="1:42" x14ac:dyDescent="0.2">
      <c r="A1" s="605" t="str">
        <f>UPPER((Kalend!E19)&amp;" - "&amp;(Kalend!C19)&amp;" - "&amp;(Kalend!D19))</f>
        <v>5 - 28. EESTI MV - DUO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2" x14ac:dyDescent="0.2">
      <c r="A2" s="67" t="str">
        <f>"Toimumisaeg: "&amp;(Kalend!A19)&amp;" kell "&amp;(Kalend!B19)</f>
        <v>Toimumisaeg: P, 15.07.2018 kell 10:00</v>
      </c>
      <c r="AC2" s="264"/>
    </row>
    <row r="3" spans="1:42" x14ac:dyDescent="0.2">
      <c r="A3" s="67" t="str">
        <f>"Toimumiskoht: "&amp;(Kalend!H19)</f>
        <v>Toimumiskoht: Valga, Metsa</v>
      </c>
      <c r="I3" s="262"/>
      <c r="J3" s="132"/>
      <c r="K3" s="130"/>
      <c r="L3" s="610"/>
      <c r="AH3" s="681" t="s">
        <v>771</v>
      </c>
    </row>
    <row r="4" spans="1:42" x14ac:dyDescent="0.2">
      <c r="A4" s="67" t="str">
        <f>"Korraldaja: "&amp;(Kalend!I19)</f>
        <v xml:space="preserve">Korraldaja: </v>
      </c>
      <c r="I4" s="262"/>
      <c r="J4" s="611"/>
      <c r="L4" s="612"/>
      <c r="AH4" s="667" t="s">
        <v>189</v>
      </c>
      <c r="AI4" s="668"/>
      <c r="AJ4" s="625"/>
      <c r="AK4" s="669"/>
      <c r="AL4" s="625"/>
      <c r="AM4" s="625"/>
      <c r="AN4" s="625"/>
      <c r="AO4" s="625"/>
      <c r="AP4" s="625"/>
    </row>
    <row r="5" spans="1:42" x14ac:dyDescent="0.2">
      <c r="A5" s="67"/>
      <c r="J5" s="132"/>
      <c r="K5" s="130"/>
      <c r="L5" s="610"/>
      <c r="AH5" s="667" t="s">
        <v>764</v>
      </c>
      <c r="AI5" s="670" t="s">
        <v>765</v>
      </c>
      <c r="AJ5" s="670"/>
      <c r="AK5" s="671" t="s">
        <v>766</v>
      </c>
      <c r="AL5" s="670"/>
      <c r="AM5" s="670" t="s">
        <v>767</v>
      </c>
      <c r="AN5" s="670"/>
      <c r="AO5" s="670" t="s">
        <v>768</v>
      </c>
      <c r="AP5" s="672"/>
    </row>
    <row r="6" spans="1:42"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68"/>
      <c r="AJ6" s="625"/>
      <c r="AK6" s="668"/>
      <c r="AL6" s="625"/>
      <c r="AM6" s="673"/>
      <c r="AN6" s="673"/>
      <c r="AO6" s="673"/>
      <c r="AP6" s="673"/>
    </row>
    <row r="7" spans="1:42" x14ac:dyDescent="0.2">
      <c r="A7" s="616">
        <v>1</v>
      </c>
      <c r="B7" s="22" t="s">
        <v>806</v>
      </c>
      <c r="C7" s="618">
        <v>13</v>
      </c>
      <c r="D7" s="619" t="s">
        <v>615</v>
      </c>
      <c r="E7" s="620">
        <v>5</v>
      </c>
      <c r="F7" s="621" t="str">
        <f>B21</f>
        <v>Johannes Neiland, Karla Purgats</v>
      </c>
      <c r="G7" s="618">
        <v>13</v>
      </c>
      <c r="H7" s="619" t="s">
        <v>615</v>
      </c>
      <c r="I7" s="620">
        <v>5</v>
      </c>
      <c r="J7" s="621" t="str">
        <f>B14</f>
        <v>Aigi Orro, Kalle Orro</v>
      </c>
      <c r="K7" s="618">
        <v>13</v>
      </c>
      <c r="L7" s="619" t="s">
        <v>615</v>
      </c>
      <c r="M7" s="620">
        <v>2</v>
      </c>
      <c r="N7" s="621" t="str">
        <f>B11</f>
        <v>Danel Pilv, Endla Antsve, Silver Kingissepp</v>
      </c>
      <c r="O7" s="618">
        <v>13</v>
      </c>
      <c r="P7" s="619" t="s">
        <v>615</v>
      </c>
      <c r="Q7" s="620">
        <v>5</v>
      </c>
      <c r="R7" s="621" t="str">
        <f>B10</f>
        <v>Andero Kelu, Kaido Kopel</v>
      </c>
      <c r="S7" s="618"/>
      <c r="T7" s="619" t="s">
        <v>615</v>
      </c>
      <c r="U7" s="620"/>
      <c r="V7" s="621"/>
      <c r="W7" s="618"/>
      <c r="X7" s="619" t="s">
        <v>615</v>
      </c>
      <c r="Y7" s="620"/>
      <c r="Z7" s="621"/>
      <c r="AA7" s="634">
        <f t="shared" ref="AA7:AA24" si="0">2*(IF(C7&gt;E7,1)+IF(G7&gt;I7,1)+IF(K7&gt;M7,1)+IF(O7&gt;Q7,1)+IF(S7&gt;U7,1)+IF(W7&gt;Y7,1))</f>
        <v>8</v>
      </c>
      <c r="AB7" s="635">
        <v>20</v>
      </c>
      <c r="AC7" s="629">
        <f t="shared" ref="AC7:AC24" si="1">C7+G7+K7+O7+S7+W7</f>
        <v>52</v>
      </c>
      <c r="AD7" s="630" t="s">
        <v>615</v>
      </c>
      <c r="AE7" s="631">
        <f t="shared" ref="AE7:AE24" si="2">E7+I7+M7+Q7+U7+Y7</f>
        <v>17</v>
      </c>
      <c r="AF7" s="803">
        <f t="shared" ref="AF7:AF24" si="3">AC7-AE7</f>
        <v>35</v>
      </c>
      <c r="AH7" s="672">
        <f t="shared" ref="AH7" ca="1" si="4">SUM(AJ7:AP7)</f>
        <v>1307.5</v>
      </c>
      <c r="AI7" s="674" t="str">
        <f t="shared" ref="AI7:AI30" si="5">IFERROR(LEFT($B300,(FIND(",",$B300,1)-1)),"")</f>
        <v>Margus Berkmann</v>
      </c>
      <c r="AJ7" s="675">
        <f ca="1">IFERROR(INDEX(Üldreiting!$M:$M,MATCH(AI7,Üldreiting!$H:$H,0)),"")</f>
        <v>796.5</v>
      </c>
      <c r="AK7" s="674" t="str">
        <f t="shared" ref="AK7:AK30" si="6">IFERROR(MID($B300,FIND(", ",$B300)+2,256),"")</f>
        <v>Meelis Münt</v>
      </c>
      <c r="AL7" s="675">
        <f ca="1">IFERROR(INDEX(Üldreiting!$M:$M,MATCH(AK7,Üldreiting!$H:$H,0)),"")</f>
        <v>511</v>
      </c>
      <c r="AM7" s="676" t="str">
        <f t="shared" ref="AM7:AM30" si="7">IFERROR(MID($B300,FIND("^",SUBSTITUTE($B300,", ","^",1))+2,FIND("^",SUBSTITUTE($B300,", ","^",2))-FIND("^",SUBSTITUTE($B300,", ","^",1))-2),"")</f>
        <v/>
      </c>
      <c r="AN7" s="675" t="str">
        <f>IFERROR(INDEX(Üldreiting!$M:$M,MATCH(AM7,Üldreiting!$H:$H,0)),"")</f>
        <v/>
      </c>
      <c r="AO7" s="676" t="str">
        <f t="shared" ref="AO7:AO30" si="8">IFERROR(MID($B300,FIND(", ",$B300,FIND(", ",$B300,FIND(", ",$B300))+1)+2,30000),"")</f>
        <v/>
      </c>
      <c r="AP7" s="675" t="str">
        <f>IFERROR(INDEX(Üldreiting!$M:$M,MATCH(AO7,Üldreiting!$H:$H,0)),"")</f>
        <v/>
      </c>
    </row>
    <row r="8" spans="1:42" x14ac:dyDescent="0.2">
      <c r="A8" s="616">
        <v>2</v>
      </c>
      <c r="B8" s="22" t="s">
        <v>807</v>
      </c>
      <c r="C8" s="618">
        <v>13</v>
      </c>
      <c r="D8" s="619" t="s">
        <v>615</v>
      </c>
      <c r="E8" s="620">
        <v>1</v>
      </c>
      <c r="F8" s="621" t="str">
        <f>B29</f>
        <v>Jaan Sepp, Mait Metsla</v>
      </c>
      <c r="G8" s="618">
        <v>13</v>
      </c>
      <c r="H8" s="619" t="s">
        <v>615</v>
      </c>
      <c r="I8" s="620">
        <v>6</v>
      </c>
      <c r="J8" s="621" t="str">
        <f>B9</f>
        <v>Katri Aavekukk, Merike Aava</v>
      </c>
      <c r="K8" s="618">
        <v>11</v>
      </c>
      <c r="L8" s="619" t="s">
        <v>615</v>
      </c>
      <c r="M8" s="620">
        <v>10</v>
      </c>
      <c r="N8" s="621" t="str">
        <f>B17</f>
        <v>Jaan Joonas, Toomas Hoole</v>
      </c>
      <c r="O8" s="618">
        <v>13</v>
      </c>
      <c r="P8" s="619" t="s">
        <v>615</v>
      </c>
      <c r="Q8" s="620">
        <v>3</v>
      </c>
      <c r="R8" s="621" t="str">
        <f>B15</f>
        <v>Arvi Palla, Ruudi Väärtnõu</v>
      </c>
      <c r="S8" s="618"/>
      <c r="T8" s="619" t="s">
        <v>615</v>
      </c>
      <c r="U8" s="620"/>
      <c r="V8" s="621"/>
      <c r="W8" s="618"/>
      <c r="X8" s="619" t="s">
        <v>615</v>
      </c>
      <c r="Y8" s="620"/>
      <c r="Z8" s="621"/>
      <c r="AA8" s="634">
        <f t="shared" si="0"/>
        <v>8</v>
      </c>
      <c r="AB8" s="635">
        <v>14</v>
      </c>
      <c r="AC8" s="629">
        <f t="shared" si="1"/>
        <v>50</v>
      </c>
      <c r="AD8" s="630" t="s">
        <v>615</v>
      </c>
      <c r="AE8" s="631">
        <f t="shared" si="2"/>
        <v>20</v>
      </c>
      <c r="AF8" s="803">
        <f t="shared" si="3"/>
        <v>30</v>
      </c>
      <c r="AH8" s="672">
        <f t="shared" ref="AH8:AH30" ca="1" si="9">SUM(AJ8:AP8)</f>
        <v>1837</v>
      </c>
      <c r="AI8" s="674" t="str">
        <f t="shared" si="5"/>
        <v>Aimar Poom</v>
      </c>
      <c r="AJ8" s="675">
        <f ca="1">IFERROR(INDEX(Üldreiting!$M:$M,MATCH(AI8,Üldreiting!$H:$H,0)),"")</f>
        <v>701</v>
      </c>
      <c r="AK8" s="674" t="str">
        <f t="shared" si="6"/>
        <v>Urmo Auväärt</v>
      </c>
      <c r="AL8" s="675">
        <f ca="1">IFERROR(INDEX(Üldreiting!$M:$M,MATCH(AK8,Üldreiting!$H:$H,0)),"")</f>
        <v>1136</v>
      </c>
      <c r="AM8" s="676" t="str">
        <f t="shared" si="7"/>
        <v/>
      </c>
      <c r="AN8" s="675" t="str">
        <f>IFERROR(INDEX(Üldreiting!$M:$M,MATCH(AM8,Üldreiting!$H:$H,0)),"")</f>
        <v/>
      </c>
      <c r="AO8" s="676" t="str">
        <f t="shared" si="8"/>
        <v/>
      </c>
      <c r="AP8" s="675" t="str">
        <f>IFERROR(INDEX(Üldreiting!$M:$M,MATCH(AO8,Üldreiting!$H:$H,0)),"")</f>
        <v/>
      </c>
    </row>
    <row r="9" spans="1:42" x14ac:dyDescent="0.2">
      <c r="A9" s="616">
        <v>3</v>
      </c>
      <c r="B9" s="617" t="s">
        <v>808</v>
      </c>
      <c r="C9" s="618">
        <v>13</v>
      </c>
      <c r="D9" s="619" t="s">
        <v>615</v>
      </c>
      <c r="E9" s="620">
        <v>0</v>
      </c>
      <c r="F9" s="621" t="str">
        <f>B20</f>
        <v>Toomas Reede, Varje Reede</v>
      </c>
      <c r="G9" s="618">
        <v>6</v>
      </c>
      <c r="H9" s="619" t="s">
        <v>615</v>
      </c>
      <c r="I9" s="620">
        <v>13</v>
      </c>
      <c r="J9" s="621" t="str">
        <f>B8</f>
        <v>Aimar Poom, Urmo Auväärt</v>
      </c>
      <c r="K9" s="618">
        <v>13</v>
      </c>
      <c r="L9" s="619" t="s">
        <v>615</v>
      </c>
      <c r="M9" s="620">
        <v>4</v>
      </c>
      <c r="N9" s="621" t="str">
        <f>B14</f>
        <v>Aigi Orro, Kalle Orro</v>
      </c>
      <c r="O9" s="618">
        <v>9</v>
      </c>
      <c r="P9" s="619" t="s">
        <v>615</v>
      </c>
      <c r="Q9" s="620">
        <v>8</v>
      </c>
      <c r="R9" s="621" t="str">
        <f>B16</f>
        <v>Marek Kolk, Tiit Kattai</v>
      </c>
      <c r="S9" s="618"/>
      <c r="T9" s="619" t="s">
        <v>615</v>
      </c>
      <c r="U9" s="620"/>
      <c r="V9" s="621"/>
      <c r="W9" s="618"/>
      <c r="X9" s="619" t="s">
        <v>615</v>
      </c>
      <c r="Y9" s="620"/>
      <c r="Z9" s="621"/>
      <c r="AA9" s="636">
        <f t="shared" si="0"/>
        <v>6</v>
      </c>
      <c r="AB9" s="637">
        <v>20</v>
      </c>
      <c r="AC9" s="629">
        <f t="shared" si="1"/>
        <v>41</v>
      </c>
      <c r="AD9" s="630" t="s">
        <v>615</v>
      </c>
      <c r="AE9" s="631">
        <f t="shared" si="2"/>
        <v>25</v>
      </c>
      <c r="AF9" s="804">
        <f t="shared" si="3"/>
        <v>16</v>
      </c>
      <c r="AH9" s="672">
        <f t="shared" ca="1" si="9"/>
        <v>1615</v>
      </c>
      <c r="AI9" s="674" t="str">
        <f t="shared" si="5"/>
        <v>Katri Aavekukk</v>
      </c>
      <c r="AJ9" s="675">
        <f ca="1">IFERROR(INDEX(Üldreiting!$M:$M,MATCH(AI9,Üldreiting!$H:$H,0)),"")</f>
        <v>1079</v>
      </c>
      <c r="AK9" s="674" t="str">
        <f t="shared" si="6"/>
        <v>Merike Aava</v>
      </c>
      <c r="AL9" s="675">
        <f ca="1">IFERROR(INDEX(Üldreiting!$M:$M,MATCH(AK9,Üldreiting!$H:$H,0)),"")</f>
        <v>536</v>
      </c>
      <c r="AM9" s="676" t="str">
        <f t="shared" si="7"/>
        <v/>
      </c>
      <c r="AN9" s="675" t="str">
        <f>IFERROR(INDEX(Üldreiting!$M:$M,MATCH(AM9,Üldreiting!$H:$H,0)),"")</f>
        <v/>
      </c>
      <c r="AO9" s="676" t="str">
        <f t="shared" si="8"/>
        <v/>
      </c>
      <c r="AP9" s="675" t="str">
        <f>IFERROR(INDEX(Üldreiting!$M:$M,MATCH(AO9,Üldreiting!$H:$H,0)),"")</f>
        <v/>
      </c>
    </row>
    <row r="10" spans="1:42" x14ac:dyDescent="0.2">
      <c r="A10" s="616">
        <v>4</v>
      </c>
      <c r="B10" s="617" t="s">
        <v>809</v>
      </c>
      <c r="C10" s="618">
        <v>13</v>
      </c>
      <c r="D10" s="619" t="s">
        <v>615</v>
      </c>
      <c r="E10" s="620">
        <v>4</v>
      </c>
      <c r="F10" s="621" t="str">
        <f>B24</f>
        <v>Anti Alasi, Jelena Brakina</v>
      </c>
      <c r="G10" s="618">
        <v>13</v>
      </c>
      <c r="H10" s="619" t="s">
        <v>615</v>
      </c>
      <c r="I10" s="620">
        <v>5</v>
      </c>
      <c r="J10" s="621" t="str">
        <f>B16</f>
        <v>Marek Kolk, Tiit Kattai</v>
      </c>
      <c r="K10" s="618">
        <v>13</v>
      </c>
      <c r="L10" s="619" t="s">
        <v>615</v>
      </c>
      <c r="M10" s="620">
        <v>0</v>
      </c>
      <c r="N10" s="621" t="str">
        <f>B15</f>
        <v>Arvi Palla, Ruudi Väärtnõu</v>
      </c>
      <c r="O10" s="618">
        <v>5</v>
      </c>
      <c r="P10" s="619" t="s">
        <v>615</v>
      </c>
      <c r="Q10" s="620">
        <v>13</v>
      </c>
      <c r="R10" s="621" t="str">
        <f>B7</f>
        <v>Margus Berkmann, Meelis Münt</v>
      </c>
      <c r="S10" s="618"/>
      <c r="T10" s="619" t="s">
        <v>615</v>
      </c>
      <c r="U10" s="620"/>
      <c r="V10" s="621"/>
      <c r="W10" s="618"/>
      <c r="X10" s="619" t="s">
        <v>615</v>
      </c>
      <c r="Y10" s="620"/>
      <c r="Z10" s="621"/>
      <c r="AA10" s="636">
        <f t="shared" si="0"/>
        <v>6</v>
      </c>
      <c r="AB10" s="637">
        <v>18</v>
      </c>
      <c r="AC10" s="638">
        <f t="shared" si="1"/>
        <v>44</v>
      </c>
      <c r="AD10" s="639" t="s">
        <v>615</v>
      </c>
      <c r="AE10" s="640">
        <f t="shared" si="2"/>
        <v>22</v>
      </c>
      <c r="AF10" s="805">
        <f t="shared" si="3"/>
        <v>22</v>
      </c>
      <c r="AH10" s="672">
        <f t="shared" ca="1" si="9"/>
        <v>1220</v>
      </c>
      <c r="AI10" s="674" t="str">
        <f t="shared" si="5"/>
        <v>Danel Pilv</v>
      </c>
      <c r="AJ10" s="675">
        <f ca="1">IFERROR(INDEX(Üldreiting!$M:$M,MATCH(AI10,Üldreiting!$H:$H,0)),"")</f>
        <v>258</v>
      </c>
      <c r="AK10" s="674" t="str">
        <f t="shared" si="6"/>
        <v>Endla Antsve, Silver Kingissepp</v>
      </c>
      <c r="AL10" s="675" t="str">
        <f>IFERROR(INDEX(Üldreiting!$M:$M,MATCH(AK10,Üldreiting!$H:$H,0)),"")</f>
        <v/>
      </c>
      <c r="AM10" s="676" t="str">
        <f t="shared" si="7"/>
        <v>Endla Antsve</v>
      </c>
      <c r="AN10" s="675">
        <f ca="1">IFERROR(INDEX(Üldreiting!$M:$M,MATCH(AM10,Üldreiting!$H:$H,0)),"")</f>
        <v>136</v>
      </c>
      <c r="AO10" s="676" t="str">
        <f t="shared" si="8"/>
        <v>Silver Kingissepp</v>
      </c>
      <c r="AP10" s="675">
        <f ca="1">IFERROR(INDEX(Üldreiting!$M:$M,MATCH(AO10,Üldreiting!$H:$H,0)),"")</f>
        <v>826</v>
      </c>
    </row>
    <row r="11" spans="1:42" x14ac:dyDescent="0.2">
      <c r="A11" s="616">
        <v>5</v>
      </c>
      <c r="B11" s="617" t="s">
        <v>810</v>
      </c>
      <c r="C11" s="618">
        <v>13</v>
      </c>
      <c r="D11" s="619" t="s">
        <v>615</v>
      </c>
      <c r="E11" s="620">
        <v>6</v>
      </c>
      <c r="F11" s="621" t="str">
        <f>B25</f>
        <v>Janek Kiisk, Margo Peebo</v>
      </c>
      <c r="G11" s="618">
        <v>13</v>
      </c>
      <c r="H11" s="619" t="s">
        <v>615</v>
      </c>
      <c r="I11" s="620">
        <v>2</v>
      </c>
      <c r="J11" s="621" t="str">
        <f>B18</f>
        <v>Marta Ruus, Robert Schmidt</v>
      </c>
      <c r="K11" s="618">
        <v>2</v>
      </c>
      <c r="L11" s="619" t="s">
        <v>615</v>
      </c>
      <c r="M11" s="620">
        <v>13</v>
      </c>
      <c r="N11" s="621" t="str">
        <f>B7</f>
        <v>Margus Berkmann, Meelis Münt</v>
      </c>
      <c r="O11" s="618">
        <v>11</v>
      </c>
      <c r="P11" s="619" t="s">
        <v>615</v>
      </c>
      <c r="Q11" s="620">
        <v>10</v>
      </c>
      <c r="R11" s="621" t="str">
        <f>B17</f>
        <v>Jaan Joonas, Toomas Hoole</v>
      </c>
      <c r="S11" s="618"/>
      <c r="T11" s="619" t="s">
        <v>615</v>
      </c>
      <c r="U11" s="620"/>
      <c r="V11" s="621"/>
      <c r="W11" s="618"/>
      <c r="X11" s="619" t="s">
        <v>615</v>
      </c>
      <c r="Y11" s="620"/>
      <c r="Z11" s="621"/>
      <c r="AA11" s="636">
        <f t="shared" si="0"/>
        <v>6</v>
      </c>
      <c r="AB11" s="637">
        <v>18</v>
      </c>
      <c r="AC11" s="638">
        <f t="shared" si="1"/>
        <v>39</v>
      </c>
      <c r="AD11" s="639" t="s">
        <v>615</v>
      </c>
      <c r="AE11" s="640">
        <f t="shared" si="2"/>
        <v>31</v>
      </c>
      <c r="AF11" s="805">
        <f t="shared" si="3"/>
        <v>8</v>
      </c>
      <c r="AH11" s="672">
        <f t="shared" ca="1" si="9"/>
        <v>827</v>
      </c>
      <c r="AI11" s="674" t="str">
        <f t="shared" si="5"/>
        <v>Hardo Sokk</v>
      </c>
      <c r="AJ11" s="675">
        <f ca="1">IFERROR(INDEX(Üldreiting!$M:$M,MATCH(AI11,Üldreiting!$H:$H,0)),"")</f>
        <v>510</v>
      </c>
      <c r="AK11" s="674" t="str">
        <f t="shared" si="6"/>
        <v>Toomas Tauk</v>
      </c>
      <c r="AL11" s="675">
        <f ca="1">IFERROR(INDEX(Üldreiting!$M:$M,MATCH(AK11,Üldreiting!$H:$H,0)),"")</f>
        <v>317</v>
      </c>
      <c r="AM11" s="676" t="str">
        <f t="shared" si="7"/>
        <v/>
      </c>
      <c r="AN11" s="675" t="str">
        <f>IFERROR(INDEX(Üldreiting!$M:$M,MATCH(AM11,Üldreiting!$H:$H,0)),"")</f>
        <v/>
      </c>
      <c r="AO11" s="676" t="str">
        <f t="shared" si="8"/>
        <v/>
      </c>
      <c r="AP11" s="675" t="str">
        <f>IFERROR(INDEX(Üldreiting!$M:$M,MATCH(AO11,Üldreiting!$H:$H,0)),"")</f>
        <v/>
      </c>
    </row>
    <row r="12" spans="1:42" x14ac:dyDescent="0.2">
      <c r="A12" s="616">
        <v>6</v>
      </c>
      <c r="B12" s="617" t="s">
        <v>811</v>
      </c>
      <c r="C12" s="618">
        <v>13</v>
      </c>
      <c r="D12" s="619" t="s">
        <v>615</v>
      </c>
      <c r="E12" s="620">
        <v>4</v>
      </c>
      <c r="F12" s="621" t="str">
        <f>B19</f>
        <v>Tõnu Sõrmus, Viljar Kerb</v>
      </c>
      <c r="G12" s="618">
        <v>3</v>
      </c>
      <c r="H12" s="619" t="s">
        <v>615</v>
      </c>
      <c r="I12" s="620">
        <v>13</v>
      </c>
      <c r="J12" s="621" t="str">
        <f>B15</f>
        <v>Arvi Palla, Ruudi Väärtnõu</v>
      </c>
      <c r="K12" s="618">
        <v>13</v>
      </c>
      <c r="L12" s="619" t="s">
        <v>615</v>
      </c>
      <c r="M12" s="620">
        <v>2</v>
      </c>
      <c r="N12" s="621" t="str">
        <f>B27</f>
        <v>Alari Keedus, Ülo Piik</v>
      </c>
      <c r="O12" s="618">
        <v>13</v>
      </c>
      <c r="P12" s="619" t="s">
        <v>615</v>
      </c>
      <c r="Q12" s="620">
        <v>4</v>
      </c>
      <c r="R12" s="621" t="str">
        <f>B18</f>
        <v>Marta Ruus, Robert Schmidt</v>
      </c>
      <c r="S12" s="618"/>
      <c r="T12" s="619" t="s">
        <v>615</v>
      </c>
      <c r="U12" s="620"/>
      <c r="V12" s="621"/>
      <c r="W12" s="618"/>
      <c r="X12" s="619" t="s">
        <v>615</v>
      </c>
      <c r="Y12" s="620"/>
      <c r="Z12" s="621"/>
      <c r="AA12" s="636">
        <f t="shared" si="0"/>
        <v>6</v>
      </c>
      <c r="AB12" s="637">
        <v>14</v>
      </c>
      <c r="AC12" s="629">
        <f t="shared" si="1"/>
        <v>42</v>
      </c>
      <c r="AD12" s="630" t="s">
        <v>615</v>
      </c>
      <c r="AE12" s="631">
        <f t="shared" si="2"/>
        <v>23</v>
      </c>
      <c r="AF12" s="804">
        <f t="shared" si="3"/>
        <v>19</v>
      </c>
      <c r="AH12" s="672">
        <f t="shared" ca="1" si="9"/>
        <v>1495</v>
      </c>
      <c r="AI12" s="674" t="str">
        <f t="shared" si="5"/>
        <v>Andero Kelu</v>
      </c>
      <c r="AJ12" s="675">
        <f ca="1">IFERROR(INDEX(Üldreiting!$M:$M,MATCH(AI12,Üldreiting!$H:$H,0)),"")</f>
        <v>775</v>
      </c>
      <c r="AK12" s="674" t="str">
        <f t="shared" si="6"/>
        <v>Kaido Kopel</v>
      </c>
      <c r="AL12" s="675">
        <f ca="1">IFERROR(INDEX(Üldreiting!$M:$M,MATCH(AK12,Üldreiting!$H:$H,0)),"")</f>
        <v>720</v>
      </c>
      <c r="AM12" s="676" t="str">
        <f t="shared" si="7"/>
        <v/>
      </c>
      <c r="AN12" s="675" t="str">
        <f>IFERROR(INDEX(Üldreiting!$M:$M,MATCH(AM12,Üldreiting!$H:$H,0)),"")</f>
        <v/>
      </c>
      <c r="AO12" s="676" t="str">
        <f t="shared" si="8"/>
        <v/>
      </c>
      <c r="AP12" s="675" t="str">
        <f>IFERROR(INDEX(Üldreiting!$M:$M,MATCH(AO12,Üldreiting!$H:$H,0)),"")</f>
        <v/>
      </c>
    </row>
    <row r="13" spans="1:42" x14ac:dyDescent="0.2">
      <c r="A13" s="616">
        <v>7</v>
      </c>
      <c r="B13" s="617" t="s">
        <v>812</v>
      </c>
      <c r="C13" s="618">
        <v>6</v>
      </c>
      <c r="D13" s="619" t="s">
        <v>615</v>
      </c>
      <c r="E13" s="620">
        <v>13</v>
      </c>
      <c r="F13" s="621" t="str">
        <f>B14</f>
        <v>Aigi Orro, Kalle Orro</v>
      </c>
      <c r="G13" s="618">
        <v>13</v>
      </c>
      <c r="H13" s="619" t="s">
        <v>615</v>
      </c>
      <c r="I13" s="620">
        <v>10</v>
      </c>
      <c r="J13" s="621" t="str">
        <f>B25</f>
        <v>Janek Kiisk, Margo Peebo</v>
      </c>
      <c r="K13" s="618">
        <v>13</v>
      </c>
      <c r="L13" s="619" t="s">
        <v>615</v>
      </c>
      <c r="M13" s="620">
        <v>6</v>
      </c>
      <c r="N13" s="621" t="str">
        <f>B26</f>
        <v>Külli Kariste, Marju Velga</v>
      </c>
      <c r="O13" s="618">
        <v>13</v>
      </c>
      <c r="P13" s="619" t="s">
        <v>615</v>
      </c>
      <c r="Q13" s="620">
        <v>3</v>
      </c>
      <c r="R13" s="621" t="str">
        <f>B20</f>
        <v>Toomas Reede, Varje Reede</v>
      </c>
      <c r="S13" s="618"/>
      <c r="T13" s="619" t="s">
        <v>615</v>
      </c>
      <c r="U13" s="620"/>
      <c r="V13" s="621"/>
      <c r="W13" s="618"/>
      <c r="X13" s="619" t="s">
        <v>615</v>
      </c>
      <c r="Y13" s="620"/>
      <c r="Z13" s="621"/>
      <c r="AA13" s="636">
        <f t="shared" si="0"/>
        <v>6</v>
      </c>
      <c r="AB13" s="637">
        <v>12</v>
      </c>
      <c r="AC13" s="629">
        <f t="shared" si="1"/>
        <v>45</v>
      </c>
      <c r="AD13" s="630" t="s">
        <v>615</v>
      </c>
      <c r="AE13" s="631">
        <f t="shared" si="2"/>
        <v>32</v>
      </c>
      <c r="AF13" s="804">
        <f t="shared" si="3"/>
        <v>13</v>
      </c>
      <c r="AH13" s="672">
        <f t="shared" ca="1" si="9"/>
        <v>1837</v>
      </c>
      <c r="AI13" s="674" t="str">
        <f t="shared" si="5"/>
        <v>Aigi Orro</v>
      </c>
      <c r="AJ13" s="675">
        <f ca="1">IFERROR(INDEX(Üldreiting!$M:$M,MATCH(AI13,Üldreiting!$H:$H,0)),"")</f>
        <v>918.5</v>
      </c>
      <c r="AK13" s="674" t="str">
        <f t="shared" si="6"/>
        <v>Kalle Orro</v>
      </c>
      <c r="AL13" s="675">
        <f ca="1">IFERROR(INDEX(Üldreiting!$M:$M,MATCH(AK13,Üldreiting!$H:$H,0)),"")</f>
        <v>918.5</v>
      </c>
      <c r="AM13" s="676" t="str">
        <f t="shared" si="7"/>
        <v/>
      </c>
      <c r="AN13" s="675" t="str">
        <f>IFERROR(INDEX(Üldreiting!$M:$M,MATCH(AM13,Üldreiting!$H:$H,0)),"")</f>
        <v/>
      </c>
      <c r="AO13" s="676" t="str">
        <f t="shared" si="8"/>
        <v/>
      </c>
      <c r="AP13" s="675" t="str">
        <f>IFERROR(INDEX(Üldreiting!$M:$M,MATCH(AO13,Üldreiting!$H:$H,0)),"")</f>
        <v/>
      </c>
    </row>
    <row r="14" spans="1:42" x14ac:dyDescent="0.2">
      <c r="A14" s="616">
        <v>8</v>
      </c>
      <c r="B14" s="617" t="s">
        <v>548</v>
      </c>
      <c r="C14" s="618">
        <v>13</v>
      </c>
      <c r="D14" s="619" t="s">
        <v>615</v>
      </c>
      <c r="E14" s="620">
        <v>6</v>
      </c>
      <c r="F14" s="621" t="str">
        <f>B13</f>
        <v>Mati Rõõm, Mihkel Lillemets</v>
      </c>
      <c r="G14" s="618">
        <v>5</v>
      </c>
      <c r="H14" s="619" t="s">
        <v>615</v>
      </c>
      <c r="I14" s="620">
        <v>13</v>
      </c>
      <c r="J14" s="621" t="str">
        <f>B7</f>
        <v>Margus Berkmann, Meelis Münt</v>
      </c>
      <c r="K14" s="618">
        <v>4</v>
      </c>
      <c r="L14" s="619" t="s">
        <v>615</v>
      </c>
      <c r="M14" s="620">
        <v>13</v>
      </c>
      <c r="N14" s="621" t="str">
        <f>B9</f>
        <v>Katri Aavekukk, Merike Aava</v>
      </c>
      <c r="O14" s="618">
        <v>13</v>
      </c>
      <c r="P14" s="619" t="s">
        <v>615</v>
      </c>
      <c r="Q14" s="620">
        <v>5</v>
      </c>
      <c r="R14" s="621" t="str">
        <f>B24</f>
        <v>Anti Alasi, Jelena Brakina</v>
      </c>
      <c r="S14" s="618"/>
      <c r="T14" s="619" t="s">
        <v>615</v>
      </c>
      <c r="U14" s="620"/>
      <c r="V14" s="621"/>
      <c r="W14" s="618"/>
      <c r="X14" s="619" t="s">
        <v>615</v>
      </c>
      <c r="Y14" s="620"/>
      <c r="Z14" s="621"/>
      <c r="AA14" s="634">
        <f t="shared" si="0"/>
        <v>4</v>
      </c>
      <c r="AB14" s="635">
        <v>22</v>
      </c>
      <c r="AC14" s="800">
        <f t="shared" si="1"/>
        <v>35</v>
      </c>
      <c r="AD14" s="801" t="s">
        <v>615</v>
      </c>
      <c r="AE14" s="802">
        <f t="shared" si="2"/>
        <v>37</v>
      </c>
      <c r="AF14" s="806">
        <f t="shared" si="3"/>
        <v>-2</v>
      </c>
      <c r="AH14" s="672">
        <f t="shared" ca="1" si="9"/>
        <v>364</v>
      </c>
      <c r="AI14" s="674" t="str">
        <f t="shared" si="5"/>
        <v>Mati Rõõm</v>
      </c>
      <c r="AJ14" s="675">
        <f ca="1">IFERROR(INDEX(Üldreiting!$M:$M,MATCH(AI14,Üldreiting!$H:$H,0)),"")</f>
        <v>182</v>
      </c>
      <c r="AK14" s="674" t="str">
        <f t="shared" si="6"/>
        <v>Mihkel Lillemets</v>
      </c>
      <c r="AL14" s="675">
        <f ca="1">IFERROR(INDEX(Üldreiting!$M:$M,MATCH(AK14,Üldreiting!$H:$H,0)),"")</f>
        <v>182</v>
      </c>
      <c r="AM14" s="676" t="str">
        <f t="shared" si="7"/>
        <v/>
      </c>
      <c r="AN14" s="675" t="str">
        <f>IFERROR(INDEX(Üldreiting!$M:$M,MATCH(AM14,Üldreiting!$H:$H,0)),"")</f>
        <v/>
      </c>
      <c r="AO14" s="676" t="str">
        <f t="shared" si="8"/>
        <v/>
      </c>
      <c r="AP14" s="675" t="str">
        <f>IFERROR(INDEX(Üldreiting!$M:$M,MATCH(AO14,Üldreiting!$H:$H,0)),"")</f>
        <v/>
      </c>
    </row>
    <row r="15" spans="1:42" x14ac:dyDescent="0.2">
      <c r="A15" s="616">
        <v>9</v>
      </c>
      <c r="B15" s="617" t="s">
        <v>813</v>
      </c>
      <c r="C15" s="618">
        <v>13</v>
      </c>
      <c r="D15" s="619" t="s">
        <v>615</v>
      </c>
      <c r="E15" s="620">
        <v>5</v>
      </c>
      <c r="F15" s="621" t="str">
        <f>B26</f>
        <v>Külli Kariste, Marju Velga</v>
      </c>
      <c r="G15" s="618">
        <v>13</v>
      </c>
      <c r="H15" s="619" t="s">
        <v>615</v>
      </c>
      <c r="I15" s="620">
        <v>3</v>
      </c>
      <c r="J15" s="621" t="str">
        <f>B12</f>
        <v>Hardo Sokk, Toomas Tauk</v>
      </c>
      <c r="K15" s="618">
        <v>0</v>
      </c>
      <c r="L15" s="619" t="s">
        <v>615</v>
      </c>
      <c r="M15" s="620">
        <v>13</v>
      </c>
      <c r="N15" s="621" t="str">
        <f>B10</f>
        <v>Andero Kelu, Kaido Kopel</v>
      </c>
      <c r="O15" s="618">
        <v>3</v>
      </c>
      <c r="P15" s="619" t="s">
        <v>615</v>
      </c>
      <c r="Q15" s="620">
        <v>13</v>
      </c>
      <c r="R15" s="621" t="str">
        <f>B8</f>
        <v>Aimar Poom, Urmo Auväärt</v>
      </c>
      <c r="S15" s="618"/>
      <c r="T15" s="619" t="s">
        <v>615</v>
      </c>
      <c r="U15" s="620"/>
      <c r="V15" s="621"/>
      <c r="W15" s="618"/>
      <c r="X15" s="619" t="s">
        <v>615</v>
      </c>
      <c r="Y15" s="620"/>
      <c r="Z15" s="621"/>
      <c r="AA15" s="634">
        <f t="shared" si="0"/>
        <v>4</v>
      </c>
      <c r="AB15" s="635">
        <v>22</v>
      </c>
      <c r="AC15" s="800">
        <f t="shared" si="1"/>
        <v>29</v>
      </c>
      <c r="AD15" s="801" t="s">
        <v>615</v>
      </c>
      <c r="AE15" s="802">
        <f t="shared" si="2"/>
        <v>34</v>
      </c>
      <c r="AF15" s="806">
        <f t="shared" si="3"/>
        <v>-5</v>
      </c>
      <c r="AH15" s="672">
        <f t="shared" ca="1" si="9"/>
        <v>1158</v>
      </c>
      <c r="AI15" s="674" t="str">
        <f t="shared" si="5"/>
        <v>Arvi Palla</v>
      </c>
      <c r="AJ15" s="675">
        <f ca="1">IFERROR(INDEX(Üldreiting!$M:$M,MATCH(AI15,Üldreiting!$H:$H,0)),"")</f>
        <v>186</v>
      </c>
      <c r="AK15" s="674" t="str">
        <f t="shared" si="6"/>
        <v>Ruudi Väärtnõu</v>
      </c>
      <c r="AL15" s="675">
        <f ca="1">IFERROR(INDEX(Üldreiting!$M:$M,MATCH(AK15,Üldreiting!$H:$H,0)),"")</f>
        <v>972</v>
      </c>
      <c r="AM15" s="676" t="str">
        <f t="shared" si="7"/>
        <v/>
      </c>
      <c r="AN15" s="675" t="str">
        <f>IFERROR(INDEX(Üldreiting!$M:$M,MATCH(AM15,Üldreiting!$H:$H,0)),"")</f>
        <v/>
      </c>
      <c r="AO15" s="676" t="str">
        <f t="shared" si="8"/>
        <v/>
      </c>
      <c r="AP15" s="675" t="str">
        <f>IFERROR(INDEX(Üldreiting!$M:$M,MATCH(AO15,Üldreiting!$H:$H,0)),"")</f>
        <v/>
      </c>
    </row>
    <row r="16" spans="1:42" x14ac:dyDescent="0.2">
      <c r="A16" s="616">
        <v>10</v>
      </c>
      <c r="B16" s="617" t="s">
        <v>814</v>
      </c>
      <c r="C16" s="618">
        <v>13</v>
      </c>
      <c r="D16" s="619" t="s">
        <v>615</v>
      </c>
      <c r="E16" s="620">
        <v>4</v>
      </c>
      <c r="F16" s="621" t="str">
        <f>B23</f>
        <v>Marek Lehis, Peeter Mäeots</v>
      </c>
      <c r="G16" s="618">
        <v>5</v>
      </c>
      <c r="H16" s="619" t="s">
        <v>615</v>
      </c>
      <c r="I16" s="620">
        <v>13</v>
      </c>
      <c r="J16" s="621" t="str">
        <f>B10</f>
        <v>Andero Kelu, Kaido Kopel</v>
      </c>
      <c r="K16" s="618">
        <v>13</v>
      </c>
      <c r="L16" s="619" t="s">
        <v>615</v>
      </c>
      <c r="M16" s="620">
        <v>5</v>
      </c>
      <c r="N16" s="621" t="str">
        <f>B22</f>
        <v>Kevin Kangur, Maris Rõõm</v>
      </c>
      <c r="O16" s="618">
        <v>8</v>
      </c>
      <c r="P16" s="619" t="s">
        <v>615</v>
      </c>
      <c r="Q16" s="620">
        <v>9</v>
      </c>
      <c r="R16" s="621" t="str">
        <f>B9</f>
        <v>Katri Aavekukk, Merike Aava</v>
      </c>
      <c r="S16" s="618"/>
      <c r="T16" s="619" t="s">
        <v>615</v>
      </c>
      <c r="U16" s="620"/>
      <c r="V16" s="621"/>
      <c r="W16" s="618"/>
      <c r="X16" s="619" t="s">
        <v>615</v>
      </c>
      <c r="Y16" s="620"/>
      <c r="Z16" s="621"/>
      <c r="AA16" s="634">
        <f t="shared" si="0"/>
        <v>4</v>
      </c>
      <c r="AB16" s="635">
        <v>20</v>
      </c>
      <c r="AC16" s="638">
        <f t="shared" si="1"/>
        <v>39</v>
      </c>
      <c r="AD16" s="639" t="s">
        <v>615</v>
      </c>
      <c r="AE16" s="640">
        <f t="shared" si="2"/>
        <v>31</v>
      </c>
      <c r="AF16" s="805">
        <f t="shared" si="3"/>
        <v>8</v>
      </c>
      <c r="AH16" s="672">
        <f t="shared" ca="1" si="9"/>
        <v>1171</v>
      </c>
      <c r="AI16" s="674" t="str">
        <f t="shared" si="5"/>
        <v>Marek Kolk</v>
      </c>
      <c r="AJ16" s="675">
        <f ca="1">IFERROR(INDEX(Üldreiting!$M:$M,MATCH(AI16,Üldreiting!$H:$H,0)),"")</f>
        <v>1081</v>
      </c>
      <c r="AK16" s="674" t="str">
        <f t="shared" si="6"/>
        <v>Tiit Kattai</v>
      </c>
      <c r="AL16" s="675">
        <f ca="1">IFERROR(INDEX(Üldreiting!$M:$M,MATCH(AK16,Üldreiting!$H:$H,0)),"")</f>
        <v>90</v>
      </c>
      <c r="AM16" s="676" t="str">
        <f t="shared" si="7"/>
        <v/>
      </c>
      <c r="AN16" s="675" t="str">
        <f>IFERROR(INDEX(Üldreiting!$M:$M,MATCH(AM16,Üldreiting!$H:$H,0)),"")</f>
        <v/>
      </c>
      <c r="AO16" s="676" t="str">
        <f t="shared" si="8"/>
        <v/>
      </c>
      <c r="AP16" s="675" t="str">
        <f>IFERROR(INDEX(Üldreiting!$M:$M,MATCH(AO16,Üldreiting!$H:$H,0)),"")</f>
        <v/>
      </c>
    </row>
    <row r="17" spans="1:42" x14ac:dyDescent="0.2">
      <c r="A17" s="616">
        <v>11</v>
      </c>
      <c r="B17" s="234" t="s">
        <v>616</v>
      </c>
      <c r="C17" s="618">
        <v>7</v>
      </c>
      <c r="D17" s="619" t="s">
        <v>615</v>
      </c>
      <c r="E17" s="620">
        <v>4</v>
      </c>
      <c r="F17" s="621" t="str">
        <f>B27</f>
        <v>Alari Keedus, Ülo Piik</v>
      </c>
      <c r="G17" s="618">
        <v>13</v>
      </c>
      <c r="H17" s="619" t="s">
        <v>615</v>
      </c>
      <c r="I17" s="620">
        <v>12</v>
      </c>
      <c r="J17" s="621" t="str">
        <f>B22</f>
        <v>Kevin Kangur, Maris Rõõm</v>
      </c>
      <c r="K17" s="618">
        <v>10</v>
      </c>
      <c r="L17" s="619" t="s">
        <v>615</v>
      </c>
      <c r="M17" s="620">
        <v>11</v>
      </c>
      <c r="N17" s="621" t="str">
        <f>B8</f>
        <v>Aimar Poom, Urmo Auväärt</v>
      </c>
      <c r="O17" s="618">
        <v>10</v>
      </c>
      <c r="P17" s="619" t="s">
        <v>615</v>
      </c>
      <c r="Q17" s="620">
        <v>11</v>
      </c>
      <c r="R17" s="621" t="str">
        <f>B11</f>
        <v>Danel Pilv, Endla Antsve, Silver Kingissepp</v>
      </c>
      <c r="S17" s="618"/>
      <c r="T17" s="619" t="s">
        <v>615</v>
      </c>
      <c r="U17" s="620"/>
      <c r="V17" s="621"/>
      <c r="W17" s="618"/>
      <c r="X17" s="619" t="s">
        <v>615</v>
      </c>
      <c r="Y17" s="620"/>
      <c r="Z17" s="621"/>
      <c r="AA17" s="634">
        <f t="shared" si="0"/>
        <v>4</v>
      </c>
      <c r="AB17" s="635">
        <v>20</v>
      </c>
      <c r="AC17" s="638">
        <f t="shared" si="1"/>
        <v>40</v>
      </c>
      <c r="AD17" s="639" t="s">
        <v>615</v>
      </c>
      <c r="AE17" s="640">
        <f t="shared" si="2"/>
        <v>38</v>
      </c>
      <c r="AF17" s="805">
        <f t="shared" si="3"/>
        <v>2</v>
      </c>
      <c r="AH17" s="672">
        <f t="shared" ca="1" si="9"/>
        <v>1128</v>
      </c>
      <c r="AI17" s="674" t="str">
        <f t="shared" si="5"/>
        <v>Toomas Reede</v>
      </c>
      <c r="AJ17" s="675">
        <f ca="1">IFERROR(INDEX(Üldreiting!$M:$M,MATCH(AI17,Üldreiting!$H:$H,0)),"")</f>
        <v>287</v>
      </c>
      <c r="AK17" s="674" t="str">
        <f t="shared" si="6"/>
        <v>Varje Reede</v>
      </c>
      <c r="AL17" s="675">
        <f ca="1">IFERROR(INDEX(Üldreiting!$M:$M,MATCH(AK17,Üldreiting!$H:$H,0)),"")</f>
        <v>841</v>
      </c>
      <c r="AM17" s="676" t="str">
        <f t="shared" si="7"/>
        <v/>
      </c>
      <c r="AN17" s="675" t="str">
        <f>IFERROR(INDEX(Üldreiting!$M:$M,MATCH(AM17,Üldreiting!$H:$H,0)),"")</f>
        <v/>
      </c>
      <c r="AO17" s="676" t="str">
        <f t="shared" si="8"/>
        <v/>
      </c>
      <c r="AP17" s="675" t="str">
        <f>IFERROR(INDEX(Üldreiting!$M:$M,MATCH(AO17,Üldreiting!$H:$H,0)),"")</f>
        <v/>
      </c>
    </row>
    <row r="18" spans="1:42" x14ac:dyDescent="0.2">
      <c r="A18" s="616">
        <v>12</v>
      </c>
      <c r="B18" s="52" t="s">
        <v>815</v>
      </c>
      <c r="C18" s="618">
        <v>13</v>
      </c>
      <c r="D18" s="619" t="s">
        <v>615</v>
      </c>
      <c r="E18" s="620">
        <v>6</v>
      </c>
      <c r="F18" s="621" t="str">
        <f>B28</f>
        <v>Kevin Sten Liik, Mare Kingissepp, Marge Mägi</v>
      </c>
      <c r="G18" s="618">
        <v>2</v>
      </c>
      <c r="H18" s="619" t="s">
        <v>615</v>
      </c>
      <c r="I18" s="620">
        <v>13</v>
      </c>
      <c r="J18" s="621" t="str">
        <f>B11</f>
        <v>Danel Pilv, Endla Antsve, Silver Kingissepp</v>
      </c>
      <c r="K18" s="618">
        <v>13</v>
      </c>
      <c r="L18" s="619" t="s">
        <v>615</v>
      </c>
      <c r="M18" s="620">
        <v>8</v>
      </c>
      <c r="N18" s="621" t="str">
        <f>B24</f>
        <v>Anti Alasi, Jelena Brakina</v>
      </c>
      <c r="O18" s="618">
        <v>4</v>
      </c>
      <c r="P18" s="619" t="s">
        <v>615</v>
      </c>
      <c r="Q18" s="620">
        <v>13</v>
      </c>
      <c r="R18" s="621" t="str">
        <f>B12</f>
        <v>Hardo Sokk, Toomas Tauk</v>
      </c>
      <c r="S18" s="618"/>
      <c r="T18" s="619" t="s">
        <v>615</v>
      </c>
      <c r="U18" s="620"/>
      <c r="V18" s="621"/>
      <c r="W18" s="618"/>
      <c r="X18" s="619" t="s">
        <v>615</v>
      </c>
      <c r="Y18" s="620"/>
      <c r="Z18" s="621"/>
      <c r="AA18" s="634">
        <f t="shared" si="0"/>
        <v>4</v>
      </c>
      <c r="AB18" s="635">
        <v>16</v>
      </c>
      <c r="AC18" s="800">
        <f t="shared" si="1"/>
        <v>32</v>
      </c>
      <c r="AD18" s="801" t="s">
        <v>615</v>
      </c>
      <c r="AE18" s="802">
        <f t="shared" si="2"/>
        <v>40</v>
      </c>
      <c r="AF18" s="806">
        <f t="shared" si="3"/>
        <v>-8</v>
      </c>
      <c r="AH18" s="672">
        <f t="shared" ca="1" si="9"/>
        <v>156</v>
      </c>
      <c r="AI18" s="674" t="str">
        <f t="shared" si="5"/>
        <v>Tõnu Sõrmus</v>
      </c>
      <c r="AJ18" s="675">
        <f ca="1">IFERROR(INDEX(Üldreiting!$M:$M,MATCH(AI18,Üldreiting!$H:$H,0)),"")</f>
        <v>78</v>
      </c>
      <c r="AK18" s="674" t="str">
        <f t="shared" si="6"/>
        <v>Viljar Kerb</v>
      </c>
      <c r="AL18" s="675">
        <f ca="1">IFERROR(INDEX(Üldreiting!$M:$M,MATCH(AK18,Üldreiting!$H:$H,0)),"")</f>
        <v>78</v>
      </c>
      <c r="AM18" s="676" t="str">
        <f t="shared" si="7"/>
        <v/>
      </c>
      <c r="AN18" s="675" t="str">
        <f>IFERROR(INDEX(Üldreiting!$M:$M,MATCH(AM18,Üldreiting!$H:$H,0)),"")</f>
        <v/>
      </c>
      <c r="AO18" s="676" t="str">
        <f t="shared" si="8"/>
        <v/>
      </c>
      <c r="AP18" s="675" t="str">
        <f>IFERROR(INDEX(Üldreiting!$M:$M,MATCH(AO18,Üldreiting!$H:$H,0)),"")</f>
        <v/>
      </c>
    </row>
    <row r="19" spans="1:42" x14ac:dyDescent="0.2">
      <c r="A19" s="616">
        <v>13</v>
      </c>
      <c r="B19" s="52" t="s">
        <v>617</v>
      </c>
      <c r="C19" s="618">
        <v>4</v>
      </c>
      <c r="D19" s="619" t="s">
        <v>615</v>
      </c>
      <c r="E19" s="620">
        <v>13</v>
      </c>
      <c r="F19" s="621" t="str">
        <f>B12</f>
        <v>Hardo Sokk, Toomas Tauk</v>
      </c>
      <c r="G19" s="618">
        <v>13</v>
      </c>
      <c r="H19" s="619" t="s">
        <v>615</v>
      </c>
      <c r="I19" s="620">
        <v>9</v>
      </c>
      <c r="J19" s="621" t="str">
        <f>B23</f>
        <v>Marek Lehis, Peeter Mäeots</v>
      </c>
      <c r="K19" s="618">
        <v>7</v>
      </c>
      <c r="L19" s="619" t="s">
        <v>615</v>
      </c>
      <c r="M19" s="620">
        <v>13</v>
      </c>
      <c r="N19" s="621" t="str">
        <f>B20</f>
        <v>Toomas Reede, Varje Reede</v>
      </c>
      <c r="O19" s="618">
        <v>13</v>
      </c>
      <c r="P19" s="619" t="s">
        <v>615</v>
      </c>
      <c r="Q19" s="620">
        <v>10</v>
      </c>
      <c r="R19" s="621" t="str">
        <f>B26</f>
        <v>Külli Kariste, Marju Velga</v>
      </c>
      <c r="S19" s="618"/>
      <c r="T19" s="619" t="s">
        <v>615</v>
      </c>
      <c r="U19" s="620"/>
      <c r="V19" s="621"/>
      <c r="W19" s="618"/>
      <c r="X19" s="619" t="s">
        <v>615</v>
      </c>
      <c r="Y19" s="620"/>
      <c r="Z19" s="621"/>
      <c r="AA19" s="634">
        <f t="shared" si="0"/>
        <v>4</v>
      </c>
      <c r="AB19" s="635">
        <v>16</v>
      </c>
      <c r="AC19" s="800">
        <f t="shared" si="1"/>
        <v>37</v>
      </c>
      <c r="AD19" s="801" t="s">
        <v>615</v>
      </c>
      <c r="AE19" s="802">
        <f t="shared" si="2"/>
        <v>45</v>
      </c>
      <c r="AF19" s="806">
        <f t="shared" si="3"/>
        <v>-8</v>
      </c>
      <c r="AH19" s="672">
        <f t="shared" ca="1" si="9"/>
        <v>1080</v>
      </c>
      <c r="AI19" s="674" t="str">
        <f t="shared" si="5"/>
        <v>Jaan Joonas</v>
      </c>
      <c r="AJ19" s="675">
        <f ca="1">IFERROR(INDEX(Üldreiting!$M:$M,MATCH(AI19,Üldreiting!$H:$H,0)),"")</f>
        <v>612</v>
      </c>
      <c r="AK19" s="674" t="str">
        <f t="shared" si="6"/>
        <v>Toomas Hoole</v>
      </c>
      <c r="AL19" s="675">
        <f ca="1">IFERROR(INDEX(Üldreiting!$M:$M,MATCH(AK19,Üldreiting!$H:$H,0)),"")</f>
        <v>468</v>
      </c>
      <c r="AM19" s="676" t="str">
        <f t="shared" si="7"/>
        <v/>
      </c>
      <c r="AN19" s="675" t="str">
        <f>IFERROR(INDEX(Üldreiting!$M:$M,MATCH(AM19,Üldreiting!$H:$H,0)),"")</f>
        <v/>
      </c>
      <c r="AO19" s="676" t="str">
        <f t="shared" si="8"/>
        <v/>
      </c>
      <c r="AP19" s="675" t="str">
        <f>IFERROR(INDEX(Üldreiting!$M:$M,MATCH(AO19,Üldreiting!$H:$H,0)),"")</f>
        <v/>
      </c>
    </row>
    <row r="20" spans="1:42" x14ac:dyDescent="0.2">
      <c r="A20" s="616">
        <v>14</v>
      </c>
      <c r="B20" s="799" t="s">
        <v>550</v>
      </c>
      <c r="C20" s="618">
        <v>0</v>
      </c>
      <c r="D20" s="619" t="s">
        <v>615</v>
      </c>
      <c r="E20" s="620">
        <v>13</v>
      </c>
      <c r="F20" s="621" t="str">
        <f>B9</f>
        <v>Katri Aavekukk, Merike Aava</v>
      </c>
      <c r="G20" s="618">
        <v>13</v>
      </c>
      <c r="H20" s="619" t="s">
        <v>615</v>
      </c>
      <c r="I20" s="620">
        <v>7</v>
      </c>
      <c r="J20" s="621" t="str">
        <f>B29</f>
        <v>Jaan Sepp, Mait Metsla</v>
      </c>
      <c r="K20" s="618">
        <v>13</v>
      </c>
      <c r="L20" s="619" t="s">
        <v>615</v>
      </c>
      <c r="M20" s="620">
        <v>7</v>
      </c>
      <c r="N20" s="621" t="str">
        <f>B19</f>
        <v>Tõnu Sõrmus, Viljar Kerb</v>
      </c>
      <c r="O20" s="618">
        <v>3</v>
      </c>
      <c r="P20" s="619" t="s">
        <v>615</v>
      </c>
      <c r="Q20" s="620">
        <v>13</v>
      </c>
      <c r="R20" s="621" t="str">
        <f>B13</f>
        <v>Mati Rõõm, Mihkel Lillemets</v>
      </c>
      <c r="S20" s="618"/>
      <c r="T20" s="619" t="s">
        <v>615</v>
      </c>
      <c r="U20" s="620"/>
      <c r="V20" s="621"/>
      <c r="W20" s="618"/>
      <c r="X20" s="619" t="s">
        <v>615</v>
      </c>
      <c r="Y20" s="620"/>
      <c r="Z20" s="621"/>
      <c r="AA20" s="634">
        <f t="shared" si="0"/>
        <v>4</v>
      </c>
      <c r="AB20" s="635">
        <v>16</v>
      </c>
      <c r="AC20" s="800">
        <f t="shared" si="1"/>
        <v>29</v>
      </c>
      <c r="AD20" s="801" t="s">
        <v>615</v>
      </c>
      <c r="AE20" s="802">
        <f t="shared" si="2"/>
        <v>40</v>
      </c>
      <c r="AF20" s="806">
        <f t="shared" si="3"/>
        <v>-11</v>
      </c>
      <c r="AH20" s="672">
        <f t="shared" ca="1" si="9"/>
        <v>816</v>
      </c>
      <c r="AI20" s="674" t="str">
        <f t="shared" si="5"/>
        <v>Kevin Kangur</v>
      </c>
      <c r="AJ20" s="675">
        <f ca="1">IFERROR(INDEX(Üldreiting!$M:$M,MATCH(AI20,Üldreiting!$H:$H,0)),"")</f>
        <v>274</v>
      </c>
      <c r="AK20" s="674" t="str">
        <f t="shared" si="6"/>
        <v>Maris Rõõm</v>
      </c>
      <c r="AL20" s="675">
        <f ca="1">IFERROR(INDEX(Üldreiting!$M:$M,MATCH(AK20,Üldreiting!$H:$H,0)),"")</f>
        <v>542</v>
      </c>
      <c r="AM20" s="676" t="str">
        <f t="shared" si="7"/>
        <v/>
      </c>
      <c r="AN20" s="675" t="str">
        <f>IFERROR(INDEX(Üldreiting!$M:$M,MATCH(AM20,Üldreiting!$H:$H,0)),"")</f>
        <v/>
      </c>
      <c r="AO20" s="676" t="str">
        <f t="shared" si="8"/>
        <v/>
      </c>
      <c r="AP20" s="675" t="str">
        <f>IFERROR(INDEX(Üldreiting!$M:$M,MATCH(AO20,Üldreiting!$H:$H,0)),"")</f>
        <v/>
      </c>
    </row>
    <row r="21" spans="1:42" x14ac:dyDescent="0.2">
      <c r="A21" s="616">
        <v>15</v>
      </c>
      <c r="B21" s="799" t="s">
        <v>816</v>
      </c>
      <c r="C21" s="618">
        <v>5</v>
      </c>
      <c r="D21" s="619" t="s">
        <v>615</v>
      </c>
      <c r="E21" s="620">
        <v>13</v>
      </c>
      <c r="F21" s="621" t="str">
        <f>B7</f>
        <v>Margus Berkmann, Meelis Münt</v>
      </c>
      <c r="G21" s="618">
        <v>10</v>
      </c>
      <c r="H21" s="619" t="s">
        <v>615</v>
      </c>
      <c r="I21" s="620">
        <v>13</v>
      </c>
      <c r="J21" s="621" t="str">
        <f>B24</f>
        <v>Anti Alasi, Jelena Brakina</v>
      </c>
      <c r="K21" s="618">
        <v>13</v>
      </c>
      <c r="L21" s="619" t="s">
        <v>615</v>
      </c>
      <c r="M21" s="620">
        <v>12</v>
      </c>
      <c r="N21" s="621" t="str">
        <f>B25</f>
        <v>Janek Kiisk, Margo Peebo</v>
      </c>
      <c r="O21" s="618">
        <v>13</v>
      </c>
      <c r="P21" s="619" t="s">
        <v>615</v>
      </c>
      <c r="Q21" s="620">
        <v>9</v>
      </c>
      <c r="R21" s="621" t="str">
        <f>B28</f>
        <v>Kevin Sten Liik, Mare Kingissepp, Marge Mägi</v>
      </c>
      <c r="S21" s="618"/>
      <c r="T21" s="619" t="s">
        <v>615</v>
      </c>
      <c r="U21" s="620"/>
      <c r="V21" s="621"/>
      <c r="W21" s="618"/>
      <c r="X21" s="619" t="s">
        <v>615</v>
      </c>
      <c r="Y21" s="620"/>
      <c r="Z21" s="621"/>
      <c r="AA21" s="634">
        <f t="shared" si="0"/>
        <v>4</v>
      </c>
      <c r="AB21" s="635">
        <v>14</v>
      </c>
      <c r="AC21" s="629">
        <f t="shared" si="1"/>
        <v>41</v>
      </c>
      <c r="AD21" s="630" t="s">
        <v>615</v>
      </c>
      <c r="AE21" s="631">
        <f t="shared" si="2"/>
        <v>47</v>
      </c>
      <c r="AF21" s="803">
        <f t="shared" si="3"/>
        <v>-6</v>
      </c>
      <c r="AH21" s="672">
        <f t="shared" ca="1" si="9"/>
        <v>462</v>
      </c>
      <c r="AI21" s="674" t="str">
        <f t="shared" si="5"/>
        <v>Johannes Neiland</v>
      </c>
      <c r="AJ21" s="675">
        <f ca="1">IFERROR(INDEX(Üldreiting!$M:$M,MATCH(AI21,Üldreiting!$H:$H,0)),"")</f>
        <v>397</v>
      </c>
      <c r="AK21" s="674" t="str">
        <f t="shared" si="6"/>
        <v>Karla Purgats</v>
      </c>
      <c r="AL21" s="675">
        <f ca="1">IFERROR(INDEX(Üldreiting!$M:$M,MATCH(AK21,Üldreiting!$H:$H,0)),"")</f>
        <v>65</v>
      </c>
      <c r="AM21" s="676" t="str">
        <f t="shared" si="7"/>
        <v/>
      </c>
      <c r="AN21" s="675" t="str">
        <f>IFERROR(INDEX(Üldreiting!$M:$M,MATCH(AM21,Üldreiting!$H:$H,0)),"")</f>
        <v/>
      </c>
      <c r="AO21" s="676" t="str">
        <f t="shared" si="8"/>
        <v/>
      </c>
      <c r="AP21" s="675" t="str">
        <f>IFERROR(INDEX(Üldreiting!$M:$M,MATCH(AO21,Üldreiting!$H:$H,0)),"")</f>
        <v/>
      </c>
    </row>
    <row r="22" spans="1:42" x14ac:dyDescent="0.2">
      <c r="A22" s="616">
        <v>16</v>
      </c>
      <c r="B22" s="799" t="s">
        <v>549</v>
      </c>
      <c r="C22" s="618">
        <v>13</v>
      </c>
      <c r="D22" s="619" t="s">
        <v>615</v>
      </c>
      <c r="E22" s="620">
        <v>10</v>
      </c>
      <c r="F22" s="621" t="str">
        <f>B30</f>
        <v>Peep Peenema, Henri Mitt</v>
      </c>
      <c r="G22" s="618">
        <v>12</v>
      </c>
      <c r="H22" s="619" t="s">
        <v>615</v>
      </c>
      <c r="I22" s="620">
        <v>13</v>
      </c>
      <c r="J22" s="621" t="str">
        <f>B17</f>
        <v>Jaan Joonas, Toomas Hoole</v>
      </c>
      <c r="K22" s="618">
        <v>5</v>
      </c>
      <c r="L22" s="619" t="s">
        <v>615</v>
      </c>
      <c r="M22" s="620">
        <v>13</v>
      </c>
      <c r="N22" s="621" t="str">
        <f>B16</f>
        <v>Marek Kolk, Tiit Kattai</v>
      </c>
      <c r="O22" s="618">
        <v>13</v>
      </c>
      <c r="P22" s="619" t="s">
        <v>615</v>
      </c>
      <c r="Q22" s="620">
        <v>6</v>
      </c>
      <c r="R22" s="621" t="str">
        <f>B27</f>
        <v>Alari Keedus, Ülo Piik</v>
      </c>
      <c r="S22" s="618"/>
      <c r="T22" s="619" t="s">
        <v>615</v>
      </c>
      <c r="U22" s="620"/>
      <c r="V22" s="621"/>
      <c r="W22" s="618"/>
      <c r="X22" s="619" t="s">
        <v>615</v>
      </c>
      <c r="Y22" s="620"/>
      <c r="Z22" s="621"/>
      <c r="AA22" s="634">
        <f t="shared" si="0"/>
        <v>4</v>
      </c>
      <c r="AB22" s="635">
        <v>10</v>
      </c>
      <c r="AC22" s="629">
        <f t="shared" si="1"/>
        <v>43</v>
      </c>
      <c r="AD22" s="630" t="s">
        <v>615</v>
      </c>
      <c r="AE22" s="631">
        <f t="shared" si="2"/>
        <v>42</v>
      </c>
      <c r="AF22" s="803">
        <f t="shared" si="3"/>
        <v>1</v>
      </c>
      <c r="AH22" s="672">
        <f t="shared" ca="1" si="9"/>
        <v>509</v>
      </c>
      <c r="AI22" s="674" t="str">
        <f t="shared" si="5"/>
        <v>Marta Ruus</v>
      </c>
      <c r="AJ22" s="675">
        <f ca="1">IFERROR(INDEX(Üldreiting!$M:$M,MATCH(AI22,Üldreiting!$H:$H,0)),"")</f>
        <v>371</v>
      </c>
      <c r="AK22" s="674" t="str">
        <f t="shared" si="6"/>
        <v>Robert Schmidt</v>
      </c>
      <c r="AL22" s="675">
        <f ca="1">IFERROR(INDEX(Üldreiting!$M:$M,MATCH(AK22,Üldreiting!$H:$H,0)),"")</f>
        <v>138</v>
      </c>
      <c r="AM22" s="676" t="str">
        <f t="shared" si="7"/>
        <v/>
      </c>
      <c r="AN22" s="675" t="str">
        <f>IFERROR(INDEX(Üldreiting!$M:$M,MATCH(AM22,Üldreiting!$H:$H,0)),"")</f>
        <v/>
      </c>
      <c r="AO22" s="676" t="str">
        <f t="shared" si="8"/>
        <v/>
      </c>
      <c r="AP22" s="675" t="str">
        <f>IFERROR(INDEX(Üldreiting!$M:$M,MATCH(AO22,Üldreiting!$H:$H,0)),"")</f>
        <v/>
      </c>
    </row>
    <row r="23" spans="1:42" x14ac:dyDescent="0.2">
      <c r="A23" s="616">
        <v>17</v>
      </c>
      <c r="B23" s="799" t="s">
        <v>618</v>
      </c>
      <c r="C23" s="618">
        <v>4</v>
      </c>
      <c r="D23" s="619" t="s">
        <v>615</v>
      </c>
      <c r="E23" s="620">
        <v>13</v>
      </c>
      <c r="F23" s="621" t="str">
        <f>B16</f>
        <v>Marek Kolk, Tiit Kattai</v>
      </c>
      <c r="G23" s="618">
        <v>9</v>
      </c>
      <c r="H23" s="619" t="s">
        <v>615</v>
      </c>
      <c r="I23" s="620">
        <v>13</v>
      </c>
      <c r="J23" s="621" t="str">
        <f>B19</f>
        <v>Tõnu Sõrmus, Viljar Kerb</v>
      </c>
      <c r="K23" s="618">
        <v>13</v>
      </c>
      <c r="L23" s="619" t="s">
        <v>615</v>
      </c>
      <c r="M23" s="620">
        <v>5</v>
      </c>
      <c r="N23" s="621" t="str">
        <f>B30</f>
        <v>Peep Peenema, Henri Mitt</v>
      </c>
      <c r="O23" s="618">
        <v>13</v>
      </c>
      <c r="P23" s="619" t="s">
        <v>615</v>
      </c>
      <c r="Q23" s="620">
        <v>6</v>
      </c>
      <c r="R23" s="621" t="str">
        <f>B29</f>
        <v>Jaan Sepp, Mait Metsla</v>
      </c>
      <c r="S23" s="618"/>
      <c r="T23" s="619" t="s">
        <v>615</v>
      </c>
      <c r="U23" s="620"/>
      <c r="V23" s="621"/>
      <c r="W23" s="618"/>
      <c r="X23" s="619" t="s">
        <v>615</v>
      </c>
      <c r="Y23" s="620"/>
      <c r="Z23" s="621"/>
      <c r="AA23" s="634">
        <f t="shared" si="0"/>
        <v>4</v>
      </c>
      <c r="AB23" s="635">
        <v>8</v>
      </c>
      <c r="AC23" s="629">
        <f t="shared" si="1"/>
        <v>39</v>
      </c>
      <c r="AD23" s="630" t="s">
        <v>615</v>
      </c>
      <c r="AE23" s="631">
        <f t="shared" si="2"/>
        <v>37</v>
      </c>
      <c r="AF23" s="803">
        <f t="shared" si="3"/>
        <v>2</v>
      </c>
      <c r="AH23" s="672">
        <f t="shared" ca="1" si="9"/>
        <v>2186</v>
      </c>
      <c r="AI23" s="674" t="str">
        <f t="shared" si="5"/>
        <v>Kevin Sten Liik</v>
      </c>
      <c r="AJ23" s="675">
        <f ca="1">IFERROR(INDEX(Üldreiting!$M:$M,MATCH(AI23,Üldreiting!$H:$H,0)),"")</f>
        <v>715</v>
      </c>
      <c r="AK23" s="674" t="str">
        <f t="shared" si="6"/>
        <v>Mare Kingissepp, Marge Mägi</v>
      </c>
      <c r="AL23" s="675" t="str">
        <f>IFERROR(INDEX(Üldreiting!$M:$M,MATCH(AK23,Üldreiting!$H:$H,0)),"")</f>
        <v/>
      </c>
      <c r="AM23" s="676" t="str">
        <f t="shared" si="7"/>
        <v>Mare Kingissepp</v>
      </c>
      <c r="AN23" s="675">
        <f ca="1">IFERROR(INDEX(Üldreiting!$M:$M,MATCH(AM23,Üldreiting!$H:$H,0)),"")</f>
        <v>726</v>
      </c>
      <c r="AO23" s="676" t="str">
        <f t="shared" si="8"/>
        <v>Marge Mägi</v>
      </c>
      <c r="AP23" s="675">
        <f ca="1">IFERROR(INDEX(Üldreiting!$M:$M,MATCH(AO23,Üldreiting!$H:$H,0)),"")</f>
        <v>745</v>
      </c>
    </row>
    <row r="24" spans="1:42" x14ac:dyDescent="0.2">
      <c r="A24" s="616">
        <v>18</v>
      </c>
      <c r="B24" s="799" t="s">
        <v>817</v>
      </c>
      <c r="C24" s="618">
        <v>4</v>
      </c>
      <c r="D24" s="619" t="s">
        <v>615</v>
      </c>
      <c r="E24" s="620">
        <v>13</v>
      </c>
      <c r="F24" s="621" t="str">
        <f>B10</f>
        <v>Andero Kelu, Kaido Kopel</v>
      </c>
      <c r="G24" s="618">
        <v>13</v>
      </c>
      <c r="H24" s="619" t="s">
        <v>615</v>
      </c>
      <c r="I24" s="620">
        <v>10</v>
      </c>
      <c r="J24" s="621" t="str">
        <f>B21</f>
        <v>Johannes Neiland, Karla Purgats</v>
      </c>
      <c r="K24" s="618">
        <v>8</v>
      </c>
      <c r="L24" s="619" t="s">
        <v>615</v>
      </c>
      <c r="M24" s="620">
        <v>13</v>
      </c>
      <c r="N24" s="621" t="str">
        <f>B18</f>
        <v>Marta Ruus, Robert Schmidt</v>
      </c>
      <c r="O24" s="618">
        <v>5</v>
      </c>
      <c r="P24" s="619" t="s">
        <v>615</v>
      </c>
      <c r="Q24" s="620">
        <v>13</v>
      </c>
      <c r="R24" s="621" t="str">
        <f>B14</f>
        <v>Aigi Orro, Kalle Orro</v>
      </c>
      <c r="S24" s="618"/>
      <c r="T24" s="619" t="s">
        <v>615</v>
      </c>
      <c r="U24" s="620"/>
      <c r="V24" s="621"/>
      <c r="W24" s="618"/>
      <c r="X24" s="619" t="s">
        <v>615</v>
      </c>
      <c r="Y24" s="620"/>
      <c r="Z24" s="621"/>
      <c r="AA24" s="636">
        <f t="shared" si="0"/>
        <v>2</v>
      </c>
      <c r="AB24" s="637">
        <v>18</v>
      </c>
      <c r="AC24" s="629">
        <f t="shared" si="1"/>
        <v>30</v>
      </c>
      <c r="AD24" s="630" t="s">
        <v>615</v>
      </c>
      <c r="AE24" s="631">
        <f t="shared" si="2"/>
        <v>49</v>
      </c>
      <c r="AF24" s="803">
        <f t="shared" si="3"/>
        <v>-19</v>
      </c>
      <c r="AH24" s="672">
        <f t="shared" ca="1" si="9"/>
        <v>809</v>
      </c>
      <c r="AI24" s="674" t="str">
        <f t="shared" si="5"/>
        <v>Alari Keedus</v>
      </c>
      <c r="AJ24" s="675">
        <f ca="1">IFERROR(INDEX(Üldreiting!$M:$M,MATCH(AI24,Üldreiting!$H:$H,0)),"")</f>
        <v>320</v>
      </c>
      <c r="AK24" s="674" t="str">
        <f t="shared" si="6"/>
        <v>Ülo Piik</v>
      </c>
      <c r="AL24" s="675">
        <f ca="1">IFERROR(INDEX(Üldreiting!$M:$M,MATCH(AK24,Üldreiting!$H:$H,0)),"")</f>
        <v>489</v>
      </c>
      <c r="AM24" s="676" t="str">
        <f t="shared" si="7"/>
        <v/>
      </c>
      <c r="AN24" s="675" t="str">
        <f>IFERROR(INDEX(Üldreiting!$M:$M,MATCH(AM24,Üldreiting!$H:$H,0)),"")</f>
        <v/>
      </c>
      <c r="AO24" s="676" t="str">
        <f t="shared" si="8"/>
        <v/>
      </c>
      <c r="AP24" s="675" t="str">
        <f>IFERROR(INDEX(Üldreiting!$M:$M,MATCH(AO24,Üldreiting!$H:$H,0)),"")</f>
        <v/>
      </c>
    </row>
    <row r="25" spans="1:42" x14ac:dyDescent="0.2">
      <c r="A25" s="616">
        <v>19</v>
      </c>
      <c r="B25" s="799" t="s">
        <v>818</v>
      </c>
      <c r="C25" s="618">
        <v>6</v>
      </c>
      <c r="D25" s="619" t="s">
        <v>615</v>
      </c>
      <c r="E25" s="620">
        <v>13</v>
      </c>
      <c r="F25" s="621" t="str">
        <f>B11</f>
        <v>Danel Pilv, Endla Antsve, Silver Kingissepp</v>
      </c>
      <c r="G25" s="618">
        <v>10</v>
      </c>
      <c r="H25" s="619" t="s">
        <v>615</v>
      </c>
      <c r="I25" s="620">
        <v>13</v>
      </c>
      <c r="J25" s="621" t="str">
        <f>B13</f>
        <v>Mati Rõõm, Mihkel Lillemets</v>
      </c>
      <c r="K25" s="618">
        <v>12</v>
      </c>
      <c r="L25" s="619" t="s">
        <v>615</v>
      </c>
      <c r="M25" s="620">
        <v>13</v>
      </c>
      <c r="N25" s="621" t="str">
        <f>B21</f>
        <v>Johannes Neiland, Karla Purgats</v>
      </c>
      <c r="O25" s="618">
        <v>13</v>
      </c>
      <c r="P25" s="619" t="s">
        <v>615</v>
      </c>
      <c r="Q25" s="620">
        <v>8</v>
      </c>
      <c r="R25" s="621" t="str">
        <f>B30</f>
        <v>Peep Peenema, Henri Mitt</v>
      </c>
      <c r="S25" s="618"/>
      <c r="T25" s="619" t="s">
        <v>615</v>
      </c>
      <c r="U25" s="620"/>
      <c r="V25" s="621"/>
      <c r="W25" s="618"/>
      <c r="X25" s="619" t="s">
        <v>615</v>
      </c>
      <c r="Y25" s="620"/>
      <c r="Z25" s="621"/>
      <c r="AA25" s="636">
        <f t="shared" ref="AA25:AA30" si="10">2*(IF(C25&gt;E25,1)+IF(G25&gt;I25,1)+IF(K25&gt;M25,1)+IF(O25&gt;Q25,1)+IF(S25&gt;U25,1)+IF(W25&gt;Y25,1))</f>
        <v>2</v>
      </c>
      <c r="AB25" s="637">
        <v>16</v>
      </c>
      <c r="AC25" s="638">
        <f t="shared" ref="AC25:AC30" si="11">C25+G25+K25+O25+S25+W25</f>
        <v>41</v>
      </c>
      <c r="AD25" s="639" t="s">
        <v>615</v>
      </c>
      <c r="AE25" s="640">
        <f t="shared" ref="AE25:AE30" si="12">E25+I25+M25+Q25+U25+Y25</f>
        <v>47</v>
      </c>
      <c r="AF25" s="805">
        <f t="shared" ref="AF25:AF30" si="13">AC25-AE25</f>
        <v>-6</v>
      </c>
      <c r="AH25" s="672">
        <f t="shared" ca="1" si="9"/>
        <v>888</v>
      </c>
      <c r="AI25" s="674" t="str">
        <f t="shared" si="5"/>
        <v>Jaan Sepp</v>
      </c>
      <c r="AJ25" s="675">
        <f ca="1">IFERROR(INDEX(Üldreiting!$M:$M,MATCH(AI25,Üldreiting!$H:$H,0)),"")</f>
        <v>386</v>
      </c>
      <c r="AK25" s="674" t="str">
        <f t="shared" si="6"/>
        <v>Mait Metsla</v>
      </c>
      <c r="AL25" s="675">
        <f ca="1">IFERROR(INDEX(Üldreiting!$M:$M,MATCH(AK25,Üldreiting!$H:$H,0)),"")</f>
        <v>502</v>
      </c>
      <c r="AM25" s="676" t="str">
        <f t="shared" si="7"/>
        <v/>
      </c>
      <c r="AN25" s="675" t="str">
        <f>IFERROR(INDEX(Üldreiting!$M:$M,MATCH(AM25,Üldreiting!$H:$H,0)),"")</f>
        <v/>
      </c>
      <c r="AO25" s="676" t="str">
        <f t="shared" si="8"/>
        <v/>
      </c>
      <c r="AP25" s="675" t="str">
        <f>IFERROR(INDEX(Üldreiting!$M:$M,MATCH(AO25,Üldreiting!$H:$H,0)),"")</f>
        <v/>
      </c>
    </row>
    <row r="26" spans="1:42" x14ac:dyDescent="0.2">
      <c r="A26" s="616">
        <v>20</v>
      </c>
      <c r="B26" s="799" t="s">
        <v>819</v>
      </c>
      <c r="C26" s="618">
        <v>5</v>
      </c>
      <c r="D26" s="619" t="s">
        <v>615</v>
      </c>
      <c r="E26" s="620">
        <v>13</v>
      </c>
      <c r="F26" s="621" t="str">
        <f>B15</f>
        <v>Arvi Palla, Ruudi Väärtnõu</v>
      </c>
      <c r="G26" s="618">
        <v>12</v>
      </c>
      <c r="H26" s="619" t="s">
        <v>615</v>
      </c>
      <c r="I26" s="620">
        <v>10</v>
      </c>
      <c r="J26" s="621" t="str">
        <f>B28</f>
        <v>Kevin Sten Liik, Mare Kingissepp, Marge Mägi</v>
      </c>
      <c r="K26" s="618">
        <v>6</v>
      </c>
      <c r="L26" s="619" t="s">
        <v>615</v>
      </c>
      <c r="M26" s="620">
        <v>13</v>
      </c>
      <c r="N26" s="621" t="str">
        <f>B13</f>
        <v>Mati Rõõm, Mihkel Lillemets</v>
      </c>
      <c r="O26" s="618">
        <v>10</v>
      </c>
      <c r="P26" s="619" t="s">
        <v>615</v>
      </c>
      <c r="Q26" s="620">
        <v>13</v>
      </c>
      <c r="R26" s="621" t="str">
        <f>B19</f>
        <v>Tõnu Sõrmus, Viljar Kerb</v>
      </c>
      <c r="S26" s="618"/>
      <c r="T26" s="619" t="s">
        <v>615</v>
      </c>
      <c r="U26" s="620"/>
      <c r="V26" s="621"/>
      <c r="W26" s="618"/>
      <c r="X26" s="619" t="s">
        <v>615</v>
      </c>
      <c r="Y26" s="620"/>
      <c r="Z26" s="621"/>
      <c r="AA26" s="636">
        <f t="shared" si="10"/>
        <v>2</v>
      </c>
      <c r="AB26" s="637">
        <v>16</v>
      </c>
      <c r="AC26" s="638">
        <f t="shared" si="11"/>
        <v>33</v>
      </c>
      <c r="AD26" s="639" t="s">
        <v>615</v>
      </c>
      <c r="AE26" s="640">
        <f t="shared" si="12"/>
        <v>49</v>
      </c>
      <c r="AF26" s="805">
        <f t="shared" si="13"/>
        <v>-16</v>
      </c>
      <c r="AH26" s="672">
        <f t="shared" ca="1" si="9"/>
        <v>374.5</v>
      </c>
      <c r="AI26" s="674" t="str">
        <f t="shared" si="5"/>
        <v>Marek Lehis</v>
      </c>
      <c r="AJ26" s="675">
        <f ca="1">IFERROR(INDEX(Üldreiting!$M:$M,MATCH(AI26,Üldreiting!$H:$H,0)),"")</f>
        <v>332.5</v>
      </c>
      <c r="AK26" s="674" t="str">
        <f t="shared" si="6"/>
        <v>Peeter Mäeots</v>
      </c>
      <c r="AL26" s="675">
        <f ca="1">IFERROR(INDEX(Üldreiting!$M:$M,MATCH(AK26,Üldreiting!$H:$H,0)),"")</f>
        <v>42</v>
      </c>
      <c r="AM26" s="676" t="str">
        <f t="shared" si="7"/>
        <v/>
      </c>
      <c r="AN26" s="675" t="str">
        <f>IFERROR(INDEX(Üldreiting!$M:$M,MATCH(AM26,Üldreiting!$H:$H,0)),"")</f>
        <v/>
      </c>
      <c r="AO26" s="676" t="str">
        <f t="shared" si="8"/>
        <v/>
      </c>
      <c r="AP26" s="675" t="str">
        <f>IFERROR(INDEX(Üldreiting!$M:$M,MATCH(AO26,Üldreiting!$H:$H,0)),"")</f>
        <v/>
      </c>
    </row>
    <row r="27" spans="1:42" x14ac:dyDescent="0.2">
      <c r="A27" s="616">
        <v>21</v>
      </c>
      <c r="B27" s="799" t="s">
        <v>820</v>
      </c>
      <c r="C27" s="618">
        <v>4</v>
      </c>
      <c r="D27" s="619" t="s">
        <v>615</v>
      </c>
      <c r="E27" s="620">
        <v>7</v>
      </c>
      <c r="F27" s="621" t="str">
        <f>B17</f>
        <v>Jaan Joonas, Toomas Hoole</v>
      </c>
      <c r="G27" s="618">
        <v>13</v>
      </c>
      <c r="H27" s="619" t="s">
        <v>615</v>
      </c>
      <c r="I27" s="620">
        <v>7</v>
      </c>
      <c r="J27" s="621" t="str">
        <f>B30</f>
        <v>Peep Peenema, Henri Mitt</v>
      </c>
      <c r="K27" s="618">
        <v>2</v>
      </c>
      <c r="L27" s="619" t="s">
        <v>615</v>
      </c>
      <c r="M27" s="620">
        <v>13</v>
      </c>
      <c r="N27" s="621" t="str">
        <f>B12</f>
        <v>Hardo Sokk, Toomas Tauk</v>
      </c>
      <c r="O27" s="618">
        <v>6</v>
      </c>
      <c r="P27" s="619" t="s">
        <v>615</v>
      </c>
      <c r="Q27" s="620">
        <v>13</v>
      </c>
      <c r="R27" s="621" t="str">
        <f>B22</f>
        <v>Kevin Kangur, Maris Rõõm</v>
      </c>
      <c r="S27" s="618"/>
      <c r="T27" s="619" t="s">
        <v>615</v>
      </c>
      <c r="U27" s="620"/>
      <c r="V27" s="621"/>
      <c r="W27" s="618"/>
      <c r="X27" s="619" t="s">
        <v>615</v>
      </c>
      <c r="Y27" s="620"/>
      <c r="Z27" s="621"/>
      <c r="AA27" s="636">
        <f t="shared" si="10"/>
        <v>2</v>
      </c>
      <c r="AB27" s="637">
        <v>14</v>
      </c>
      <c r="AC27" s="629">
        <f t="shared" si="11"/>
        <v>25</v>
      </c>
      <c r="AD27" s="630" t="s">
        <v>615</v>
      </c>
      <c r="AE27" s="631">
        <f t="shared" si="12"/>
        <v>40</v>
      </c>
      <c r="AF27" s="803">
        <f t="shared" si="13"/>
        <v>-15</v>
      </c>
      <c r="AH27" s="672">
        <f t="shared" ca="1" si="9"/>
        <v>1521.5</v>
      </c>
      <c r="AI27" s="674" t="str">
        <f t="shared" si="5"/>
        <v>Janek Kiisk</v>
      </c>
      <c r="AJ27" s="675">
        <f ca="1">IFERROR(INDEX(Üldreiting!$M:$M,MATCH(AI27,Üldreiting!$H:$H,0)),"")</f>
        <v>863.5</v>
      </c>
      <c r="AK27" s="674" t="str">
        <f t="shared" si="6"/>
        <v>Margo Peebo</v>
      </c>
      <c r="AL27" s="675">
        <f ca="1">IFERROR(INDEX(Üldreiting!$M:$M,MATCH(AK27,Üldreiting!$H:$H,0)),"")</f>
        <v>658</v>
      </c>
      <c r="AM27" s="676" t="str">
        <f t="shared" si="7"/>
        <v/>
      </c>
      <c r="AN27" s="675" t="str">
        <f>IFERROR(INDEX(Üldreiting!$M:$M,MATCH(AM27,Üldreiting!$H:$H,0)),"")</f>
        <v/>
      </c>
      <c r="AO27" s="676" t="str">
        <f t="shared" si="8"/>
        <v/>
      </c>
      <c r="AP27" s="675" t="str">
        <f>IFERROR(INDEX(Üldreiting!$M:$M,MATCH(AO27,Üldreiting!$H:$H,0)),"")</f>
        <v/>
      </c>
    </row>
    <row r="28" spans="1:42" x14ac:dyDescent="0.2">
      <c r="A28" s="616">
        <v>22</v>
      </c>
      <c r="B28" s="799" t="s">
        <v>657</v>
      </c>
      <c r="C28" s="618">
        <v>6</v>
      </c>
      <c r="D28" s="619" t="s">
        <v>615</v>
      </c>
      <c r="E28" s="620">
        <v>13</v>
      </c>
      <c r="F28" s="621" t="str">
        <f>B18</f>
        <v>Marta Ruus, Robert Schmidt</v>
      </c>
      <c r="G28" s="618">
        <v>10</v>
      </c>
      <c r="H28" s="619" t="s">
        <v>615</v>
      </c>
      <c r="I28" s="620">
        <v>12</v>
      </c>
      <c r="J28" s="621" t="str">
        <f>B26</f>
        <v>Külli Kariste, Marju Velga</v>
      </c>
      <c r="K28" s="618">
        <v>11</v>
      </c>
      <c r="L28" s="619" t="s">
        <v>615</v>
      </c>
      <c r="M28" s="620">
        <v>5</v>
      </c>
      <c r="N28" s="621" t="str">
        <f>B29</f>
        <v>Jaan Sepp, Mait Metsla</v>
      </c>
      <c r="O28" s="618">
        <v>9</v>
      </c>
      <c r="P28" s="619" t="s">
        <v>615</v>
      </c>
      <c r="Q28" s="620">
        <v>13</v>
      </c>
      <c r="R28" s="621" t="str">
        <f>B21</f>
        <v>Johannes Neiland, Karla Purgats</v>
      </c>
      <c r="S28" s="618"/>
      <c r="T28" s="619" t="s">
        <v>615</v>
      </c>
      <c r="U28" s="620"/>
      <c r="V28" s="621"/>
      <c r="W28" s="618"/>
      <c r="X28" s="619" t="s">
        <v>615</v>
      </c>
      <c r="Y28" s="620"/>
      <c r="Z28" s="621"/>
      <c r="AA28" s="636">
        <f t="shared" si="10"/>
        <v>2</v>
      </c>
      <c r="AB28" s="637">
        <v>10</v>
      </c>
      <c r="AC28" s="629">
        <f t="shared" si="11"/>
        <v>36</v>
      </c>
      <c r="AD28" s="630" t="s">
        <v>615</v>
      </c>
      <c r="AE28" s="631">
        <f t="shared" si="12"/>
        <v>43</v>
      </c>
      <c r="AF28" s="803">
        <f t="shared" si="13"/>
        <v>-7</v>
      </c>
      <c r="AH28" s="672">
        <f t="shared" ca="1" si="9"/>
        <v>1046</v>
      </c>
      <c r="AI28" s="674" t="str">
        <f t="shared" si="5"/>
        <v>Külli Kariste</v>
      </c>
      <c r="AJ28" s="675">
        <f ca="1">IFERROR(INDEX(Üldreiting!$M:$M,MATCH(AI28,Üldreiting!$H:$H,0)),"")</f>
        <v>593</v>
      </c>
      <c r="AK28" s="674" t="str">
        <f t="shared" si="6"/>
        <v>Marju Velga</v>
      </c>
      <c r="AL28" s="675">
        <f ca="1">IFERROR(INDEX(Üldreiting!$M:$M,MATCH(AK28,Üldreiting!$H:$H,0)),"")</f>
        <v>453</v>
      </c>
      <c r="AM28" s="676" t="str">
        <f t="shared" si="7"/>
        <v/>
      </c>
      <c r="AN28" s="675" t="str">
        <f>IFERROR(INDEX(Üldreiting!$M:$M,MATCH(AM28,Üldreiting!$H:$H,0)),"")</f>
        <v/>
      </c>
      <c r="AO28" s="676" t="str">
        <f t="shared" si="8"/>
        <v/>
      </c>
      <c r="AP28" s="675" t="str">
        <f>IFERROR(INDEX(Üldreiting!$M:$M,MATCH(AO28,Üldreiting!$H:$H,0)),"")</f>
        <v/>
      </c>
    </row>
    <row r="29" spans="1:42" x14ac:dyDescent="0.2">
      <c r="A29" s="616">
        <v>23</v>
      </c>
      <c r="B29" s="799" t="s">
        <v>821</v>
      </c>
      <c r="C29" s="618">
        <v>1</v>
      </c>
      <c r="D29" s="619" t="s">
        <v>615</v>
      </c>
      <c r="E29" s="620">
        <v>13</v>
      </c>
      <c r="F29" s="621" t="str">
        <f>B8</f>
        <v>Aimar Poom, Urmo Auväärt</v>
      </c>
      <c r="G29" s="618">
        <v>7</v>
      </c>
      <c r="H29" s="619" t="s">
        <v>615</v>
      </c>
      <c r="I29" s="620">
        <v>13</v>
      </c>
      <c r="J29" s="621" t="str">
        <f>B20</f>
        <v>Toomas Reede, Varje Reede</v>
      </c>
      <c r="K29" s="618">
        <v>5</v>
      </c>
      <c r="L29" s="619" t="s">
        <v>615</v>
      </c>
      <c r="M29" s="620">
        <v>11</v>
      </c>
      <c r="N29" s="621" t="str">
        <f>B28</f>
        <v>Kevin Sten Liik, Mare Kingissepp, Marge Mägi</v>
      </c>
      <c r="O29" s="618">
        <v>6</v>
      </c>
      <c r="P29" s="619" t="s">
        <v>615</v>
      </c>
      <c r="Q29" s="620">
        <v>13</v>
      </c>
      <c r="R29" s="621" t="str">
        <f>B23</f>
        <v>Marek Lehis, Peeter Mäeots</v>
      </c>
      <c r="S29" s="618"/>
      <c r="T29" s="619" t="s">
        <v>615</v>
      </c>
      <c r="U29" s="620"/>
      <c r="V29" s="621"/>
      <c r="W29" s="618"/>
      <c r="X29" s="619" t="s">
        <v>615</v>
      </c>
      <c r="Y29" s="620"/>
      <c r="Z29" s="621"/>
      <c r="AA29" s="634">
        <f t="shared" si="10"/>
        <v>0</v>
      </c>
      <c r="AB29" s="635">
        <v>18</v>
      </c>
      <c r="AC29" s="629">
        <f t="shared" si="11"/>
        <v>19</v>
      </c>
      <c r="AD29" s="630" t="s">
        <v>615</v>
      </c>
      <c r="AE29" s="631">
        <f t="shared" si="12"/>
        <v>50</v>
      </c>
      <c r="AF29" s="803">
        <f t="shared" si="13"/>
        <v>-31</v>
      </c>
      <c r="AH29" s="672">
        <f t="shared" ca="1" si="9"/>
        <v>337</v>
      </c>
      <c r="AI29" s="674" t="str">
        <f t="shared" si="5"/>
        <v>Peep Peenema</v>
      </c>
      <c r="AJ29" s="675">
        <f ca="1">IFERROR(INDEX(Üldreiting!$M:$M,MATCH(AI29,Üldreiting!$H:$H,0)),"")</f>
        <v>110</v>
      </c>
      <c r="AK29" s="674" t="str">
        <f t="shared" si="6"/>
        <v>Henri Mitt</v>
      </c>
      <c r="AL29" s="675">
        <f ca="1">IFERROR(INDEX(Üldreiting!$M:$M,MATCH(AK29,Üldreiting!$H:$H,0)),"")</f>
        <v>227</v>
      </c>
      <c r="AM29" s="676" t="str">
        <f t="shared" si="7"/>
        <v/>
      </c>
      <c r="AN29" s="675" t="str">
        <f>IFERROR(INDEX(Üldreiting!$M:$M,MATCH(AM29,Üldreiting!$H:$H,0)),"")</f>
        <v/>
      </c>
      <c r="AO29" s="676" t="str">
        <f t="shared" si="8"/>
        <v/>
      </c>
      <c r="AP29" s="675" t="str">
        <f>IFERROR(INDEX(Üldreiting!$M:$M,MATCH(AO29,Üldreiting!$H:$H,0)),"")</f>
        <v/>
      </c>
    </row>
    <row r="30" spans="1:42" x14ac:dyDescent="0.2">
      <c r="A30" s="616">
        <v>24</v>
      </c>
      <c r="B30" s="799" t="s">
        <v>1070</v>
      </c>
      <c r="C30" s="618">
        <v>10</v>
      </c>
      <c r="D30" s="619" t="s">
        <v>615</v>
      </c>
      <c r="E30" s="620">
        <v>13</v>
      </c>
      <c r="F30" s="621" t="str">
        <f>B22</f>
        <v>Kevin Kangur, Maris Rõõm</v>
      </c>
      <c r="G30" s="618">
        <v>7</v>
      </c>
      <c r="H30" s="619" t="s">
        <v>615</v>
      </c>
      <c r="I30" s="620">
        <v>13</v>
      </c>
      <c r="J30" s="621" t="str">
        <f>B27</f>
        <v>Alari Keedus, Ülo Piik</v>
      </c>
      <c r="K30" s="618">
        <v>5</v>
      </c>
      <c r="L30" s="619" t="s">
        <v>615</v>
      </c>
      <c r="M30" s="620">
        <v>13</v>
      </c>
      <c r="N30" s="621" t="str">
        <f>B23</f>
        <v>Marek Lehis, Peeter Mäeots</v>
      </c>
      <c r="O30" s="618">
        <v>8</v>
      </c>
      <c r="P30" s="619" t="s">
        <v>615</v>
      </c>
      <c r="Q30" s="620">
        <v>13</v>
      </c>
      <c r="R30" s="621" t="str">
        <f>B25</f>
        <v>Janek Kiisk, Margo Peebo</v>
      </c>
      <c r="S30" s="618"/>
      <c r="T30" s="619" t="s">
        <v>615</v>
      </c>
      <c r="U30" s="620"/>
      <c r="V30" s="621"/>
      <c r="W30" s="618"/>
      <c r="X30" s="619" t="s">
        <v>615</v>
      </c>
      <c r="Y30" s="620"/>
      <c r="Z30" s="621"/>
      <c r="AA30" s="634">
        <f t="shared" si="10"/>
        <v>0</v>
      </c>
      <c r="AB30" s="635">
        <v>12</v>
      </c>
      <c r="AC30" s="629">
        <f t="shared" si="11"/>
        <v>30</v>
      </c>
      <c r="AD30" s="630" t="s">
        <v>615</v>
      </c>
      <c r="AE30" s="631">
        <f t="shared" si="12"/>
        <v>52</v>
      </c>
      <c r="AF30" s="803">
        <f t="shared" si="13"/>
        <v>-22</v>
      </c>
      <c r="AH30" s="672">
        <f t="shared" ca="1" si="9"/>
        <v>454</v>
      </c>
      <c r="AI30" s="674" t="str">
        <f t="shared" si="5"/>
        <v>Anti Alasi</v>
      </c>
      <c r="AJ30" s="675">
        <f ca="1">IFERROR(INDEX(Üldreiting!$M:$M,MATCH(AI30,Üldreiting!$H:$H,0)),"")</f>
        <v>178</v>
      </c>
      <c r="AK30" s="674" t="str">
        <f t="shared" si="6"/>
        <v>Jelena Brakina</v>
      </c>
      <c r="AL30" s="675">
        <f ca="1">IFERROR(INDEX(Üldreiting!$M:$M,MATCH(AK30,Üldreiting!$H:$H,0)),"")</f>
        <v>276</v>
      </c>
      <c r="AM30" s="676" t="str">
        <f t="shared" si="7"/>
        <v/>
      </c>
      <c r="AN30" s="675" t="str">
        <f>IFERROR(INDEX(Üldreiting!$M:$M,MATCH(AM30,Üldreiting!$H:$H,0)),"")</f>
        <v/>
      </c>
      <c r="AO30" s="676" t="str">
        <f t="shared" si="8"/>
        <v/>
      </c>
      <c r="AP30" s="675" t="str">
        <f>IFERROR(INDEX(Üldreiting!$M:$M,MATCH(AO30,Üldreiting!$H:$H,0)),"")</f>
        <v/>
      </c>
    </row>
    <row r="31" spans="1:42"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row>
    <row r="32" spans="1:42"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row>
    <row r="33" spans="1:27"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1:27"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row>
    <row r="35" spans="1:27"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row>
    <row r="36" spans="1:27"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row>
    <row r="38" spans="1:27"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row>
    <row r="39" spans="1:27"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row>
    <row r="40" spans="1:27"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row>
    <row r="41" spans="1:27"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row>
    <row r="42" spans="1:27"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row>
    <row r="43" spans="1:27"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row>
    <row r="44" spans="1:27"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row>
    <row r="45" spans="1:27"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row>
    <row r="46" spans="1:27"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row>
    <row r="47" spans="1:27"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row>
    <row r="48" spans="1:27"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row>
    <row r="49" spans="1:27"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row>
    <row r="50" spans="1:27"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row>
    <row r="51" spans="1:27"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row>
    <row r="52" spans="1:27"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row>
    <row r="53" spans="1:27"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row>
    <row r="54" spans="1:27"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row>
    <row r="55" spans="1:27"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row>
    <row r="56" spans="1:27"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row>
    <row r="57" spans="1:27"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row>
    <row r="58" spans="1:27"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row>
    <row r="59" spans="1:27"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row>
    <row r="60" spans="1:27"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row>
    <row r="61" spans="1:27"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row>
    <row r="62" spans="1:27"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row>
    <row r="63" spans="1:27"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row>
    <row r="64" spans="1:27"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row>
    <row r="65" spans="1:27"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row>
    <row r="66" spans="1:27"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row>
    <row r="67" spans="1:27"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row>
    <row r="68" spans="1:27"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row>
    <row r="69" spans="1:27"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row>
    <row r="70" spans="1:27"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row>
    <row r="71" spans="1:27"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row>
    <row r="72" spans="1:27"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row>
    <row r="73" spans="1:27"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row>
    <row r="74" spans="1:27"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row>
    <row r="75" spans="1:27"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row>
    <row r="76" spans="1:27"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row>
    <row r="77" spans="1:27"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row>
    <row r="78" spans="1:27"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row>
    <row r="79" spans="1:27"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row>
    <row r="80" spans="1:27"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row>
    <row r="81" spans="1:27"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row>
    <row r="82" spans="1:27"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row>
    <row r="83" spans="1:27"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row>
    <row r="84" spans="1:27"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row>
    <row r="85" spans="1:27"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row>
    <row r="86" spans="1:27"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row>
    <row r="87" spans="1:27"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row>
    <row r="88" spans="1:27"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row>
    <row r="89" spans="1:27"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row>
    <row r="90" spans="1:27"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row>
    <row r="91" spans="1:27"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row>
    <row r="92" spans="1:27"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row>
    <row r="93" spans="1:27"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row>
    <row r="94" spans="1:27"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row>
    <row r="95" spans="1:27"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row>
    <row r="96" spans="1:27"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row>
    <row r="97" spans="1:27"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row>
    <row r="98" spans="1:27"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row>
    <row r="99" spans="1:27" x14ac:dyDescent="0.2">
      <c r="A99" s="606"/>
      <c r="B99" s="606"/>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row>
    <row r="100" spans="1:27"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row>
    <row r="101" spans="1:27"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27" x14ac:dyDescent="0.2">
      <c r="A102" s="240">
        <v>1</v>
      </c>
      <c r="B102" s="641" t="str">
        <f>IFERROR(INDEX(B$1:B$99,MATCH(A102,A$1:A$99,0)),"")</f>
        <v>Margus Berkmann, Meelis Münt</v>
      </c>
      <c r="C102" s="74">
        <v>13</v>
      </c>
      <c r="D102" s="74"/>
      <c r="E102" s="74"/>
      <c r="F102" s="74"/>
      <c r="G102" s="74"/>
      <c r="H102" s="130"/>
      <c r="I102" s="70"/>
      <c r="J102" s="130"/>
      <c r="O102" s="606"/>
      <c r="P102" s="606"/>
      <c r="Q102" s="606"/>
      <c r="R102" s="606"/>
      <c r="S102" s="606"/>
      <c r="T102" s="606"/>
      <c r="U102" s="606"/>
      <c r="V102" s="606"/>
      <c r="W102" s="606"/>
      <c r="X102" s="606"/>
      <c r="Y102" s="606"/>
      <c r="Z102" s="606"/>
      <c r="AA102" s="606"/>
    </row>
    <row r="103" spans="1:27" x14ac:dyDescent="0.2">
      <c r="A103" s="242"/>
      <c r="B103" s="649"/>
      <c r="C103" s="74" t="str">
        <f>IF(COUNT(C102,C104)=2,IF(C102&gt;C104,B102,B104),"")</f>
        <v>Margus Berkmann, Meelis Münt</v>
      </c>
      <c r="G103" s="419">
        <v>13</v>
      </c>
      <c r="H103" s="74"/>
      <c r="I103" s="74"/>
      <c r="J103" s="74"/>
      <c r="K103" s="74"/>
      <c r="L103" s="70"/>
      <c r="M103" s="130"/>
      <c r="O103" s="606"/>
      <c r="P103" s="606"/>
      <c r="Q103" s="606"/>
      <c r="R103" s="606"/>
      <c r="S103" s="606"/>
      <c r="T103" s="606"/>
      <c r="U103" s="606"/>
      <c r="V103" s="606"/>
      <c r="W103" s="606"/>
      <c r="X103" s="606"/>
      <c r="Y103" s="606"/>
      <c r="Z103" s="606"/>
      <c r="AA103" s="606"/>
    </row>
    <row r="104" spans="1:27" x14ac:dyDescent="0.2">
      <c r="A104" s="242">
        <v>8</v>
      </c>
      <c r="B104" s="644" t="str">
        <f>IFERROR(INDEX(B$1:B$99,MATCH(A104,A$1:A$99,0)),"")</f>
        <v>Aigi Orro, Kalle Orro</v>
      </c>
      <c r="C104" s="646">
        <v>5</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27" x14ac:dyDescent="0.2">
      <c r="A105" s="242"/>
      <c r="B105" s="645"/>
      <c r="C105" s="49"/>
      <c r="D105" s="262"/>
      <c r="E105" s="262"/>
      <c r="F105" s="653"/>
      <c r="G105" s="417" t="str">
        <f>IF(COUNT(G103,G107)=2,IF(G103&gt;G107,C103,C107),"")</f>
        <v>Margus Berkmann, Meelis Münt</v>
      </c>
      <c r="H105" s="74"/>
      <c r="K105" s="241">
        <v>13</v>
      </c>
      <c r="L105" s="74"/>
      <c r="M105" s="74"/>
      <c r="N105" s="262"/>
      <c r="O105" s="606"/>
      <c r="P105" s="606"/>
      <c r="Q105" s="606"/>
      <c r="R105" s="606"/>
      <c r="S105" s="606"/>
      <c r="T105" s="606"/>
      <c r="U105" s="606"/>
      <c r="V105" s="606"/>
      <c r="W105" s="606"/>
      <c r="X105" s="606"/>
      <c r="Y105" s="606"/>
      <c r="Z105" s="606"/>
      <c r="AA105" s="606"/>
    </row>
    <row r="106" spans="1:27" x14ac:dyDescent="0.2">
      <c r="A106" s="242">
        <v>4</v>
      </c>
      <c r="B106" s="641" t="str">
        <f>IFERROR(INDEX(B$1:B$99,MATCH(A106,A$1:A$99,0)),"")</f>
        <v>Andero Kelu, Kaido Kopel</v>
      </c>
      <c r="C106" s="74">
        <v>11</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27" x14ac:dyDescent="0.2">
      <c r="A107" s="242"/>
      <c r="B107" s="649"/>
      <c r="C107" s="74" t="str">
        <f>IF(COUNT(C106,C108)=2,IF(C106&gt;C108,B106,B108),"")</f>
        <v>Danel Pilv, Endla Antsve, Silver Kingissepp</v>
      </c>
      <c r="D107" s="654"/>
      <c r="E107" s="654"/>
      <c r="F107" s="655"/>
      <c r="G107" s="247">
        <v>10</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27" x14ac:dyDescent="0.2">
      <c r="A108" s="242">
        <v>5</v>
      </c>
      <c r="B108" s="644" t="str">
        <f>IFERROR(INDEX(B$1:B$99,MATCH(A108,A$1:A$99,0)),"")</f>
        <v>Danel Pilv, Endla Antsve, Silver Kingissepp</v>
      </c>
      <c r="C108" s="646">
        <v>13</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27" ht="13.5" thickBot="1" x14ac:dyDescent="0.25">
      <c r="A109" s="41"/>
      <c r="B109" s="645"/>
      <c r="C109" s="74"/>
      <c r="G109" s="49"/>
      <c r="H109" s="49"/>
      <c r="I109" s="262"/>
      <c r="J109" s="653"/>
      <c r="K109" s="74"/>
      <c r="M109" s="425" t="str">
        <f>IF(COUNT(K105,K113)=2,IF(K105&gt;K113,G105,G113),"")</f>
        <v>Margus Berkmann, Meelis Münt</v>
      </c>
      <c r="N109" s="74"/>
      <c r="O109" s="262"/>
      <c r="P109" s="606"/>
      <c r="Q109" s="606"/>
      <c r="R109" s="606"/>
      <c r="S109" s="606"/>
      <c r="T109" s="606"/>
      <c r="U109" s="606"/>
      <c r="V109" s="606"/>
      <c r="W109" s="606"/>
      <c r="X109" s="606"/>
      <c r="Y109" s="606"/>
      <c r="Z109" s="606"/>
      <c r="AA109" s="606"/>
    </row>
    <row r="110" spans="1:27" x14ac:dyDescent="0.2">
      <c r="A110" s="240">
        <v>3</v>
      </c>
      <c r="B110" s="641" t="str">
        <f>IFERROR(INDEX(B$1:B$99,MATCH(A110,A$1:A$99,0)),"")</f>
        <v>Katri Aavekukk, Merike Aava</v>
      </c>
      <c r="C110" s="74">
        <v>13</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27" x14ac:dyDescent="0.2">
      <c r="A111" s="242"/>
      <c r="B111" s="649"/>
      <c r="C111" s="74" t="str">
        <f>IF(COUNT(C110,C112)=2,IF(C110&gt;C112,B110,B112),"")</f>
        <v>Katri Aavekukk, Merike Aava</v>
      </c>
      <c r="G111" s="247">
        <v>7</v>
      </c>
      <c r="H111" s="49"/>
      <c r="I111" s="262"/>
      <c r="J111" s="653"/>
      <c r="K111" s="49"/>
      <c r="M111" s="74"/>
      <c r="N111" s="74"/>
      <c r="O111" s="262"/>
      <c r="P111" s="606"/>
      <c r="Q111" s="606"/>
      <c r="R111" s="606"/>
      <c r="S111" s="606"/>
      <c r="T111" s="606"/>
      <c r="U111" s="606"/>
      <c r="V111" s="606"/>
      <c r="W111" s="606"/>
      <c r="X111" s="606"/>
      <c r="Y111" s="606"/>
      <c r="Z111" s="606"/>
      <c r="AA111" s="606"/>
    </row>
    <row r="112" spans="1:27" x14ac:dyDescent="0.2">
      <c r="A112" s="242">
        <v>6</v>
      </c>
      <c r="B112" s="644" t="str">
        <f>IFERROR(INDEX(B$1:B$99,MATCH(A112,A$1:A$99,0)),"")</f>
        <v>Hardo Sokk, Toomas Tauk</v>
      </c>
      <c r="C112" s="646">
        <v>4</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Aimar Poom, Urmo Auväärt</v>
      </c>
      <c r="H113" s="243"/>
      <c r="I113" s="654"/>
      <c r="J113" s="655"/>
      <c r="K113" s="247">
        <v>2</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Aimar Poom, Urmo Auväärt</v>
      </c>
      <c r="C114" s="74">
        <v>13</v>
      </c>
      <c r="D114" s="262"/>
      <c r="E114" s="262"/>
      <c r="F114" s="653"/>
      <c r="G114" s="49"/>
      <c r="H114" s="49"/>
      <c r="K114" s="49"/>
      <c r="M114" s="425" t="str">
        <f>IF(COUNT(K105,K113)=2,IF(K105&lt;K113,G105,G113),"")</f>
        <v>Aimar Poom, Urmo Auväärt</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Aimar Poom, Urmo Auväärt</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Mati Rõõm, Mihkel Lillemets</v>
      </c>
      <c r="C116" s="646">
        <v>12</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Danel Pilv, Endla Antsve, Silver Kingissepp</v>
      </c>
      <c r="H117" s="74"/>
      <c r="K117" s="247">
        <v>6</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Katri Aavekukk, Merike Aava</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Katri Aavekukk, Merike Aava</v>
      </c>
      <c r="H119" s="243"/>
      <c r="I119" s="654"/>
      <c r="J119" s="655"/>
      <c r="K119" s="247">
        <v>13</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Danel Pilv, Endla Antsve, Silver Kingissepp</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Aigi Orro, Kalle Orro</v>
      </c>
      <c r="G123" s="241">
        <v>9</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Andero Kelu, Kaido Kopel</v>
      </c>
      <c r="H124" s="74"/>
      <c r="K124" s="648">
        <v>10</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Andero Kelu, Kaido Kopel</v>
      </c>
      <c r="D125" s="654"/>
      <c r="E125" s="654"/>
      <c r="F125" s="655"/>
      <c r="G125" s="244">
        <v>13</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Hardo Sokk, Toomas Tauk</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Hardo Sokk, Toomas Tauk</v>
      </c>
      <c r="G127" s="241">
        <v>13</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Hardo Sokk, Toomas Tauk</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Mati Rõõm, Mihkel Lillemets</v>
      </c>
      <c r="D129" s="654"/>
      <c r="E129" s="654"/>
      <c r="F129" s="655"/>
      <c r="G129" s="244">
        <v>10</v>
      </c>
      <c r="H129" s="241"/>
      <c r="K129" s="247"/>
      <c r="M129" s="425" t="str">
        <f>IF(COUNT(K124,K128)=2,IF(K124&lt;K128,G124,G128),"")</f>
        <v>Andero Kelu, Kaido Kopel</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Aigi Orro, Kalle Orro</v>
      </c>
      <c r="H131" s="74"/>
      <c r="K131" s="247">
        <v>13</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Aigi Orro, Kalle Orro</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Mati Rõõm, Mihkel Lillemets</v>
      </c>
      <c r="H133" s="243"/>
      <c r="I133" s="654"/>
      <c r="J133" s="655"/>
      <c r="K133" s="247">
        <v>5</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Mati Rõõm, Mihkel Lillemets</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Arvi Palla, Ruudi Väärtnõu</v>
      </c>
      <c r="C140" s="74">
        <v>13</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Arvi Palla, Ruudi Väärtnõu</v>
      </c>
      <c r="G141" s="419">
        <v>13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tr">
        <f>IFERROR(INDEX(B$1:B$99,MATCH(A142,A$1:A$99,0)),"")</f>
        <v>Kevin Kangur, Maris Rõõm</v>
      </c>
      <c r="C142" s="646">
        <v>8</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Arvi Palla, Ruudi Väärtnõu</v>
      </c>
      <c r="H143" s="74"/>
      <c r="K143" s="241">
        <v>13</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Marta Ruus, Robert Schmidt</v>
      </c>
      <c r="C144" s="74">
        <v>9</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Tõnu Sõrmus, Viljar Kerb</v>
      </c>
      <c r="D145" s="654"/>
      <c r="E145" s="654"/>
      <c r="F145" s="655"/>
      <c r="G145" s="247">
        <v>9</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Tõnu Sõrmus, Viljar Kerb</v>
      </c>
      <c r="C146" s="642">
        <v>13</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Arvi Palla, Ruudi Väärtnõu</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Jaan Joonas, Toomas Hoole</v>
      </c>
      <c r="C148" s="74">
        <v>7</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Toomas Reede, Varje Reede</v>
      </c>
      <c r="G149" s="247">
        <v>0</v>
      </c>
      <c r="H149" s="49"/>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Toomas Reede, Varje Reede</v>
      </c>
      <c r="C150" s="646">
        <v>13</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Marek Kolk, Tiit Kattai</v>
      </c>
      <c r="H151" s="243"/>
      <c r="I151" s="654"/>
      <c r="J151" s="655"/>
      <c r="K151" s="247">
        <v>12</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Marek Kolk, Tiit Kattai</v>
      </c>
      <c r="C152" s="74">
        <v>13</v>
      </c>
      <c r="D152" s="262"/>
      <c r="E152" s="262"/>
      <c r="F152" s="653"/>
      <c r="G152" s="49"/>
      <c r="H152" s="49"/>
      <c r="K152" s="49"/>
      <c r="M152" s="425" t="str">
        <f>IF(COUNT(K143,K151)=2,IF(K143&lt;K151,G143,G151),"")</f>
        <v>Marek Kolk, Tiit Kattai</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Marek Kolk, Tiit Kattai</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Johannes Neiland, Karla Purgats</v>
      </c>
      <c r="C154" s="646">
        <v>2</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Tõnu Sõrmus, Viljar Kerb</v>
      </c>
      <c r="H155" s="74"/>
      <c r="K155" s="247">
        <v>6</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Toomas Reede, Varje Reede</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Toomas Reede, Varje Reede</v>
      </c>
      <c r="H157" s="243"/>
      <c r="I157" s="654"/>
      <c r="J157" s="655"/>
      <c r="K157" s="247">
        <v>13</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Tõnu Sõrmus, Viljar Kerb</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Kevin Kangur, Maris Rõõm</v>
      </c>
      <c r="G161" s="241">
        <v>13</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Kevin Kangur, Maris Rõõm</v>
      </c>
      <c r="H162" s="74"/>
      <c r="K162" s="648">
        <v>0</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Marta Ruus, Robert Schmidt</v>
      </c>
      <c r="D163" s="654"/>
      <c r="E163" s="654"/>
      <c r="F163" s="655"/>
      <c r="G163" s="244">
        <v>10</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Jaan Joonas, Toomas Hoole</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Jaan Joonas, Toomas Hoole</v>
      </c>
      <c r="G165" s="241">
        <v>13</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Jaan Joonas, Toomas Hoole</v>
      </c>
      <c r="H166" s="243"/>
      <c r="I166" s="654"/>
      <c r="J166" s="655"/>
      <c r="K166" s="247">
        <v>13</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Johannes Neiland, Karla Purgats</v>
      </c>
      <c r="D167" s="654"/>
      <c r="E167" s="654"/>
      <c r="F167" s="655"/>
      <c r="G167" s="244">
        <v>3</v>
      </c>
      <c r="H167" s="241"/>
      <c r="K167" s="247"/>
      <c r="M167" s="425" t="str">
        <f>IF(COUNT(K162,K166)=2,IF(K162&lt;K166,G162,G166),"")</f>
        <v>Kevin Kangur, Maris Rõõm</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Marta Ruus, Robert Schmidt</v>
      </c>
      <c r="H169" s="74"/>
      <c r="K169" s="247">
        <v>12</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Johannes Neiland, Karla Purgats</v>
      </c>
      <c r="N170" s="252"/>
      <c r="O170" s="262"/>
      <c r="S170" s="69"/>
      <c r="T170" s="69"/>
      <c r="U170" s="69"/>
      <c r="V170" s="69"/>
      <c r="W170" s="69"/>
      <c r="X170" s="69"/>
      <c r="Y170" s="69"/>
      <c r="Z170" s="69"/>
    </row>
    <row r="171" spans="1:27" x14ac:dyDescent="0.2">
      <c r="A171" s="74"/>
      <c r="B171" s="74"/>
      <c r="C171" s="247"/>
      <c r="G171" s="417" t="str">
        <f>IF(COUNT(G165,G167)=2,IF(G165&lt;G167,C165,C167),"")</f>
        <v>Johannes Neiland, Karla Purgats</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Marta Ruus, Robert Schmidt</v>
      </c>
      <c r="N173" s="252"/>
      <c r="O173" s="262"/>
    </row>
    <row r="174" spans="1:27" x14ac:dyDescent="0.2">
      <c r="A174" s="202"/>
      <c r="B174" s="260"/>
      <c r="C174" s="204"/>
      <c r="G174" s="204"/>
      <c r="H174" s="204"/>
      <c r="K174" s="259"/>
      <c r="M174" s="250" t="s">
        <v>543</v>
      </c>
      <c r="N174" s="238"/>
      <c r="O174" s="262"/>
    </row>
    <row r="176" spans="1:27" x14ac:dyDescent="0.2">
      <c r="A176" s="239" t="s">
        <v>613</v>
      </c>
      <c r="B176" s="49"/>
      <c r="C176" s="203"/>
      <c r="G176" s="203"/>
      <c r="H176" s="204"/>
      <c r="K176" s="205"/>
      <c r="M176" s="74"/>
      <c r="N176" s="130"/>
    </row>
    <row r="177" spans="1:15" x14ac:dyDescent="0.2">
      <c r="A177" s="74"/>
      <c r="B177" s="74"/>
      <c r="C177" s="74"/>
      <c r="G177" s="74"/>
      <c r="H177" s="74"/>
      <c r="K177" s="74"/>
      <c r="M177" s="74"/>
      <c r="N177" s="130"/>
      <c r="O177" s="262"/>
    </row>
    <row r="178" spans="1:15" x14ac:dyDescent="0.2">
      <c r="A178" s="240">
        <v>17</v>
      </c>
      <c r="B178" s="641" t="str">
        <f>IFERROR(INDEX(B$1:B$99,MATCH(A178,A$1:A$99,0)),"")</f>
        <v>Marek Lehis, Peeter Mäeots</v>
      </c>
      <c r="C178" s="74">
        <v>13</v>
      </c>
      <c r="D178" s="74"/>
      <c r="E178" s="74"/>
      <c r="F178" s="74"/>
      <c r="G178" s="74"/>
      <c r="H178" s="130"/>
      <c r="I178" s="70"/>
      <c r="J178" s="130"/>
      <c r="O178" s="262"/>
    </row>
    <row r="179" spans="1:15" x14ac:dyDescent="0.2">
      <c r="A179" s="242"/>
      <c r="B179" s="649"/>
      <c r="C179" s="74" t="str">
        <f>IF(COUNT(C178,C180)=2,IF(C178&gt;C180,B178,B180),"")</f>
        <v>Marek Lehis, Peeter Mäeots</v>
      </c>
      <c r="G179" s="419">
        <v>1</v>
      </c>
      <c r="H179" s="74"/>
      <c r="I179" s="74"/>
      <c r="J179" s="74"/>
      <c r="K179" s="74"/>
      <c r="L179" s="70"/>
      <c r="M179" s="130"/>
      <c r="O179" s="262"/>
    </row>
    <row r="180" spans="1:15" x14ac:dyDescent="0.2">
      <c r="A180" s="242">
        <v>24</v>
      </c>
      <c r="B180" s="644" t="str">
        <f>IFERROR(INDEX(B$1:B$99,MATCH(A180,A$1:A$99,0)),"")</f>
        <v>Peep Peenema, Henri Mitt</v>
      </c>
      <c r="C180" s="646">
        <v>6</v>
      </c>
      <c r="D180" s="651"/>
      <c r="E180" s="651"/>
      <c r="F180" s="652"/>
      <c r="G180" s="74"/>
      <c r="H180" s="74"/>
      <c r="I180" s="74"/>
      <c r="J180" s="74"/>
      <c r="K180" s="74"/>
      <c r="L180" s="70"/>
      <c r="M180" s="130"/>
      <c r="O180" s="262"/>
    </row>
    <row r="181" spans="1:15" x14ac:dyDescent="0.2">
      <c r="A181" s="242"/>
      <c r="B181" s="645"/>
      <c r="C181" s="49"/>
      <c r="D181" s="262"/>
      <c r="E181" s="262"/>
      <c r="F181" s="653"/>
      <c r="G181" s="417" t="str">
        <f>IF(COUNT(G179,G183)=2,IF(G179&gt;G183,C179,C183),"")</f>
        <v>Alari Keedus, Ülo Piik</v>
      </c>
      <c r="H181" s="74"/>
      <c r="K181" s="241">
        <v>1</v>
      </c>
      <c r="L181" s="74"/>
      <c r="M181" s="74"/>
      <c r="N181" s="262"/>
      <c r="O181" s="262"/>
    </row>
    <row r="182" spans="1:15" x14ac:dyDescent="0.2">
      <c r="A182" s="242">
        <v>20</v>
      </c>
      <c r="B182" s="641" t="str">
        <f>IFERROR(INDEX(B$1:B$99,MATCH(A182,A$1:A$99,0)),"")</f>
        <v>Külli Kariste, Marju Velga</v>
      </c>
      <c r="C182" s="74">
        <v>10</v>
      </c>
      <c r="D182" s="262"/>
      <c r="E182" s="262"/>
      <c r="F182" s="653"/>
      <c r="G182" s="646"/>
      <c r="H182" s="646"/>
      <c r="I182" s="651"/>
      <c r="J182" s="652"/>
      <c r="K182" s="74"/>
      <c r="L182" s="74"/>
      <c r="M182" s="74"/>
      <c r="N182" s="262"/>
    </row>
    <row r="183" spans="1:15" x14ac:dyDescent="0.2">
      <c r="A183" s="242"/>
      <c r="B183" s="649"/>
      <c r="C183" s="74" t="str">
        <f>IF(COUNT(C182,C184)=2,IF(C182&gt;C184,B182,B184),"")</f>
        <v>Alari Keedus, Ülo Piik</v>
      </c>
      <c r="D183" s="654"/>
      <c r="E183" s="654"/>
      <c r="F183" s="655"/>
      <c r="G183" s="247">
        <v>13</v>
      </c>
      <c r="H183" s="49"/>
      <c r="I183" s="262"/>
      <c r="J183" s="653"/>
      <c r="K183" s="74"/>
      <c r="L183" s="74"/>
      <c r="M183" s="74"/>
      <c r="N183" s="262"/>
    </row>
    <row r="184" spans="1:15" x14ac:dyDescent="0.2">
      <c r="A184" s="242">
        <v>21</v>
      </c>
      <c r="B184" s="644" t="str">
        <f>IFERROR(INDEX(B$1:B$99,MATCH(A184,A$1:A$99,0)),"")</f>
        <v>Alari Keedus, Ülo Piik</v>
      </c>
      <c r="C184" s="642">
        <v>13</v>
      </c>
      <c r="G184" s="49"/>
      <c r="H184" s="49"/>
      <c r="I184" s="262"/>
      <c r="J184" s="653"/>
      <c r="K184" s="74"/>
      <c r="L184" s="74"/>
      <c r="M184" s="74"/>
      <c r="N184" s="262"/>
    </row>
    <row r="185" spans="1:15" ht="13.5" thickBot="1" x14ac:dyDescent="0.25">
      <c r="A185" s="41"/>
      <c r="B185" s="645"/>
      <c r="C185" s="74"/>
      <c r="G185" s="49"/>
      <c r="H185" s="49"/>
      <c r="I185" s="262"/>
      <c r="J185" s="653"/>
      <c r="K185" s="74"/>
      <c r="M185" s="425" t="str">
        <f>IF(COUNT(K181,K189)=2,IF(K181&gt;K189,G181,G189),"")</f>
        <v>Kevin Sten Liik, Mare Kingissepp, Marge Mägi</v>
      </c>
      <c r="N185" s="74"/>
    </row>
    <row r="186" spans="1:15" x14ac:dyDescent="0.2">
      <c r="A186" s="240">
        <v>19</v>
      </c>
      <c r="B186" s="641" t="str">
        <f>IFERROR(INDEX(B$1:B$99,MATCH(A186,A$1:A$99,0)),"")</f>
        <v>Janek Kiisk, Margo Peebo</v>
      </c>
      <c r="C186" s="74">
        <v>8</v>
      </c>
      <c r="G186" s="49"/>
      <c r="H186" s="49"/>
      <c r="I186" s="262"/>
      <c r="J186" s="653"/>
      <c r="K186" s="251"/>
      <c r="L186" s="656"/>
      <c r="M186" s="250" t="s">
        <v>544</v>
      </c>
      <c r="N186" s="251"/>
    </row>
    <row r="187" spans="1:15" x14ac:dyDescent="0.2">
      <c r="A187" s="242"/>
      <c r="B187" s="649"/>
      <c r="C187" s="74" t="str">
        <f>IF(COUNT(C186,C188)=2,IF(C186&gt;C188,B186,B188),"")</f>
        <v>Kevin Sten Liik, Mare Kingissepp, Marge Mägi</v>
      </c>
      <c r="G187" s="247">
        <v>13</v>
      </c>
      <c r="H187" s="49"/>
      <c r="I187" s="262"/>
      <c r="J187" s="653"/>
      <c r="K187" s="49"/>
      <c r="M187" s="74"/>
      <c r="N187" s="74"/>
    </row>
    <row r="188" spans="1:15" x14ac:dyDescent="0.2">
      <c r="A188" s="242">
        <v>22</v>
      </c>
      <c r="B188" s="644" t="str">
        <f>IFERROR(INDEX(B$1:B$99,MATCH(A188,A$1:A$99,0)),"")</f>
        <v>Kevin Sten Liik, Mare Kingissepp, Marge Mägi</v>
      </c>
      <c r="C188" s="646">
        <v>13</v>
      </c>
      <c r="D188" s="651"/>
      <c r="E188" s="651"/>
      <c r="F188" s="652"/>
      <c r="G188" s="49"/>
      <c r="H188" s="49"/>
      <c r="I188" s="262"/>
      <c r="J188" s="653"/>
      <c r="K188" s="49"/>
      <c r="M188" s="74"/>
      <c r="N188" s="74"/>
    </row>
    <row r="189" spans="1:15" x14ac:dyDescent="0.2">
      <c r="A189" s="242"/>
      <c r="B189" s="645"/>
      <c r="C189" s="49"/>
      <c r="D189" s="262"/>
      <c r="E189" s="262"/>
      <c r="F189" s="653"/>
      <c r="G189" s="417" t="str">
        <f>IF(COUNT(G187,G191)=2,IF(G187&gt;G191,C187,C191),"")</f>
        <v>Kevin Sten Liik, Mare Kingissepp, Marge Mägi</v>
      </c>
      <c r="H189" s="243"/>
      <c r="I189" s="654"/>
      <c r="J189" s="655"/>
      <c r="K189" s="247">
        <v>13</v>
      </c>
      <c r="M189" s="74"/>
      <c r="N189" s="74"/>
    </row>
    <row r="190" spans="1:15" ht="13.5" thickBot="1" x14ac:dyDescent="0.25">
      <c r="A190" s="242">
        <v>18</v>
      </c>
      <c r="B190" s="641" t="str">
        <f>IFERROR(INDEX(B$1:B$99,MATCH(A190,A$1:A$99,0)),"")</f>
        <v>Anti Alasi, Jelena Brakina</v>
      </c>
      <c r="C190" s="74">
        <v>2</v>
      </c>
      <c r="D190" s="262"/>
      <c r="E190" s="262"/>
      <c r="F190" s="653"/>
      <c r="G190" s="49"/>
      <c r="H190" s="49"/>
      <c r="K190" s="49"/>
      <c r="M190" s="425" t="str">
        <f>IF(COUNT(K181,K189)=2,IF(K181&lt;K189,G181,G189),"")</f>
        <v>Alari Keedus, Ülo Piik</v>
      </c>
      <c r="N190" s="252"/>
    </row>
    <row r="191" spans="1:15" x14ac:dyDescent="0.2">
      <c r="A191" s="242"/>
      <c r="B191" s="649"/>
      <c r="C191" s="74" t="str">
        <f>IF(COUNT(C190,C192)=2,IF(C190&gt;C192,B190,B192),"")</f>
        <v>Jaan Sepp, Mait Metsla</v>
      </c>
      <c r="D191" s="654"/>
      <c r="E191" s="654"/>
      <c r="F191" s="655"/>
      <c r="G191" s="247">
        <v>0</v>
      </c>
      <c r="H191" s="74"/>
      <c r="K191" s="49"/>
      <c r="M191" s="250" t="s">
        <v>545</v>
      </c>
      <c r="N191" s="49"/>
    </row>
    <row r="192" spans="1:15" x14ac:dyDescent="0.2">
      <c r="A192" s="242">
        <v>23</v>
      </c>
      <c r="B192" s="644" t="str">
        <f>IFERROR(INDEX(B$1:B$99,MATCH(A192,A$1:A$99,0)),"")</f>
        <v>Jaan Sepp, Mait Metsla</v>
      </c>
      <c r="C192" s="646">
        <v>13</v>
      </c>
      <c r="G192" s="49"/>
      <c r="H192" s="49"/>
      <c r="K192" s="49"/>
      <c r="M192" s="74"/>
      <c r="N192" s="74"/>
    </row>
    <row r="193" spans="1:14" x14ac:dyDescent="0.2">
      <c r="A193" s="41"/>
      <c r="B193" s="645"/>
      <c r="C193" s="74"/>
      <c r="G193" s="418" t="str">
        <f>IF(COUNT(G179,G183)=2,IF(G179&lt;G183,C179,C183),"")</f>
        <v>Marek Lehis, Peeter Mäeots</v>
      </c>
      <c r="H193" s="74"/>
      <c r="K193" s="247">
        <v>5</v>
      </c>
      <c r="M193" s="74"/>
      <c r="N193" s="74"/>
    </row>
    <row r="194" spans="1:14" ht="13.5" thickBot="1" x14ac:dyDescent="0.25">
      <c r="A194" s="74"/>
      <c r="B194" s="74"/>
      <c r="C194" s="74"/>
      <c r="G194" s="646"/>
      <c r="H194" s="646"/>
      <c r="I194" s="651"/>
      <c r="J194" s="652"/>
      <c r="K194" s="252"/>
      <c r="L194" s="657"/>
      <c r="M194" s="425" t="str">
        <f>IF(COUNT(K193,K195)=2,IF(K193&gt;K195,G193,G195),"")</f>
        <v>Jaan Sepp, Mait Metsla</v>
      </c>
      <c r="N194" s="252"/>
    </row>
    <row r="195" spans="1:14" x14ac:dyDescent="0.2">
      <c r="A195" s="74"/>
      <c r="B195" s="74"/>
      <c r="C195" s="74"/>
      <c r="G195" s="417" t="str">
        <f>IF(COUNT(G187,G191)=2,IF(G187&lt;G191,C187,C191),"")</f>
        <v>Jaan Sepp, Mait Metsla</v>
      </c>
      <c r="H195" s="243"/>
      <c r="I195" s="654"/>
      <c r="J195" s="655"/>
      <c r="K195" s="247">
        <v>13</v>
      </c>
      <c r="M195" s="253" t="s">
        <v>546</v>
      </c>
      <c r="N195" s="49"/>
    </row>
    <row r="196" spans="1:14" x14ac:dyDescent="0.2">
      <c r="A196" s="74"/>
      <c r="B196" s="74"/>
      <c r="C196" s="74"/>
      <c r="G196" s="74"/>
      <c r="H196" s="74"/>
      <c r="K196" s="74"/>
      <c r="M196" s="49"/>
      <c r="N196" s="49"/>
    </row>
    <row r="197" spans="1:14" ht="13.5" thickBot="1" x14ac:dyDescent="0.25">
      <c r="A197" s="74"/>
      <c r="B197" s="74"/>
      <c r="C197" s="74"/>
      <c r="G197" s="49"/>
      <c r="H197" s="49"/>
      <c r="K197" s="74"/>
      <c r="M197" s="425" t="str">
        <f>IF(COUNT(K193,K195)=2,IF(K193&lt;K195,G193,G195),"")</f>
        <v>Marek Lehis, Peeter Mäeots</v>
      </c>
      <c r="N197" s="252"/>
    </row>
    <row r="198" spans="1:14" x14ac:dyDescent="0.2">
      <c r="A198" s="74"/>
      <c r="B198" s="74"/>
      <c r="C198" s="74"/>
      <c r="G198" s="74"/>
      <c r="H198" s="74"/>
      <c r="K198" s="74"/>
      <c r="M198" s="41" t="s">
        <v>547</v>
      </c>
      <c r="N198" s="74"/>
    </row>
    <row r="199" spans="1:14" x14ac:dyDescent="0.2">
      <c r="A199" s="74"/>
      <c r="B199" s="74"/>
      <c r="C199" s="417" t="str">
        <f>IF(COUNT(C178,C180)=2,IF(C178&lt;C180,B178,B180),"")</f>
        <v>Peep Peenema, Henri Mitt</v>
      </c>
      <c r="G199" s="241">
        <v>7</v>
      </c>
      <c r="H199" s="241"/>
      <c r="K199" s="241"/>
      <c r="M199" s="74"/>
      <c r="N199" s="74"/>
    </row>
    <row r="200" spans="1:14" x14ac:dyDescent="0.2">
      <c r="A200" s="74"/>
      <c r="B200" s="74"/>
      <c r="C200" s="647"/>
      <c r="D200" s="651"/>
      <c r="E200" s="651"/>
      <c r="F200" s="652"/>
      <c r="G200" s="643" t="str">
        <f>IF(COUNT(G199,G201)=2,IF(G199&gt;G201,C199,C201),"")</f>
        <v>Külli Kariste, Marju Velga</v>
      </c>
      <c r="H200" s="74"/>
      <c r="K200" s="648">
        <v>2</v>
      </c>
      <c r="M200" s="74"/>
      <c r="N200" s="74"/>
    </row>
    <row r="201" spans="1:14" x14ac:dyDescent="0.2">
      <c r="A201" s="74"/>
      <c r="B201" s="74"/>
      <c r="C201" s="417" t="str">
        <f>IF(COUNT(C182,C184)=2,IF(C182&lt;C184,B182,B184),"")</f>
        <v>Külli Kariste, Marju Velga</v>
      </c>
      <c r="D201" s="654"/>
      <c r="E201" s="654"/>
      <c r="F201" s="655"/>
      <c r="G201" s="244">
        <v>13</v>
      </c>
      <c r="H201" s="647"/>
      <c r="I201" s="651"/>
      <c r="J201" s="652"/>
      <c r="K201" s="241"/>
      <c r="M201" s="74"/>
      <c r="N201" s="74"/>
    </row>
    <row r="202" spans="1:14" ht="13.5" thickBot="1" x14ac:dyDescent="0.25">
      <c r="A202" s="74"/>
      <c r="B202" s="74"/>
      <c r="C202" s="241"/>
      <c r="G202" s="247"/>
      <c r="H202" s="247"/>
      <c r="I202" s="262"/>
      <c r="J202" s="653"/>
      <c r="K202" s="241"/>
      <c r="M202" s="418" t="str">
        <f>IF(COUNT(K200,K204)=2,IF(K200&gt;K204,G200,G204),"")</f>
        <v>Janek Kiisk, Margo Peebo</v>
      </c>
      <c r="N202" s="74"/>
    </row>
    <row r="203" spans="1:14" x14ac:dyDescent="0.2">
      <c r="A203" s="74"/>
      <c r="B203" s="74"/>
      <c r="C203" s="417" t="str">
        <f>IF(COUNT(C186,C188)=2,IF(C186&lt;C188,B186,B188),"")</f>
        <v>Janek Kiisk, Margo Peebo</v>
      </c>
      <c r="G203" s="241">
        <v>13</v>
      </c>
      <c r="H203" s="247"/>
      <c r="I203" s="262"/>
      <c r="J203" s="653"/>
      <c r="K203" s="420"/>
      <c r="L203" s="656"/>
      <c r="M203" s="250" t="s">
        <v>585</v>
      </c>
      <c r="N203" s="251"/>
    </row>
    <row r="204" spans="1:14" x14ac:dyDescent="0.2">
      <c r="A204" s="74"/>
      <c r="B204" s="74"/>
      <c r="C204" s="647"/>
      <c r="D204" s="651"/>
      <c r="E204" s="651"/>
      <c r="F204" s="652"/>
      <c r="G204" s="643" t="str">
        <f>IF(COUNT(G203,G205)=2,IF(G203&gt;G205,C203,C205),"")</f>
        <v>Janek Kiisk, Margo Peebo</v>
      </c>
      <c r="H204" s="243"/>
      <c r="I204" s="654"/>
      <c r="J204" s="655"/>
      <c r="K204" s="247">
        <v>13</v>
      </c>
      <c r="M204" s="49"/>
      <c r="N204" s="49"/>
    </row>
    <row r="205" spans="1:14" ht="13.5" thickBot="1" x14ac:dyDescent="0.25">
      <c r="A205" s="74"/>
      <c r="B205" s="74"/>
      <c r="C205" s="417" t="str">
        <f>IF(COUNT(C190,C192)=2,IF(C190&lt;C192,B190,B192),"")</f>
        <v>Anti Alasi, Jelena Brakina</v>
      </c>
      <c r="D205" s="654"/>
      <c r="E205" s="654"/>
      <c r="F205" s="655"/>
      <c r="G205" s="244">
        <v>1</v>
      </c>
      <c r="H205" s="241"/>
      <c r="K205" s="247"/>
      <c r="M205" s="425" t="str">
        <f>IF(COUNT(K200,K204)=2,IF(K200&lt;K204,G200,G204),"")</f>
        <v>Külli Kariste, Marju Velga</v>
      </c>
      <c r="N205" s="252"/>
    </row>
    <row r="206" spans="1:14" x14ac:dyDescent="0.2">
      <c r="A206" s="74"/>
      <c r="B206" s="74"/>
      <c r="C206" s="241"/>
      <c r="G206" s="241"/>
      <c r="H206" s="241"/>
      <c r="K206" s="247"/>
      <c r="M206" s="250" t="s">
        <v>586</v>
      </c>
      <c r="N206" s="49"/>
    </row>
    <row r="207" spans="1:14" x14ac:dyDescent="0.2">
      <c r="A207" s="74"/>
      <c r="B207" s="74"/>
      <c r="C207" s="247"/>
      <c r="G207" s="418" t="str">
        <f>IF(COUNT(G199,G201)=2,IF(G199&lt;G201,C199,C201),"")</f>
        <v>Peep Peenema, Henri Mitt</v>
      </c>
      <c r="H207" s="74"/>
      <c r="K207" s="247">
        <v>13</v>
      </c>
      <c r="M207" s="49"/>
      <c r="N207" s="49"/>
    </row>
    <row r="208" spans="1:14" ht="13.5" thickBot="1" x14ac:dyDescent="0.25">
      <c r="A208" s="74"/>
      <c r="B208" s="74"/>
      <c r="C208" s="247"/>
      <c r="G208" s="646"/>
      <c r="H208" s="646"/>
      <c r="I208" s="651"/>
      <c r="J208" s="652"/>
      <c r="K208" s="252"/>
      <c r="L208" s="657"/>
      <c r="M208" s="425" t="str">
        <f>IF(COUNT(K207,K209)=2,IF(K207&gt;K209,G207,G209),"")</f>
        <v>Peep Peenema, Henri Mitt</v>
      </c>
      <c r="N208" s="252"/>
    </row>
    <row r="209" spans="1:14" x14ac:dyDescent="0.2">
      <c r="A209" s="74"/>
      <c r="B209" s="74"/>
      <c r="C209" s="247"/>
      <c r="G209" s="417" t="str">
        <f>IF(COUNT(G203,G205)=2,IF(G203&lt;G205,C203,C205),"")</f>
        <v>Anti Alasi, Jelena Brakina</v>
      </c>
      <c r="H209" s="243"/>
      <c r="I209" s="654"/>
      <c r="J209" s="655"/>
      <c r="K209" s="247">
        <v>9</v>
      </c>
      <c r="M209" s="253" t="s">
        <v>587</v>
      </c>
      <c r="N209" s="49"/>
    </row>
    <row r="210" spans="1:14" x14ac:dyDescent="0.2">
      <c r="A210" s="74"/>
      <c r="B210" s="74"/>
      <c r="C210" s="49"/>
      <c r="G210" s="74"/>
      <c r="H210" s="74"/>
      <c r="K210" s="74"/>
      <c r="M210" s="49"/>
      <c r="N210" s="49"/>
    </row>
    <row r="211" spans="1:14" ht="13.5" thickBot="1" x14ac:dyDescent="0.25">
      <c r="A211" s="74"/>
      <c r="B211" s="74"/>
      <c r="C211" s="74"/>
      <c r="G211" s="49"/>
      <c r="H211" s="49"/>
      <c r="K211" s="74"/>
      <c r="M211" s="252" t="str">
        <f>IF(COUNT(K207,K209)=2,IF(K207&lt;K209,G207,G209),"")</f>
        <v>Anti Alasi, Jelena Brakina</v>
      </c>
      <c r="N211" s="252"/>
    </row>
    <row r="212" spans="1:14" x14ac:dyDescent="0.2">
      <c r="A212" s="202"/>
      <c r="B212" s="260"/>
      <c r="C212" s="204"/>
      <c r="G212" s="204"/>
      <c r="H212" s="204"/>
      <c r="K212" s="259"/>
      <c r="M212" s="250" t="s">
        <v>614</v>
      </c>
      <c r="N212" s="238"/>
    </row>
    <row r="213" spans="1:14" hidden="1" x14ac:dyDescent="0.2">
      <c r="K213" s="69"/>
      <c r="L213" s="69"/>
      <c r="M213" s="69"/>
    </row>
    <row r="214" spans="1:14" hidden="1" x14ac:dyDescent="0.2"/>
    <row r="215" spans="1:14" hidden="1" x14ac:dyDescent="0.2"/>
    <row r="216" spans="1:14" hidden="1" x14ac:dyDescent="0.2"/>
    <row r="217" spans="1:14" hidden="1" x14ac:dyDescent="0.2"/>
    <row r="218" spans="1:14" hidden="1" x14ac:dyDescent="0.2"/>
    <row r="219" spans="1:14" hidden="1" x14ac:dyDescent="0.2"/>
    <row r="220" spans="1:14" hidden="1" x14ac:dyDescent="0.2"/>
    <row r="221" spans="1:14" hidden="1" x14ac:dyDescent="0.2"/>
    <row r="222" spans="1:14" hidden="1" x14ac:dyDescent="0.2"/>
    <row r="223" spans="1:14" hidden="1" x14ac:dyDescent="0.2"/>
    <row r="224" spans="1: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Q298" s="262"/>
      <c r="AR298" s="262"/>
      <c r="AS298" s="262"/>
      <c r="AT298" s="262"/>
    </row>
    <row r="299" spans="1:46" x14ac:dyDescent="0.2">
      <c r="A299" s="623"/>
      <c r="B299" s="623"/>
      <c r="C299" s="663" t="s">
        <v>220</v>
      </c>
      <c r="D299" s="611"/>
      <c r="E299" s="611"/>
      <c r="AQ299" s="262"/>
      <c r="AR299" s="262"/>
      <c r="AS299" s="262"/>
      <c r="AT299" s="262"/>
    </row>
    <row r="300" spans="1:46" x14ac:dyDescent="0.2">
      <c r="A300" s="624">
        <v>1</v>
      </c>
      <c r="B300" s="680" t="str">
        <f t="shared" ref="B300:B317" si="14">IFERROR(INDEX(M$100:M$298,MATCH(A300&amp;". koht",M$101:M$299,0)),"")</f>
        <v>Margus Berkmann, Meelis Münt</v>
      </c>
      <c r="C300" s="664">
        <v>173</v>
      </c>
      <c r="D300" s="74"/>
      <c r="E300" s="74"/>
      <c r="AQ300" s="262"/>
      <c r="AR300" s="262"/>
      <c r="AS300" s="262"/>
      <c r="AT300" s="262"/>
    </row>
    <row r="301" spans="1:46" x14ac:dyDescent="0.2">
      <c r="A301" s="624">
        <v>2</v>
      </c>
      <c r="B301" s="261" t="str">
        <f t="shared" si="14"/>
        <v>Aimar Poom, Urmo Auväärt</v>
      </c>
      <c r="C301" s="665">
        <v>158</v>
      </c>
      <c r="D301" s="606"/>
      <c r="E301" s="606"/>
      <c r="AQ301" s="262"/>
      <c r="AR301" s="262"/>
      <c r="AS301" s="262"/>
      <c r="AT301" s="262"/>
    </row>
    <row r="302" spans="1:46" x14ac:dyDescent="0.2">
      <c r="A302" s="624">
        <v>3</v>
      </c>
      <c r="B302" s="261" t="str">
        <f t="shared" si="14"/>
        <v>Katri Aavekukk, Merike Aava</v>
      </c>
      <c r="C302" s="665">
        <v>146</v>
      </c>
      <c r="D302" s="606"/>
      <c r="E302" s="606"/>
      <c r="AQ302" s="262"/>
      <c r="AR302" s="262"/>
      <c r="AS302" s="262"/>
      <c r="AT302" s="262"/>
    </row>
    <row r="303" spans="1:46" x14ac:dyDescent="0.2">
      <c r="A303" s="624">
        <v>4</v>
      </c>
      <c r="B303" s="261" t="str">
        <f t="shared" si="14"/>
        <v>Danel Pilv, Endla Antsve, Silver Kingissepp</v>
      </c>
      <c r="C303" s="665">
        <v>135</v>
      </c>
      <c r="D303" s="606"/>
      <c r="E303" s="606"/>
      <c r="AQ303" s="262"/>
      <c r="AR303" s="262"/>
      <c r="AS303" s="262"/>
      <c r="AT303" s="262"/>
    </row>
    <row r="304" spans="1:46" x14ac:dyDescent="0.2">
      <c r="A304" s="624">
        <v>5</v>
      </c>
      <c r="B304" s="261" t="str">
        <f t="shared" si="14"/>
        <v>Hardo Sokk, Toomas Tauk</v>
      </c>
      <c r="C304" s="665">
        <v>126</v>
      </c>
      <c r="D304" s="606"/>
      <c r="E304" s="606"/>
      <c r="AQ304" s="262"/>
      <c r="AR304" s="262"/>
      <c r="AS304" s="262"/>
      <c r="AT304" s="262"/>
    </row>
    <row r="305" spans="1:46" x14ac:dyDescent="0.2">
      <c r="A305" s="624">
        <v>6</v>
      </c>
      <c r="B305" s="261" t="str">
        <f t="shared" si="14"/>
        <v>Andero Kelu, Kaido Kopel</v>
      </c>
      <c r="C305" s="665">
        <v>119</v>
      </c>
      <c r="D305" s="606"/>
      <c r="E305" s="606"/>
      <c r="AQ305" s="262"/>
      <c r="AR305" s="262"/>
      <c r="AS305" s="262"/>
      <c r="AT305" s="262"/>
    </row>
    <row r="306" spans="1:46" x14ac:dyDescent="0.2">
      <c r="A306" s="624">
        <v>7</v>
      </c>
      <c r="B306" s="261" t="str">
        <f t="shared" si="14"/>
        <v>Aigi Orro, Kalle Orro</v>
      </c>
      <c r="C306" s="665">
        <v>111</v>
      </c>
      <c r="D306" s="606"/>
      <c r="E306" s="606"/>
      <c r="AQ306" s="262"/>
      <c r="AR306" s="262"/>
      <c r="AS306" s="262"/>
      <c r="AT306" s="262"/>
    </row>
    <row r="307" spans="1:46" x14ac:dyDescent="0.2">
      <c r="A307" s="624">
        <v>8</v>
      </c>
      <c r="B307" s="261" t="str">
        <f t="shared" si="14"/>
        <v>Mati Rõõm, Mihkel Lillemets</v>
      </c>
      <c r="C307" s="665">
        <v>104</v>
      </c>
      <c r="D307" s="606"/>
      <c r="E307" s="606"/>
      <c r="AQ307" s="262"/>
      <c r="AR307" s="262"/>
      <c r="AS307" s="262"/>
      <c r="AT307" s="262"/>
    </row>
    <row r="308" spans="1:46" x14ac:dyDescent="0.2">
      <c r="A308" s="624">
        <v>9</v>
      </c>
      <c r="B308" s="261" t="str">
        <f t="shared" si="14"/>
        <v>Arvi Palla, Ruudi Väärtnõu</v>
      </c>
      <c r="C308" s="665">
        <v>96</v>
      </c>
      <c r="D308" s="606"/>
      <c r="E308" s="606"/>
      <c r="AQ308" s="262"/>
      <c r="AR308" s="262"/>
      <c r="AS308" s="262"/>
      <c r="AT308" s="262"/>
    </row>
    <row r="309" spans="1:46" x14ac:dyDescent="0.2">
      <c r="A309" s="624">
        <v>10</v>
      </c>
      <c r="B309" s="261" t="str">
        <f t="shared" si="14"/>
        <v>Marek Kolk, Tiit Kattai</v>
      </c>
      <c r="C309" s="665">
        <v>90</v>
      </c>
      <c r="D309" s="606"/>
      <c r="E309" s="606"/>
      <c r="AQ309" s="262"/>
      <c r="AR309" s="262"/>
      <c r="AS309" s="262"/>
      <c r="AT309" s="262"/>
    </row>
    <row r="310" spans="1:46" x14ac:dyDescent="0.2">
      <c r="A310" s="624">
        <v>11</v>
      </c>
      <c r="B310" s="261" t="str">
        <f t="shared" si="14"/>
        <v>Toomas Reede, Varje Reede</v>
      </c>
      <c r="C310" s="665">
        <v>84</v>
      </c>
      <c r="D310" s="606"/>
      <c r="E310" s="606"/>
      <c r="AQ310" s="262"/>
      <c r="AR310" s="262"/>
      <c r="AS310" s="262"/>
      <c r="AT310" s="262"/>
    </row>
    <row r="311" spans="1:46" x14ac:dyDescent="0.2">
      <c r="A311" s="624">
        <v>12</v>
      </c>
      <c r="B311" s="261" t="str">
        <f t="shared" si="14"/>
        <v>Tõnu Sõrmus, Viljar Kerb</v>
      </c>
      <c r="C311" s="666">
        <v>78</v>
      </c>
      <c r="AQ311" s="262"/>
      <c r="AR311" s="262"/>
      <c r="AS311" s="262"/>
      <c r="AT311" s="262"/>
    </row>
    <row r="312" spans="1:46" x14ac:dyDescent="0.2">
      <c r="A312" s="624">
        <v>13</v>
      </c>
      <c r="B312" s="261" t="str">
        <f t="shared" si="14"/>
        <v>Jaan Joonas, Toomas Hoole</v>
      </c>
      <c r="C312" s="666">
        <v>74</v>
      </c>
      <c r="AQ312" s="262"/>
      <c r="AR312" s="262"/>
      <c r="AS312" s="262"/>
      <c r="AT312" s="262"/>
    </row>
    <row r="313" spans="1:46" x14ac:dyDescent="0.2">
      <c r="A313" s="624">
        <v>14</v>
      </c>
      <c r="B313" s="261" t="str">
        <f t="shared" si="14"/>
        <v>Kevin Kangur, Maris Rõõm</v>
      </c>
      <c r="C313" s="666">
        <v>69</v>
      </c>
      <c r="AQ313" s="262"/>
      <c r="AR313" s="262"/>
      <c r="AS313" s="262"/>
      <c r="AT313" s="262"/>
    </row>
    <row r="314" spans="1:46" x14ac:dyDescent="0.2">
      <c r="A314" s="624">
        <v>15</v>
      </c>
      <c r="B314" s="261" t="str">
        <f t="shared" si="14"/>
        <v>Johannes Neiland, Karla Purgats</v>
      </c>
      <c r="C314" s="666">
        <v>65</v>
      </c>
      <c r="AQ314" s="262"/>
      <c r="AR314" s="262"/>
      <c r="AS314" s="262"/>
      <c r="AT314" s="262"/>
    </row>
    <row r="315" spans="1:46" x14ac:dyDescent="0.2">
      <c r="A315" s="624">
        <v>16</v>
      </c>
      <c r="B315" s="261" t="str">
        <f t="shared" si="14"/>
        <v>Marta Ruus, Robert Schmidt</v>
      </c>
      <c r="C315" s="666">
        <v>60</v>
      </c>
      <c r="AQ315" s="262"/>
      <c r="AR315" s="262"/>
      <c r="AS315" s="262"/>
      <c r="AT315" s="262"/>
    </row>
    <row r="316" spans="1:46" x14ac:dyDescent="0.2">
      <c r="A316" s="624">
        <v>17</v>
      </c>
      <c r="B316" s="261" t="str">
        <f t="shared" si="14"/>
        <v>Kevin Sten Liik, Mare Kingissepp, Marge Mägi</v>
      </c>
      <c r="C316" s="666">
        <v>56</v>
      </c>
      <c r="AQ316" s="262"/>
      <c r="AR316" s="262"/>
      <c r="AS316" s="262"/>
      <c r="AT316" s="262"/>
    </row>
    <row r="317" spans="1:46" x14ac:dyDescent="0.2">
      <c r="A317" s="624">
        <v>18</v>
      </c>
      <c r="B317" s="261" t="str">
        <f t="shared" si="14"/>
        <v>Alari Keedus, Ülo Piik</v>
      </c>
      <c r="C317" s="666">
        <v>51</v>
      </c>
      <c r="AQ317" s="262"/>
      <c r="AR317" s="262"/>
      <c r="AS317" s="262"/>
      <c r="AT317" s="262"/>
    </row>
    <row r="318" spans="1:46" x14ac:dyDescent="0.2">
      <c r="A318" s="624">
        <v>19</v>
      </c>
      <c r="B318" s="261" t="str">
        <f t="shared" ref="B318:B323" si="15">IFERROR(INDEX(M$100:M$298,MATCH(A318&amp;". koht",M$101:M$299,0)),"")</f>
        <v>Jaan Sepp, Mait Metsla</v>
      </c>
      <c r="C318" s="666">
        <v>47</v>
      </c>
      <c r="AQ318" s="262"/>
      <c r="AR318" s="262"/>
      <c r="AS318" s="262"/>
      <c r="AT318" s="262"/>
    </row>
    <row r="319" spans="1:46" x14ac:dyDescent="0.2">
      <c r="A319" s="624">
        <v>20</v>
      </c>
      <c r="B319" s="261" t="str">
        <f t="shared" si="15"/>
        <v>Marek Lehis, Peeter Mäeots</v>
      </c>
      <c r="C319" s="666">
        <v>42</v>
      </c>
      <c r="AQ319" s="262"/>
      <c r="AR319" s="262"/>
      <c r="AS319" s="262"/>
      <c r="AT319" s="262"/>
    </row>
    <row r="320" spans="1:46" x14ac:dyDescent="0.2">
      <c r="A320" s="624">
        <v>21</v>
      </c>
      <c r="B320" s="261" t="str">
        <f t="shared" si="15"/>
        <v>Janek Kiisk, Margo Peebo</v>
      </c>
      <c r="C320" s="666">
        <v>38</v>
      </c>
      <c r="AQ320" s="262"/>
      <c r="AR320" s="262"/>
      <c r="AS320" s="262"/>
      <c r="AT320" s="262"/>
    </row>
    <row r="321" spans="1:46" x14ac:dyDescent="0.2">
      <c r="A321" s="624">
        <v>22</v>
      </c>
      <c r="B321" s="261" t="str">
        <f t="shared" si="15"/>
        <v>Külli Kariste, Marju Velga</v>
      </c>
      <c r="C321" s="666">
        <v>33</v>
      </c>
      <c r="AQ321" s="262"/>
      <c r="AR321" s="262"/>
      <c r="AS321" s="262"/>
      <c r="AT321" s="262"/>
    </row>
    <row r="322" spans="1:46" x14ac:dyDescent="0.2">
      <c r="A322" s="624">
        <v>23</v>
      </c>
      <c r="B322" s="261" t="str">
        <f t="shared" si="15"/>
        <v>Peep Peenema, Henri Mitt</v>
      </c>
      <c r="C322" s="666">
        <v>29</v>
      </c>
      <c r="AQ322" s="262"/>
      <c r="AR322" s="262"/>
      <c r="AS322" s="262"/>
      <c r="AT322" s="262"/>
    </row>
    <row r="323" spans="1:46" x14ac:dyDescent="0.2">
      <c r="A323" s="624">
        <v>24</v>
      </c>
      <c r="B323" s="261" t="str">
        <f t="shared" si="15"/>
        <v>Anti Alasi, Jelena Brakina</v>
      </c>
      <c r="C323" s="666">
        <v>24</v>
      </c>
      <c r="AQ323" s="262"/>
      <c r="AR323" s="262"/>
      <c r="AS323" s="262"/>
      <c r="AT323" s="262"/>
    </row>
    <row r="324" spans="1:46" hidden="1" x14ac:dyDescent="0.2">
      <c r="C324" s="666">
        <v>21</v>
      </c>
      <c r="AH324" s="672">
        <f t="shared" ref="AH324:AH333" si="16">SUM(AJ324:AP324)</f>
        <v>0</v>
      </c>
      <c r="AI324" s="674" t="str">
        <f t="shared" ref="AI324:AI333" si="17">IFERROR(LEFT($B324,(FIND(",",$B324,1)-1)),"")</f>
        <v/>
      </c>
      <c r="AJ324" s="675" t="str">
        <f>IFERROR(INDEX(Üldreiting!$M:$M,MATCH(AI324,Üldreiting!$H:$H,0)),"")</f>
        <v/>
      </c>
      <c r="AK324" s="674" t="str">
        <f t="shared" ref="AK324:AK333" si="18">IFERROR(MID($B324,FIND(", ",$B324)+2,256),"")</f>
        <v/>
      </c>
      <c r="AL324" s="675" t="str">
        <f>IFERROR(INDEX(Üldreiting!$M:$M,MATCH(AK324,Üldreiting!$H:$H,0)),"")</f>
        <v/>
      </c>
      <c r="AM324" s="676" t="str">
        <f t="shared" ref="AM324:AM333" si="19">IFERROR(MID($B324,FIND("^",SUBSTITUTE($B324,", ","^",1))+2,FIND("^",SUBSTITUTE($B324,", ","^",2))-FIND("^",SUBSTITUTE($B324,", ","^",1))-2),"")</f>
        <v/>
      </c>
      <c r="AN324" s="675" t="str">
        <f>IFERROR(INDEX(Üldreiting!$M:$M,MATCH(AM324,Üldreiting!$H:$H,0)),"")</f>
        <v/>
      </c>
      <c r="AO324" s="676" t="str">
        <f t="shared" ref="AO324:AO333" si="20">IFERROR(MID($B324,FIND(", ",$B324,FIND(", ",$B324,FIND(", ",$B324))+1)+2,30000),"")</f>
        <v/>
      </c>
      <c r="AP324" s="675" t="str">
        <f>IFERROR(INDEX(Üldreiting!$M:$M,MATCH(AO324,Üldreiting!$H:$H,0)),"")</f>
        <v/>
      </c>
      <c r="AQ324" s="262"/>
      <c r="AR324" s="262"/>
      <c r="AS324" s="262"/>
      <c r="AT324" s="262"/>
    </row>
    <row r="325" spans="1:46" hidden="1" x14ac:dyDescent="0.2">
      <c r="C325" s="666">
        <v>18</v>
      </c>
      <c r="AH325" s="672">
        <f t="shared" si="16"/>
        <v>0</v>
      </c>
      <c r="AI325" s="674" t="str">
        <f t="shared" si="17"/>
        <v/>
      </c>
      <c r="AJ325" s="675" t="str">
        <f>IFERROR(INDEX(Üldreiting!$M:$M,MATCH(AI325,Üldreiting!$H:$H,0)),"")</f>
        <v/>
      </c>
      <c r="AK325" s="674" t="str">
        <f t="shared" si="18"/>
        <v/>
      </c>
      <c r="AL325" s="675" t="str">
        <f>IFERROR(INDEX(Üldreiting!$M:$M,MATCH(AK325,Üldreiting!$H:$H,0)),"")</f>
        <v/>
      </c>
      <c r="AM325" s="676" t="str">
        <f t="shared" si="19"/>
        <v/>
      </c>
      <c r="AN325" s="675" t="str">
        <f>IFERROR(INDEX(Üldreiting!$M:$M,MATCH(AM325,Üldreiting!$H:$H,0)),"")</f>
        <v/>
      </c>
      <c r="AO325" s="676" t="str">
        <f t="shared" si="20"/>
        <v/>
      </c>
      <c r="AP325" s="675" t="str">
        <f>IFERROR(INDEX(Üldreiting!$M:$M,MATCH(AO325,Üldreiting!$H:$H,0)),"")</f>
        <v/>
      </c>
      <c r="AQ325" s="262"/>
      <c r="AR325" s="262"/>
      <c r="AS325" s="262"/>
      <c r="AT325" s="262"/>
    </row>
    <row r="326" spans="1:46" hidden="1" x14ac:dyDescent="0.2">
      <c r="C326" s="666">
        <v>16</v>
      </c>
      <c r="AH326" s="672">
        <f t="shared" si="16"/>
        <v>0</v>
      </c>
      <c r="AI326" s="674" t="str">
        <f t="shared" si="17"/>
        <v/>
      </c>
      <c r="AJ326" s="675" t="str">
        <f>IFERROR(INDEX(Üldreiting!$M:$M,MATCH(AI326,Üldreiting!$H:$H,0)),"")</f>
        <v/>
      </c>
      <c r="AK326" s="674" t="str">
        <f t="shared" si="18"/>
        <v/>
      </c>
      <c r="AL326" s="675" t="str">
        <f>IFERROR(INDEX(Üldreiting!$M:$M,MATCH(AK326,Üldreiting!$H:$H,0)),"")</f>
        <v/>
      </c>
      <c r="AM326" s="676" t="str">
        <f t="shared" si="19"/>
        <v/>
      </c>
      <c r="AN326" s="675" t="str">
        <f>IFERROR(INDEX(Üldreiting!$M:$M,MATCH(AM326,Üldreiting!$H:$H,0)),"")</f>
        <v/>
      </c>
      <c r="AO326" s="676" t="str">
        <f t="shared" si="20"/>
        <v/>
      </c>
      <c r="AP326" s="675" t="str">
        <f>IFERROR(INDEX(Üldreiting!$M:$M,MATCH(AO326,Üldreiting!$H:$H,0)),"")</f>
        <v/>
      </c>
      <c r="AQ326" s="262"/>
      <c r="AR326" s="262"/>
      <c r="AS326" s="262"/>
      <c r="AT326" s="262"/>
    </row>
    <row r="327" spans="1:46" hidden="1" x14ac:dyDescent="0.2">
      <c r="C327" s="666">
        <v>14</v>
      </c>
      <c r="AH327" s="672">
        <f t="shared" si="16"/>
        <v>0</v>
      </c>
      <c r="AI327" s="674" t="str">
        <f t="shared" si="17"/>
        <v/>
      </c>
      <c r="AJ327" s="675" t="str">
        <f>IFERROR(INDEX(Üldreiting!$M:$M,MATCH(AI327,Üldreiting!$H:$H,0)),"")</f>
        <v/>
      </c>
      <c r="AK327" s="674" t="str">
        <f t="shared" si="18"/>
        <v/>
      </c>
      <c r="AL327" s="675" t="str">
        <f>IFERROR(INDEX(Üldreiting!$M:$M,MATCH(AK327,Üldreiting!$H:$H,0)),"")</f>
        <v/>
      </c>
      <c r="AM327" s="676" t="str">
        <f t="shared" si="19"/>
        <v/>
      </c>
      <c r="AN327" s="675" t="str">
        <f>IFERROR(INDEX(Üldreiting!$M:$M,MATCH(AM327,Üldreiting!$H:$H,0)),"")</f>
        <v/>
      </c>
      <c r="AO327" s="676" t="str">
        <f t="shared" si="20"/>
        <v/>
      </c>
      <c r="AP327" s="675" t="str">
        <f>IFERROR(INDEX(Üldreiting!$M:$M,MATCH(AO327,Üldreiting!$H:$H,0)),"")</f>
        <v/>
      </c>
      <c r="AQ327" s="262"/>
      <c r="AR327" s="262"/>
      <c r="AS327" s="262"/>
      <c r="AT327" s="262"/>
    </row>
    <row r="328" spans="1:46" hidden="1" x14ac:dyDescent="0.2">
      <c r="C328" s="666">
        <v>12</v>
      </c>
      <c r="AH328" s="672">
        <f t="shared" si="16"/>
        <v>0</v>
      </c>
      <c r="AI328" s="674" t="str">
        <f t="shared" si="17"/>
        <v/>
      </c>
      <c r="AJ328" s="675" t="str">
        <f>IFERROR(INDEX(Üldreiting!$M:$M,MATCH(AI328,Üldreiting!$H:$H,0)),"")</f>
        <v/>
      </c>
      <c r="AK328" s="674" t="str">
        <f t="shared" si="18"/>
        <v/>
      </c>
      <c r="AL328" s="675" t="str">
        <f>IFERROR(INDEX(Üldreiting!$M:$M,MATCH(AK328,Üldreiting!$H:$H,0)),"")</f>
        <v/>
      </c>
      <c r="AM328" s="676" t="str">
        <f t="shared" si="19"/>
        <v/>
      </c>
      <c r="AN328" s="675" t="str">
        <f>IFERROR(INDEX(Üldreiting!$M:$M,MATCH(AM328,Üldreiting!$H:$H,0)),"")</f>
        <v/>
      </c>
      <c r="AO328" s="676" t="str">
        <f t="shared" si="20"/>
        <v/>
      </c>
      <c r="AP328" s="675" t="str">
        <f>IFERROR(INDEX(Üldreiting!$M:$M,MATCH(AO328,Üldreiting!$H:$H,0)),"")</f>
        <v/>
      </c>
    </row>
    <row r="329" spans="1:46" hidden="1" x14ac:dyDescent="0.2">
      <c r="C329" s="666">
        <v>10</v>
      </c>
      <c r="AH329" s="672">
        <f t="shared" si="16"/>
        <v>0</v>
      </c>
      <c r="AI329" s="674" t="str">
        <f t="shared" si="17"/>
        <v/>
      </c>
      <c r="AJ329" s="675" t="str">
        <f>IFERROR(INDEX(Üldreiting!$M:$M,MATCH(AI329,Üldreiting!$H:$H,0)),"")</f>
        <v/>
      </c>
      <c r="AK329" s="674" t="str">
        <f t="shared" si="18"/>
        <v/>
      </c>
      <c r="AL329" s="675" t="str">
        <f>IFERROR(INDEX(Üldreiting!$M:$M,MATCH(AK329,Üldreiting!$H:$H,0)),"")</f>
        <v/>
      </c>
      <c r="AM329" s="676" t="str">
        <f t="shared" si="19"/>
        <v/>
      </c>
      <c r="AN329" s="675" t="str">
        <f>IFERROR(INDEX(Üldreiting!$M:$M,MATCH(AM329,Üldreiting!$H:$H,0)),"")</f>
        <v/>
      </c>
      <c r="AO329" s="676" t="str">
        <f t="shared" si="20"/>
        <v/>
      </c>
      <c r="AP329" s="675" t="str">
        <f>IFERROR(INDEX(Üldreiting!$M:$M,MATCH(AO329,Üldreiting!$H:$H,0)),"")</f>
        <v/>
      </c>
    </row>
    <row r="330" spans="1:46" hidden="1" x14ac:dyDescent="0.2">
      <c r="C330" s="666">
        <v>8</v>
      </c>
      <c r="M330" s="69"/>
      <c r="S330" s="675" t="str">
        <f>IFERROR(INDEX([1]Üldreiting!$K:$K,MATCH(AM29,[1]Üldreiting!$L:$L,0)),"")</f>
        <v/>
      </c>
      <c r="T330" s="676" t="str">
        <f t="shared" ref="T330:T333" si="21">IFERROR(MID($B330,FIND(", ",$B330,FIND(", ",$B330,FIND(", ",$B330))+1)+2,30000),"")</f>
        <v/>
      </c>
      <c r="U330" s="675" t="str">
        <f>IFERROR(INDEX([1]Üldreiting!$K:$K,MATCH(T330,[1]Üldreiting!$L:$L,0)),"")</f>
        <v/>
      </c>
      <c r="AH330" s="672">
        <f t="shared" si="16"/>
        <v>0</v>
      </c>
      <c r="AI330" s="674" t="str">
        <f t="shared" si="17"/>
        <v/>
      </c>
      <c r="AJ330" s="675" t="str">
        <f>IFERROR(INDEX(Üldreiting!$M:$M,MATCH(AI330,Üldreiting!$H:$H,0)),"")</f>
        <v/>
      </c>
      <c r="AK330" s="674" t="str">
        <f t="shared" si="18"/>
        <v/>
      </c>
      <c r="AL330" s="675" t="str">
        <f>IFERROR(INDEX(Üldreiting!$M:$M,MATCH(AK330,Üldreiting!$H:$H,0)),"")</f>
        <v/>
      </c>
      <c r="AM330" s="676" t="str">
        <f t="shared" si="19"/>
        <v/>
      </c>
      <c r="AN330" s="675" t="str">
        <f>IFERROR(INDEX(Üldreiting!$M:$M,MATCH(AM330,Üldreiting!$H:$H,0)),"")</f>
        <v/>
      </c>
      <c r="AO330" s="676" t="str">
        <f t="shared" si="20"/>
        <v/>
      </c>
      <c r="AP330" s="675" t="str">
        <f>IFERROR(INDEX(Üldreiting!$M:$M,MATCH(AO330,Üldreiting!$H:$H,0)),"")</f>
        <v/>
      </c>
    </row>
    <row r="331" spans="1:46" hidden="1" x14ac:dyDescent="0.2">
      <c r="C331" s="666">
        <v>6</v>
      </c>
      <c r="M331" s="69"/>
      <c r="S331" s="673"/>
      <c r="T331" s="673"/>
      <c r="U331" s="673"/>
      <c r="AH331" s="672">
        <f t="shared" si="16"/>
        <v>0</v>
      </c>
      <c r="AI331" s="674" t="str">
        <f t="shared" si="17"/>
        <v/>
      </c>
      <c r="AJ331" s="675" t="str">
        <f>IFERROR(INDEX(Üldreiting!$M:$M,MATCH(AI331,Üldreiting!$H:$H,0)),"")</f>
        <v/>
      </c>
      <c r="AK331" s="674" t="str">
        <f t="shared" si="18"/>
        <v/>
      </c>
      <c r="AL331" s="675" t="str">
        <f>IFERROR(INDEX(Üldreiting!$M:$M,MATCH(AK331,Üldreiting!$H:$H,0)),"")</f>
        <v/>
      </c>
      <c r="AM331" s="676" t="str">
        <f t="shared" si="19"/>
        <v/>
      </c>
      <c r="AN331" s="675" t="str">
        <f>IFERROR(INDEX(Üldreiting!$M:$M,MATCH(AM331,Üldreiting!$H:$H,0)),"")</f>
        <v/>
      </c>
      <c r="AO331" s="676" t="str">
        <f t="shared" si="20"/>
        <v/>
      </c>
      <c r="AP331" s="675" t="str">
        <f>IFERROR(INDEX(Üldreiting!$M:$M,MATCH(AO331,Üldreiting!$H:$H,0)),"")</f>
        <v/>
      </c>
    </row>
    <row r="332" spans="1:46" hidden="1" x14ac:dyDescent="0.2">
      <c r="C332" s="666">
        <v>3</v>
      </c>
      <c r="M332" s="69"/>
      <c r="S332" s="673"/>
      <c r="T332" s="673"/>
      <c r="U332" s="673"/>
      <c r="AH332" s="672">
        <f t="shared" si="16"/>
        <v>0</v>
      </c>
      <c r="AI332" s="674" t="str">
        <f t="shared" si="17"/>
        <v/>
      </c>
      <c r="AJ332" s="675" t="str">
        <f>IFERROR(INDEX(Üldreiting!$M:$M,MATCH(AI332,Üldreiting!$H:$H,0)),"")</f>
        <v/>
      </c>
      <c r="AK332" s="674" t="str">
        <f t="shared" si="18"/>
        <v/>
      </c>
      <c r="AL332" s="675" t="str">
        <f>IFERROR(INDEX(Üldreiting!$M:$M,MATCH(AK332,Üldreiting!$H:$H,0)),"")</f>
        <v/>
      </c>
      <c r="AM332" s="676" t="str">
        <f t="shared" si="19"/>
        <v/>
      </c>
      <c r="AN332" s="675" t="str">
        <f>IFERROR(INDEX(Üldreiting!$M:$M,MATCH(AM332,Üldreiting!$H:$H,0)),"")</f>
        <v/>
      </c>
      <c r="AO332" s="676" t="str">
        <f t="shared" si="20"/>
        <v/>
      </c>
      <c r="AP332" s="675" t="str">
        <f>IFERROR(INDEX(Üldreiting!$M:$M,MATCH(AO332,Üldreiting!$H:$H,0)),"")</f>
        <v/>
      </c>
    </row>
    <row r="333" spans="1:46" hidden="1" x14ac:dyDescent="0.2">
      <c r="C333" s="666">
        <v>0</v>
      </c>
      <c r="M333" s="69"/>
      <c r="S333" s="675" t="str">
        <f>IFERROR(INDEX([1]Üldreiting!$K:$K,MATCH(AM30,[1]Üldreiting!$L:$L,0)),"")</f>
        <v/>
      </c>
      <c r="T333" s="676" t="str">
        <f t="shared" si="21"/>
        <v/>
      </c>
      <c r="U333" s="675" t="str">
        <f>IFERROR(INDEX([1]Üldreiting!$K:$K,MATCH(T333,[1]Üldreiting!$L:$L,0)),"")</f>
        <v/>
      </c>
      <c r="AH333" s="672">
        <f t="shared" si="16"/>
        <v>0</v>
      </c>
      <c r="AI333" s="674" t="str">
        <f t="shared" si="17"/>
        <v/>
      </c>
      <c r="AJ333" s="675" t="str">
        <f>IFERROR(INDEX(Üldreiting!$M:$M,MATCH(AI333,Üldreiting!$H:$H,0)),"")</f>
        <v/>
      </c>
      <c r="AK333" s="674" t="str">
        <f t="shared" si="18"/>
        <v/>
      </c>
      <c r="AL333" s="675" t="str">
        <f>IFERROR(INDEX(Üldreiting!$M:$M,MATCH(AK333,Üldreiting!$H:$H,0)),"")</f>
        <v/>
      </c>
      <c r="AM333" s="676" t="str">
        <f t="shared" si="19"/>
        <v/>
      </c>
      <c r="AN333" s="675" t="str">
        <f>IFERROR(INDEX(Üldreiting!$M:$M,MATCH(AM333,Üldreiting!$H:$H,0)),"")</f>
        <v/>
      </c>
      <c r="AO333" s="676" t="str">
        <f t="shared" si="20"/>
        <v/>
      </c>
      <c r="AP333" s="675" t="str">
        <f>IFERROR(INDEX(Üldreiting!$M:$M,MATCH(AO333,Üldreiting!$H:$H,0)),"")</f>
        <v/>
      </c>
    </row>
    <row r="334" spans="1:46" x14ac:dyDescent="0.2">
      <c r="M334" s="238"/>
      <c r="N334" s="238"/>
      <c r="O334" s="238"/>
      <c r="P334" s="238"/>
      <c r="Q334" s="238"/>
      <c r="R334" s="238"/>
      <c r="S334" s="238"/>
      <c r="T334" s="238"/>
      <c r="U334" s="238"/>
    </row>
  </sheetData>
  <conditionalFormatting sqref="A300:A323">
    <cfRule type="duplicateValues" dxfId="1351" priority="112"/>
  </conditionalFormatting>
  <conditionalFormatting sqref="B300:B323">
    <cfRule type="duplicateValues" dxfId="1350" priority="89"/>
  </conditionalFormatting>
  <conditionalFormatting sqref="C7:F30">
    <cfRule type="expression" dxfId="1349" priority="110">
      <formula>IF($C7&gt;$E7,TRUE)</formula>
    </cfRule>
    <cfRule type="expression" dxfId="1348" priority="111">
      <formula>IF($C7&lt;$E7,TRUE)</formula>
    </cfRule>
  </conditionalFormatting>
  <conditionalFormatting sqref="C7:C30">
    <cfRule type="expression" dxfId="1347" priority="109">
      <formula>IF($C7&gt;$E7,TRUE)</formula>
    </cfRule>
  </conditionalFormatting>
  <conditionalFormatting sqref="E7:E30">
    <cfRule type="expression" dxfId="1346" priority="108">
      <formula>IF($C7&lt;$E7,TRUE)</formula>
    </cfRule>
  </conditionalFormatting>
  <conditionalFormatting sqref="G7:J30">
    <cfRule type="expression" dxfId="1345" priority="106">
      <formula>IF($G7&gt;$I7,TRUE)</formula>
    </cfRule>
    <cfRule type="expression" dxfId="1344" priority="107">
      <formula>IF($G7&lt;$I7,TRUE)</formula>
    </cfRule>
  </conditionalFormatting>
  <conditionalFormatting sqref="G7:G30">
    <cfRule type="expression" dxfId="1343" priority="105">
      <formula>IF($G7&gt;$I7,TRUE)</formula>
    </cfRule>
  </conditionalFormatting>
  <conditionalFormatting sqref="I7:I30">
    <cfRule type="expression" dxfId="1342" priority="104">
      <formula>IF($G7&lt;$I7,TRUE)</formula>
    </cfRule>
  </conditionalFormatting>
  <conditionalFormatting sqref="K7:N30">
    <cfRule type="expression" dxfId="1341" priority="102">
      <formula>IF($K7&gt;$M7,TRUE)</formula>
    </cfRule>
    <cfRule type="expression" dxfId="1340" priority="103">
      <formula>IF($K7&lt;$M7,TRUE)</formula>
    </cfRule>
  </conditionalFormatting>
  <conditionalFormatting sqref="K7:K30">
    <cfRule type="expression" dxfId="1339" priority="101">
      <formula>IF($K7&gt;$M7,TRUE)</formula>
    </cfRule>
  </conditionalFormatting>
  <conditionalFormatting sqref="M7:M30">
    <cfRule type="expression" dxfId="1338" priority="100">
      <formula>IF($K7&lt;$M7,TRUE)</formula>
    </cfRule>
  </conditionalFormatting>
  <conditionalFormatting sqref="O7:R30">
    <cfRule type="expression" dxfId="1337" priority="98">
      <formula>IF($O7&gt;$Q7,TRUE)</formula>
    </cfRule>
    <cfRule type="expression" dxfId="1336" priority="99">
      <formula>IF($O7&lt;$Q7,TRUE)</formula>
    </cfRule>
  </conditionalFormatting>
  <conditionalFormatting sqref="O7:O30">
    <cfRule type="expression" dxfId="1335" priority="97">
      <formula>IF($O7&gt;$Q7,TRUE)</formula>
    </cfRule>
  </conditionalFormatting>
  <conditionalFormatting sqref="Q7:Q30">
    <cfRule type="expression" dxfId="1334" priority="96">
      <formula>IF($O7&lt;$Q7,TRUE)</formula>
    </cfRule>
  </conditionalFormatting>
  <conditionalFormatting sqref="S7:Z30">
    <cfRule type="expression" dxfId="1333" priority="94">
      <formula>IF($S7&gt;$U7,TRUE)</formula>
    </cfRule>
    <cfRule type="expression" dxfId="1332" priority="95">
      <formula>IF($S7&lt;$U7,TRUE)</formula>
    </cfRule>
  </conditionalFormatting>
  <conditionalFormatting sqref="S7:S30 W7:W30">
    <cfRule type="expression" dxfId="1331" priority="93">
      <formula>IF($S7&gt;$U7,TRUE)</formula>
    </cfRule>
  </conditionalFormatting>
  <conditionalFormatting sqref="U7:U30 Y7:Y30">
    <cfRule type="expression" dxfId="1330" priority="92">
      <formula>IF($S7&lt;$U7,TRUE)</formula>
    </cfRule>
  </conditionalFormatting>
  <conditionalFormatting sqref="A102:A116">
    <cfRule type="cellIs" dxfId="1329" priority="90" operator="equal">
      <formula>"-"</formula>
    </cfRule>
    <cfRule type="duplicateValues" dxfId="1328" priority="91"/>
  </conditionalFormatting>
  <conditionalFormatting sqref="K131 K133">
    <cfRule type="containsBlanks" dxfId="1327" priority="87">
      <formula>LEN(TRIM(K131))=0</formula>
    </cfRule>
    <cfRule type="aboveAverage" dxfId="1326" priority="88"/>
  </conditionalFormatting>
  <conditionalFormatting sqref="G123 G125">
    <cfRule type="containsBlanks" dxfId="1325" priority="85">
      <formula>LEN(TRIM(G123))=0</formula>
    </cfRule>
    <cfRule type="aboveAverage" dxfId="1324" priority="86"/>
  </conditionalFormatting>
  <conditionalFormatting sqref="K117 K119">
    <cfRule type="aboveAverage" dxfId="1323" priority="84"/>
  </conditionalFormatting>
  <conditionalFormatting sqref="K117 K119">
    <cfRule type="containsBlanks" dxfId="1322" priority="83">
      <formula>LEN(TRIM(K117))=0</formula>
    </cfRule>
  </conditionalFormatting>
  <conditionalFormatting sqref="G103 G107">
    <cfRule type="containsBlanks" dxfId="1321" priority="81">
      <formula>LEN(TRIM(G103))=0</formula>
    </cfRule>
    <cfRule type="aboveAverage" dxfId="1320" priority="82"/>
  </conditionalFormatting>
  <conditionalFormatting sqref="G111 G115">
    <cfRule type="containsBlanks" dxfId="1319" priority="79">
      <formula>LEN(TRIM(G111))=0</formula>
    </cfRule>
    <cfRule type="aboveAverage" dxfId="1318" priority="80"/>
  </conditionalFormatting>
  <conditionalFormatting sqref="K105 K113">
    <cfRule type="containsBlanks" dxfId="1317" priority="75">
      <formula>LEN(TRIM(K105))=0</formula>
    </cfRule>
    <cfRule type="aboveAverage" dxfId="1316" priority="78"/>
  </conditionalFormatting>
  <conditionalFormatting sqref="A140:A154">
    <cfRule type="cellIs" dxfId="1315" priority="76" operator="equal">
      <formula>"-"</formula>
    </cfRule>
    <cfRule type="duplicateValues" dxfId="1314" priority="77"/>
  </conditionalFormatting>
  <conditionalFormatting sqref="G127 G129">
    <cfRule type="containsBlanks" dxfId="1313" priority="73">
      <formula>LEN(TRIM(G127))=0</formula>
    </cfRule>
    <cfRule type="aboveAverage" dxfId="1312" priority="74"/>
  </conditionalFormatting>
  <conditionalFormatting sqref="C114 C116">
    <cfRule type="containsBlanks" dxfId="1311" priority="63">
      <formula>LEN(TRIM(C114))=0</formula>
    </cfRule>
    <cfRule type="aboveAverage" dxfId="1310" priority="64"/>
  </conditionalFormatting>
  <conditionalFormatting sqref="C110 C112">
    <cfRule type="containsBlanks" dxfId="1309" priority="65">
      <formula>LEN(TRIM(C110))=0</formula>
    </cfRule>
    <cfRule type="aboveAverage" dxfId="1308" priority="66"/>
  </conditionalFormatting>
  <conditionalFormatting sqref="C106 C108">
    <cfRule type="containsBlanks" dxfId="1307" priority="67">
      <formula>LEN(TRIM(C106))=0</formula>
    </cfRule>
    <cfRule type="aboveAverage" dxfId="1306" priority="68"/>
  </conditionalFormatting>
  <conditionalFormatting sqref="C102 C104">
    <cfRule type="containsBlanks" dxfId="1305" priority="69">
      <formula>LEN(TRIM(C102))=0</formula>
    </cfRule>
    <cfRule type="aboveAverage" dxfId="1304" priority="70"/>
  </conditionalFormatting>
  <conditionalFormatting sqref="K124 K128">
    <cfRule type="containsBlanks" dxfId="1303" priority="71">
      <formula>LEN(TRIM(K124))=0</formula>
    </cfRule>
    <cfRule type="aboveAverage" dxfId="1302" priority="72"/>
  </conditionalFormatting>
  <conditionalFormatting sqref="K169 K171">
    <cfRule type="containsBlanks" dxfId="1301" priority="61">
      <formula>LEN(TRIM(K169))=0</formula>
    </cfRule>
    <cfRule type="aboveAverage" dxfId="1300" priority="62"/>
  </conditionalFormatting>
  <conditionalFormatting sqref="G161 G163">
    <cfRule type="containsBlanks" dxfId="1299" priority="59">
      <formula>LEN(TRIM(G161))=0</formula>
    </cfRule>
    <cfRule type="aboveAverage" dxfId="1298" priority="60"/>
  </conditionalFormatting>
  <conditionalFormatting sqref="K155 K157">
    <cfRule type="aboveAverage" dxfId="1297" priority="58"/>
  </conditionalFormatting>
  <conditionalFormatting sqref="K155 K157">
    <cfRule type="containsBlanks" dxfId="1296" priority="57">
      <formula>LEN(TRIM(K155))=0</formula>
    </cfRule>
  </conditionalFormatting>
  <conditionalFormatting sqref="G141 G145">
    <cfRule type="containsBlanks" dxfId="1295" priority="55">
      <formula>LEN(TRIM(G141))=0</formula>
    </cfRule>
    <cfRule type="aboveAverage" dxfId="1294" priority="56"/>
  </conditionalFormatting>
  <conditionalFormatting sqref="G149 G153">
    <cfRule type="containsBlanks" dxfId="1293" priority="53">
      <formula>LEN(TRIM(G149))=0</formula>
    </cfRule>
    <cfRule type="aboveAverage" dxfId="1292" priority="54"/>
  </conditionalFormatting>
  <conditionalFormatting sqref="K143 K151">
    <cfRule type="containsBlanks" dxfId="1291" priority="51">
      <formula>LEN(TRIM(K143))=0</formula>
    </cfRule>
    <cfRule type="aboveAverage" dxfId="1290" priority="52"/>
  </conditionalFormatting>
  <conditionalFormatting sqref="G165 G167">
    <cfRule type="containsBlanks" dxfId="1289" priority="49">
      <formula>LEN(TRIM(G165))=0</formula>
    </cfRule>
    <cfRule type="aboveAverage" dxfId="1288" priority="50"/>
  </conditionalFormatting>
  <conditionalFormatting sqref="C152 C154">
    <cfRule type="containsBlanks" dxfId="1287" priority="39">
      <formula>LEN(TRIM(C152))=0</formula>
    </cfRule>
    <cfRule type="aboveAverage" dxfId="1286" priority="40"/>
  </conditionalFormatting>
  <conditionalFormatting sqref="C148 C150">
    <cfRule type="containsBlanks" dxfId="1285" priority="41">
      <formula>LEN(TRIM(C148))=0</formula>
    </cfRule>
    <cfRule type="aboveAverage" dxfId="1284" priority="42"/>
  </conditionalFormatting>
  <conditionalFormatting sqref="C144 C146">
    <cfRule type="containsBlanks" dxfId="1283" priority="43">
      <formula>LEN(TRIM(C144))=0</formula>
    </cfRule>
    <cfRule type="aboveAverage" dxfId="1282" priority="44"/>
  </conditionalFormatting>
  <conditionalFormatting sqref="C140 C142">
    <cfRule type="containsBlanks" dxfId="1281" priority="45">
      <formula>LEN(TRIM(C140))=0</formula>
    </cfRule>
    <cfRule type="aboveAverage" dxfId="1280" priority="46"/>
  </conditionalFormatting>
  <conditionalFormatting sqref="K162 K166">
    <cfRule type="containsBlanks" dxfId="1279" priority="47">
      <formula>LEN(TRIM(K162))=0</formula>
    </cfRule>
    <cfRule type="aboveAverage" dxfId="1278" priority="48"/>
  </conditionalFormatting>
  <conditionalFormatting sqref="B300">
    <cfRule type="expression" dxfId="1277" priority="36">
      <formula>$A$300=1</formula>
    </cfRule>
  </conditionalFormatting>
  <conditionalFormatting sqref="B301">
    <cfRule type="expression" dxfId="1276" priority="35">
      <formula>$A$301=2</formula>
    </cfRule>
  </conditionalFormatting>
  <conditionalFormatting sqref="B302">
    <cfRule type="expression" dxfId="1275" priority="34">
      <formula>$A$302=3</formula>
    </cfRule>
  </conditionalFormatting>
  <conditionalFormatting sqref="T330 T333 AO324:AO333 AO7:AO30 AM324:AM333 AM7:AM30 AI324:AI333 AI7:AI30">
    <cfRule type="expression" dxfId="1274" priority="33">
      <formula>AND(U7="",COUNTIF(T7,"*,*")=0)</formula>
    </cfRule>
  </conditionalFormatting>
  <conditionalFormatting sqref="A178:A192">
    <cfRule type="cellIs" dxfId="1273" priority="29" operator="equal">
      <formula>"-"</formula>
    </cfRule>
    <cfRule type="duplicateValues" dxfId="1272" priority="30"/>
  </conditionalFormatting>
  <conditionalFormatting sqref="K207 K209">
    <cfRule type="containsBlanks" dxfId="1271" priority="27">
      <formula>LEN(TRIM(K207))=0</formula>
    </cfRule>
    <cfRule type="aboveAverage" dxfId="1270" priority="28"/>
  </conditionalFormatting>
  <conditionalFormatting sqref="G199 G201">
    <cfRule type="containsBlanks" dxfId="1269" priority="25">
      <formula>LEN(TRIM(G199))=0</formula>
    </cfRule>
    <cfRule type="aboveAverage" dxfId="1268" priority="26"/>
  </conditionalFormatting>
  <conditionalFormatting sqref="K193 K195">
    <cfRule type="aboveAverage" dxfId="1267" priority="24"/>
  </conditionalFormatting>
  <conditionalFormatting sqref="K193 K195">
    <cfRule type="containsBlanks" dxfId="1266" priority="23">
      <formula>LEN(TRIM(K193))=0</formula>
    </cfRule>
  </conditionalFormatting>
  <conditionalFormatting sqref="G179 G183">
    <cfRule type="containsBlanks" dxfId="1265" priority="21">
      <formula>LEN(TRIM(G179))=0</formula>
    </cfRule>
    <cfRule type="aboveAverage" dxfId="1264" priority="22"/>
  </conditionalFormatting>
  <conditionalFormatting sqref="G187 G191">
    <cfRule type="containsBlanks" dxfId="1263" priority="19">
      <formula>LEN(TRIM(G187))=0</formula>
    </cfRule>
    <cfRule type="aboveAverage" dxfId="1262" priority="20"/>
  </conditionalFormatting>
  <conditionalFormatting sqref="K181 K189">
    <cfRule type="containsBlanks" dxfId="1261" priority="17">
      <formula>LEN(TRIM(K181))=0</formula>
    </cfRule>
    <cfRule type="aboveAverage" dxfId="1260" priority="18"/>
  </conditionalFormatting>
  <conditionalFormatting sqref="G203 G205">
    <cfRule type="containsBlanks" dxfId="1259" priority="15">
      <formula>LEN(TRIM(G203))=0</formula>
    </cfRule>
    <cfRule type="aboveAverage" dxfId="1258" priority="16"/>
  </conditionalFormatting>
  <conditionalFormatting sqref="C190 C192">
    <cfRule type="containsBlanks" dxfId="1257" priority="5">
      <formula>LEN(TRIM(C190))=0</formula>
    </cfRule>
    <cfRule type="aboveAverage" dxfId="1256" priority="6"/>
  </conditionalFormatting>
  <conditionalFormatting sqref="C186 C188">
    <cfRule type="containsBlanks" dxfId="1255" priority="7">
      <formula>LEN(TRIM(C186))=0</formula>
    </cfRule>
    <cfRule type="aboveAverage" dxfId="1254" priority="8"/>
  </conditionalFormatting>
  <conditionalFormatting sqref="C182 C184">
    <cfRule type="containsBlanks" dxfId="1253" priority="9">
      <formula>LEN(TRIM(C182))=0</formula>
    </cfRule>
    <cfRule type="aboveAverage" dxfId="1252" priority="10"/>
  </conditionalFormatting>
  <conditionalFormatting sqref="C178 C180">
    <cfRule type="containsBlanks" dxfId="1251" priority="11">
      <formula>LEN(TRIM(C178))=0</formula>
    </cfRule>
    <cfRule type="aboveAverage" dxfId="1250" priority="12"/>
  </conditionalFormatting>
  <conditionalFormatting sqref="K200 K204">
    <cfRule type="containsBlanks" dxfId="1249" priority="13">
      <formula>LEN(TRIM(K200))=0</formula>
    </cfRule>
    <cfRule type="aboveAverage" dxfId="1248" priority="14"/>
  </conditionalFormatting>
  <conditionalFormatting sqref="AK324:AK333 AK7:AK30">
    <cfRule type="expression" dxfId="1247" priority="2">
      <formula>AND(AL7="",FIND(",",AK7))</formula>
    </cfRule>
    <cfRule type="expression" dxfId="1246" priority="3">
      <formula>AND(AL7="",COUNTIF(AK7,"*,*")=0)</formula>
    </cfRule>
  </conditionalFormatting>
  <conditionalFormatting sqref="C7:Z30">
    <cfRule type="containsText" dxfId="1245" priority="1" operator="containsText" text="vaba voor">
      <formula>NOT(ISERROR(SEARCH("vaba voor",C7)))</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6" max="16383" man="1"/>
    <brk id="1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N1" sqref="N1"/>
    </sheetView>
  </sheetViews>
  <sheetFormatPr defaultRowHeight="12.75" x14ac:dyDescent="0.2"/>
  <cols>
    <col min="1" max="1" width="5.5703125" style="69" customWidth="1"/>
    <col min="2" max="2" width="44.7109375"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3.5703125" style="69" hidden="1" customWidth="1"/>
    <col min="36" max="36" width="6" style="69" hidden="1" customWidth="1"/>
    <col min="37" max="37" width="17.28515625" style="69" hidden="1" customWidth="1"/>
    <col min="38" max="38" width="6" style="69" hidden="1" customWidth="1"/>
    <col min="39" max="39" width="15.5703125" style="69" hidden="1" customWidth="1"/>
    <col min="40" max="40" width="6" style="69" hidden="1" customWidth="1"/>
    <col min="41" max="41" width="17.28515625" style="69" hidden="1" customWidth="1"/>
    <col min="42" max="42" width="6" style="69" hidden="1" customWidth="1"/>
    <col min="43" max="43" width="13.85546875" style="69" hidden="1" customWidth="1"/>
    <col min="44" max="44" width="6" style="69" hidden="1" customWidth="1"/>
    <col min="45" max="16384" width="9.140625" style="69"/>
  </cols>
  <sheetData>
    <row r="1" spans="1:44" x14ac:dyDescent="0.2">
      <c r="A1" s="605" t="str">
        <f>UPPER((Kalend!E20)&amp;" - "&amp;(Kalend!C20)&amp;" - "&amp;(Kalend!D20))</f>
        <v>6 - 13. EESTI MV - SEGATRIO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4" x14ac:dyDescent="0.2">
      <c r="A2" s="67" t="str">
        <f>"Toimumisaeg: "&amp;(Kalend!A20)&amp;" kell "&amp;(Kalend!B20)</f>
        <v>Toimumisaeg: L, 21.07.2018 kell 10:00</v>
      </c>
      <c r="AC2" s="264"/>
    </row>
    <row r="3" spans="1:44" x14ac:dyDescent="0.2">
      <c r="A3" s="67" t="str">
        <f>"Toimumiskoht: "&amp;(Kalend!H20)</f>
        <v>Toimumiskoht: Tallinn, Rummu tee 3</v>
      </c>
      <c r="I3" s="262"/>
      <c r="J3" s="132"/>
      <c r="K3" s="130"/>
      <c r="L3" s="610"/>
      <c r="AH3" s="681" t="s">
        <v>771</v>
      </c>
    </row>
    <row r="4" spans="1:44" x14ac:dyDescent="0.2">
      <c r="A4" s="67" t="str">
        <f>"Korraldaja: "&amp;(Kalend!I20)</f>
        <v>Korraldaja: SK Maestro Petanque</v>
      </c>
      <c r="I4" s="262"/>
      <c r="J4" s="611"/>
      <c r="L4" s="612"/>
      <c r="AH4" s="667" t="s">
        <v>190</v>
      </c>
      <c r="AI4" s="625"/>
      <c r="AJ4" s="625"/>
      <c r="AK4" s="625"/>
      <c r="AL4" s="625"/>
      <c r="AM4" s="625"/>
      <c r="AN4" s="625"/>
      <c r="AO4" s="625"/>
      <c r="AP4" s="625"/>
      <c r="AQ4" s="625"/>
      <c r="AR4" s="625"/>
    </row>
    <row r="5" spans="1:44" x14ac:dyDescent="0.2">
      <c r="A5" s="67"/>
      <c r="J5" s="132"/>
      <c r="K5" s="130"/>
      <c r="L5" s="610"/>
      <c r="AH5" s="667" t="s">
        <v>764</v>
      </c>
      <c r="AI5" s="670" t="s">
        <v>765</v>
      </c>
      <c r="AJ5" s="670"/>
      <c r="AK5" s="670" t="s">
        <v>767</v>
      </c>
      <c r="AL5" s="670"/>
      <c r="AM5" s="670" t="s">
        <v>768</v>
      </c>
      <c r="AN5" s="672"/>
      <c r="AO5" s="672" t="s">
        <v>772</v>
      </c>
      <c r="AP5" s="672"/>
      <c r="AQ5" s="672" t="s">
        <v>773</v>
      </c>
      <c r="AR5" s="682"/>
    </row>
    <row r="6" spans="1:44"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25"/>
      <c r="AJ6" s="625"/>
      <c r="AK6" s="673"/>
      <c r="AL6" s="673"/>
      <c r="AM6" s="673"/>
      <c r="AN6" s="673"/>
      <c r="AO6" s="673"/>
      <c r="AP6" s="673"/>
      <c r="AQ6" s="673"/>
      <c r="AR6" s="673"/>
    </row>
    <row r="7" spans="1:44" x14ac:dyDescent="0.2">
      <c r="A7" s="616">
        <v>1</v>
      </c>
      <c r="B7" s="22" t="s">
        <v>826</v>
      </c>
      <c r="C7" s="618">
        <v>13</v>
      </c>
      <c r="D7" s="619" t="s">
        <v>615</v>
      </c>
      <c r="E7" s="620">
        <v>12</v>
      </c>
      <c r="F7" s="621" t="str">
        <f>B15</f>
        <v>Janek Kiisk, Marge Mägi, Margo Peebo</v>
      </c>
      <c r="G7" s="618">
        <v>11</v>
      </c>
      <c r="H7" s="619" t="s">
        <v>615</v>
      </c>
      <c r="I7" s="620">
        <v>8</v>
      </c>
      <c r="J7" s="621" t="str">
        <f>B11</f>
        <v>Kadri Veljend, Marina Vallik, Uku Kollom</v>
      </c>
      <c r="K7" s="618">
        <v>8</v>
      </c>
      <c r="L7" s="619" t="s">
        <v>615</v>
      </c>
      <c r="M7" s="620">
        <v>4</v>
      </c>
      <c r="N7" s="621" t="str">
        <f>B8</f>
        <v>Katri Aavekukk, Margus Berkmann, Veiko Proos</v>
      </c>
      <c r="O7" s="618">
        <v>7</v>
      </c>
      <c r="P7" s="619" t="s">
        <v>615</v>
      </c>
      <c r="Q7" s="620">
        <v>6</v>
      </c>
      <c r="R7" s="621" t="str">
        <f>B9</f>
        <v>Andero Kelu, Merike Aava, Urmo Auväärt</v>
      </c>
      <c r="S7" s="618"/>
      <c r="T7" s="619" t="s">
        <v>615</v>
      </c>
      <c r="U7" s="620"/>
      <c r="V7" s="621"/>
      <c r="W7" s="618"/>
      <c r="X7" s="619" t="s">
        <v>615</v>
      </c>
      <c r="Y7" s="620"/>
      <c r="Z7" s="621"/>
      <c r="AA7" s="622">
        <f t="shared" ref="AA7:AA17" si="0">2*(IF(C7&gt;E7,1)+IF(G7&gt;I7,1)+IF(K7&gt;M7,1)+IF(O7&gt;Q7,1)+IF(S7&gt;U7,1)+IF(W7&gt;Y7,1))</f>
        <v>8</v>
      </c>
      <c r="AB7" s="626">
        <v>18</v>
      </c>
      <c r="AC7" s="629">
        <f t="shared" ref="AC7:AC17" si="1">C7+G7+K7+O7+S7+W7</f>
        <v>39</v>
      </c>
      <c r="AD7" s="630" t="s">
        <v>615</v>
      </c>
      <c r="AE7" s="631">
        <f t="shared" ref="AE7:AE17" si="2">E7+I7+M7+Q7+U7+Y7</f>
        <v>30</v>
      </c>
      <c r="AF7" s="804">
        <f t="shared" ref="AF7:AF17" si="3">AC7-AE7</f>
        <v>9</v>
      </c>
      <c r="AH7" s="672">
        <f ca="1">SUM(AJ7:AR7)</f>
        <v>2430</v>
      </c>
      <c r="AI7" s="676" t="str">
        <f t="shared" ref="AI7:AI17" si="4">IFERROR(LEFT($B300,(FIND(",",$B300,1)-1)),"")</f>
        <v>Katri Aavekukk</v>
      </c>
      <c r="AJ7" s="675">
        <f ca="1">IFERROR(INDEX(Üldreiting!$M:$M,MATCH(AI7,Üldreiting!$H:$H,0)),"")</f>
        <v>1079</v>
      </c>
      <c r="AK7" s="676" t="str">
        <f t="shared" ref="AK7:AK17" si="5">IFERROR(MID($B300,FIND("^",SUBSTITUTE($B300,", ","^",1))+2,FIND("^",SUBSTITUTE($B300,", ","^",2))-FIND("^",SUBSTITUTE($B300,", ","^",1))-2),"")</f>
        <v>Margus Berkmann</v>
      </c>
      <c r="AL7" s="675">
        <f ca="1">IFERROR(INDEX(Üldreiting!$M:$M,MATCH(AK7,Üldreiting!$H:$H,0)),"")</f>
        <v>796.5</v>
      </c>
      <c r="AM7" s="676" t="str">
        <f t="shared" ref="AM7:AM17" si="6">IFERROR(MID($B300,FIND(", ",$B300,FIND(", ",$B300,FIND(", ",$B300))+1)+2,30000),"")</f>
        <v>Veiko Proos</v>
      </c>
      <c r="AN7" s="675">
        <f ca="1">IFERROR(INDEX(Üldreiting!$M:$M,MATCH(AM7,Üldreiting!$H:$H,0)),"")</f>
        <v>554.5</v>
      </c>
      <c r="AO7" s="674" t="str">
        <f t="shared" ref="AO7:AO17" si="7">IFERROR(MID($B300,FIND(", ",$B300,FIND(", ",$B300)+1)+2,FIND(", ",$B300,FIND(", ",$B300,FIND(", ",$B300)+1)+1)-FIND(", ",$B300,FIND(", ",$B300)+1)-2),"")</f>
        <v/>
      </c>
      <c r="AP7" s="675" t="str">
        <f>IFERROR(INDEX(Üldreiting!$M:$M,MATCH(AO7,Üldreiting!$H:$H,0)),"")</f>
        <v/>
      </c>
      <c r="AQ7" s="676" t="str">
        <f t="shared" ref="AQ7:AQ17" si="8">IFERROR(MID($B300,FIND(", ",$B300,FIND(", ",$B300,FIND(", ",$B300)+1)+1)+2,30000),"")</f>
        <v/>
      </c>
      <c r="AR7" s="675" t="str">
        <f>IFERROR(INDEX(Üldreiting!$M:$M,MATCH(AQ7,Üldreiting!$H:$H,0)),"")</f>
        <v/>
      </c>
    </row>
    <row r="8" spans="1:44" x14ac:dyDescent="0.2">
      <c r="A8" s="616">
        <v>2</v>
      </c>
      <c r="B8" s="22" t="s">
        <v>827</v>
      </c>
      <c r="C8" s="618">
        <v>13</v>
      </c>
      <c r="D8" s="619" t="s">
        <v>615</v>
      </c>
      <c r="E8" s="620">
        <v>5</v>
      </c>
      <c r="F8" s="621" t="str">
        <f>B16</f>
        <v>Aivar Sein, Maris Rõõm, Ruudi Väärtnõu</v>
      </c>
      <c r="G8" s="618">
        <v>13</v>
      </c>
      <c r="H8" s="619" t="s">
        <v>615</v>
      </c>
      <c r="I8" s="620">
        <v>1</v>
      </c>
      <c r="J8" s="621" t="str">
        <f>B10</f>
        <v>Aigi Orro, Elmo Lageda, Kalle Orro</v>
      </c>
      <c r="K8" s="618">
        <v>4</v>
      </c>
      <c r="L8" s="619" t="s">
        <v>615</v>
      </c>
      <c r="M8" s="620">
        <v>8</v>
      </c>
      <c r="N8" s="621" t="str">
        <f>B7</f>
        <v>Jelena Brakina, Mait Metsla, Marek Kolk</v>
      </c>
      <c r="O8" s="618">
        <v>13</v>
      </c>
      <c r="P8" s="619" t="s">
        <v>615</v>
      </c>
      <c r="Q8" s="620">
        <v>2</v>
      </c>
      <c r="R8" s="621" t="str">
        <f>B11</f>
        <v>Kadri Veljend, Marina Vallik, Uku Kollom</v>
      </c>
      <c r="S8" s="618"/>
      <c r="T8" s="619" t="s">
        <v>615</v>
      </c>
      <c r="U8" s="620"/>
      <c r="V8" s="621"/>
      <c r="W8" s="618"/>
      <c r="X8" s="619" t="s">
        <v>615</v>
      </c>
      <c r="Y8" s="620"/>
      <c r="Z8" s="621"/>
      <c r="AA8" s="634">
        <f t="shared" si="0"/>
        <v>6</v>
      </c>
      <c r="AB8" s="635">
        <v>20</v>
      </c>
      <c r="AC8" s="629">
        <f t="shared" si="1"/>
        <v>43</v>
      </c>
      <c r="AD8" s="630" t="s">
        <v>615</v>
      </c>
      <c r="AE8" s="631">
        <f t="shared" si="2"/>
        <v>16</v>
      </c>
      <c r="AF8" s="804">
        <f t="shared" si="3"/>
        <v>27</v>
      </c>
      <c r="AH8" s="672">
        <f t="shared" ref="AH8:AH17" ca="1" si="9">SUM(AJ8:AR8)</f>
        <v>2443</v>
      </c>
      <c r="AI8" s="676" t="str">
        <f t="shared" si="4"/>
        <v>Aigi Orro</v>
      </c>
      <c r="AJ8" s="675">
        <f ca="1">IFERROR(INDEX(Üldreiting!$M:$M,MATCH(AI8,Üldreiting!$H:$H,0)),"")</f>
        <v>918.5</v>
      </c>
      <c r="AK8" s="676" t="str">
        <f t="shared" si="5"/>
        <v>Elmo Lageda</v>
      </c>
      <c r="AL8" s="675">
        <f ca="1">IFERROR(INDEX(Üldreiting!$M:$M,MATCH(AK8,Üldreiting!$H:$H,0)),"")</f>
        <v>606</v>
      </c>
      <c r="AM8" s="676" t="str">
        <f t="shared" si="6"/>
        <v>Kalle Orro</v>
      </c>
      <c r="AN8" s="675">
        <f ca="1">IFERROR(INDEX(Üldreiting!$M:$M,MATCH(AM8,Üldreiting!$H:$H,0)),"")</f>
        <v>918.5</v>
      </c>
      <c r="AO8" s="674" t="str">
        <f t="shared" si="7"/>
        <v/>
      </c>
      <c r="AP8" s="675" t="str">
        <f>IFERROR(INDEX(Üldreiting!$M:$M,MATCH(AO8,Üldreiting!$H:$H,0)),"")</f>
        <v/>
      </c>
      <c r="AQ8" s="676" t="str">
        <f t="shared" si="8"/>
        <v/>
      </c>
      <c r="AR8" s="675" t="str">
        <f>IFERROR(INDEX(Üldreiting!$M:$M,MATCH(AQ8,Üldreiting!$H:$H,0)),"")</f>
        <v/>
      </c>
    </row>
    <row r="9" spans="1:44" x14ac:dyDescent="0.2">
      <c r="A9" s="616">
        <v>3</v>
      </c>
      <c r="B9" s="617" t="s">
        <v>828</v>
      </c>
      <c r="C9" s="618">
        <v>13</v>
      </c>
      <c r="D9" s="619" t="s">
        <v>615</v>
      </c>
      <c r="E9" s="620">
        <v>11</v>
      </c>
      <c r="F9" s="621" t="str">
        <f>B17</f>
        <v>Külli Kariste, Marju Velga, Urmas Berkmann</v>
      </c>
      <c r="G9" s="618">
        <v>13</v>
      </c>
      <c r="H9" s="619" t="s">
        <v>615</v>
      </c>
      <c r="I9" s="620">
        <v>9</v>
      </c>
      <c r="J9" s="621" t="str">
        <f>B13</f>
        <v>Andres Veski, Kenneth Muusikus, Svetlana Veski</v>
      </c>
      <c r="K9" s="618">
        <v>13</v>
      </c>
      <c r="L9" s="619" t="s">
        <v>615</v>
      </c>
      <c r="M9" s="620">
        <v>2</v>
      </c>
      <c r="N9" s="621" t="str">
        <f>B15</f>
        <v>Janek Kiisk, Marge Mägi, Margo Peebo</v>
      </c>
      <c r="O9" s="618">
        <v>6</v>
      </c>
      <c r="P9" s="619" t="s">
        <v>615</v>
      </c>
      <c r="Q9" s="620">
        <v>7</v>
      </c>
      <c r="R9" s="621" t="str">
        <f>B7</f>
        <v>Jelena Brakina, Mait Metsla, Marek Kolk</v>
      </c>
      <c r="S9" s="618"/>
      <c r="T9" s="619" t="s">
        <v>615</v>
      </c>
      <c r="U9" s="620"/>
      <c r="V9" s="621"/>
      <c r="W9" s="618"/>
      <c r="X9" s="619" t="s">
        <v>615</v>
      </c>
      <c r="Y9" s="620"/>
      <c r="Z9" s="621"/>
      <c r="AA9" s="634">
        <f t="shared" si="0"/>
        <v>6</v>
      </c>
      <c r="AB9" s="635">
        <v>16</v>
      </c>
      <c r="AC9" s="800">
        <f t="shared" si="1"/>
        <v>45</v>
      </c>
      <c r="AD9" s="801" t="s">
        <v>615</v>
      </c>
      <c r="AE9" s="802">
        <f t="shared" si="2"/>
        <v>29</v>
      </c>
      <c r="AF9" s="806">
        <f t="shared" si="3"/>
        <v>16</v>
      </c>
      <c r="AH9" s="672">
        <f t="shared" ca="1" si="9"/>
        <v>2447</v>
      </c>
      <c r="AI9" s="676" t="str">
        <f t="shared" si="4"/>
        <v>Andero Kelu</v>
      </c>
      <c r="AJ9" s="675">
        <f ca="1">IFERROR(INDEX(Üldreiting!$M:$M,MATCH(AI9,Üldreiting!$H:$H,0)),"")</f>
        <v>775</v>
      </c>
      <c r="AK9" s="676" t="str">
        <f t="shared" si="5"/>
        <v>Merike Aava</v>
      </c>
      <c r="AL9" s="675">
        <f ca="1">IFERROR(INDEX(Üldreiting!$M:$M,MATCH(AK9,Üldreiting!$H:$H,0)),"")</f>
        <v>536</v>
      </c>
      <c r="AM9" s="676" t="str">
        <f t="shared" si="6"/>
        <v>Urmo Auväärt</v>
      </c>
      <c r="AN9" s="675">
        <f ca="1">IFERROR(INDEX(Üldreiting!$M:$M,MATCH(AM9,Üldreiting!$H:$H,0)),"")</f>
        <v>1136</v>
      </c>
      <c r="AO9" s="674" t="str">
        <f t="shared" si="7"/>
        <v/>
      </c>
      <c r="AP9" s="675" t="str">
        <f>IFERROR(INDEX(Üldreiting!$M:$M,MATCH(AO9,Üldreiting!$H:$H,0)),"")</f>
        <v/>
      </c>
      <c r="AQ9" s="676" t="str">
        <f t="shared" si="8"/>
        <v/>
      </c>
      <c r="AR9" s="675" t="str">
        <f>IFERROR(INDEX(Üldreiting!$M:$M,MATCH(AQ9,Üldreiting!$H:$H,0)),"")</f>
        <v/>
      </c>
    </row>
    <row r="10" spans="1:44" x14ac:dyDescent="0.2">
      <c r="A10" s="616">
        <v>4</v>
      </c>
      <c r="B10" s="617" t="s">
        <v>829</v>
      </c>
      <c r="C10" s="618">
        <v>13</v>
      </c>
      <c r="D10" s="619" t="s">
        <v>615</v>
      </c>
      <c r="E10" s="620">
        <v>6</v>
      </c>
      <c r="F10" s="621" t="s">
        <v>823</v>
      </c>
      <c r="G10" s="618">
        <v>1</v>
      </c>
      <c r="H10" s="619" t="s">
        <v>615</v>
      </c>
      <c r="I10" s="620">
        <v>13</v>
      </c>
      <c r="J10" s="621" t="str">
        <f>B8</f>
        <v>Katri Aavekukk, Margus Berkmann, Veiko Proos</v>
      </c>
      <c r="K10" s="618">
        <v>13</v>
      </c>
      <c r="L10" s="619" t="s">
        <v>615</v>
      </c>
      <c r="M10" s="620">
        <v>10</v>
      </c>
      <c r="N10" s="621" t="str">
        <f>B16</f>
        <v>Aivar Sein, Maris Rõõm, Ruudi Väärtnõu</v>
      </c>
      <c r="O10" s="618">
        <v>13</v>
      </c>
      <c r="P10" s="619" t="s">
        <v>615</v>
      </c>
      <c r="Q10" s="620">
        <v>9</v>
      </c>
      <c r="R10" s="621" t="str">
        <f>B12</f>
        <v>Ivar Viljaste, Maive Sein, Varje Reede</v>
      </c>
      <c r="S10" s="618"/>
      <c r="T10" s="619" t="s">
        <v>615</v>
      </c>
      <c r="U10" s="620"/>
      <c r="V10" s="621"/>
      <c r="W10" s="618"/>
      <c r="X10" s="619" t="s">
        <v>615</v>
      </c>
      <c r="Y10" s="620"/>
      <c r="Z10" s="621"/>
      <c r="AA10" s="634">
        <f t="shared" si="0"/>
        <v>6</v>
      </c>
      <c r="AB10" s="635">
        <v>16</v>
      </c>
      <c r="AC10" s="800">
        <f t="shared" si="1"/>
        <v>40</v>
      </c>
      <c r="AD10" s="801" t="s">
        <v>615</v>
      </c>
      <c r="AE10" s="802">
        <f t="shared" si="2"/>
        <v>38</v>
      </c>
      <c r="AF10" s="806">
        <f t="shared" si="3"/>
        <v>2</v>
      </c>
      <c r="AH10" s="672">
        <f t="shared" ca="1" si="9"/>
        <v>1859</v>
      </c>
      <c r="AI10" s="676" t="str">
        <f t="shared" si="4"/>
        <v>Jelena Brakina</v>
      </c>
      <c r="AJ10" s="675">
        <f ca="1">IFERROR(INDEX(Üldreiting!$M:$M,MATCH(AI10,Üldreiting!$H:$H,0)),"")</f>
        <v>276</v>
      </c>
      <c r="AK10" s="676" t="str">
        <f t="shared" si="5"/>
        <v>Mait Metsla</v>
      </c>
      <c r="AL10" s="675">
        <f ca="1">IFERROR(INDEX(Üldreiting!$M:$M,MATCH(AK10,Üldreiting!$H:$H,0)),"")</f>
        <v>502</v>
      </c>
      <c r="AM10" s="676" t="str">
        <f t="shared" si="6"/>
        <v>Marek Kolk</v>
      </c>
      <c r="AN10" s="675">
        <f ca="1">IFERROR(INDEX(Üldreiting!$M:$M,MATCH(AM10,Üldreiting!$H:$H,0)),"")</f>
        <v>1081</v>
      </c>
      <c r="AO10" s="674" t="str">
        <f t="shared" si="7"/>
        <v/>
      </c>
      <c r="AP10" s="675" t="str">
        <f>IFERROR(INDEX(Üldreiting!$M:$M,MATCH(AO10,Üldreiting!$H:$H,0)),"")</f>
        <v/>
      </c>
      <c r="AQ10" s="676" t="str">
        <f t="shared" si="8"/>
        <v/>
      </c>
      <c r="AR10" s="675" t="str">
        <f>IFERROR(INDEX(Üldreiting!$M:$M,MATCH(AQ10,Üldreiting!$H:$H,0)),"")</f>
        <v/>
      </c>
    </row>
    <row r="11" spans="1:44" x14ac:dyDescent="0.2">
      <c r="A11" s="616">
        <v>5</v>
      </c>
      <c r="B11" s="617" t="s">
        <v>830</v>
      </c>
      <c r="C11" s="618">
        <v>13</v>
      </c>
      <c r="D11" s="619" t="s">
        <v>615</v>
      </c>
      <c r="E11" s="620">
        <v>7</v>
      </c>
      <c r="F11" s="621" t="s">
        <v>825</v>
      </c>
      <c r="G11" s="618">
        <v>8</v>
      </c>
      <c r="H11" s="619" t="s">
        <v>615</v>
      </c>
      <c r="I11" s="620">
        <v>11</v>
      </c>
      <c r="J11" s="621" t="str">
        <f>B7</f>
        <v>Jelena Brakina, Mait Metsla, Marek Kolk</v>
      </c>
      <c r="K11" s="618">
        <v>13</v>
      </c>
      <c r="L11" s="619" t="s">
        <v>615</v>
      </c>
      <c r="M11" s="620">
        <v>5</v>
      </c>
      <c r="N11" s="621" t="str">
        <f>B13</f>
        <v>Andres Veski, Kenneth Muusikus, Svetlana Veski</v>
      </c>
      <c r="O11" s="618">
        <v>2</v>
      </c>
      <c r="P11" s="619" t="s">
        <v>615</v>
      </c>
      <c r="Q11" s="620">
        <v>13</v>
      </c>
      <c r="R11" s="621" t="str">
        <f>B8</f>
        <v>Katri Aavekukk, Margus Berkmann, Veiko Proos</v>
      </c>
      <c r="S11" s="618"/>
      <c r="T11" s="619" t="s">
        <v>615</v>
      </c>
      <c r="U11" s="620"/>
      <c r="V11" s="621"/>
      <c r="W11" s="618"/>
      <c r="X11" s="619" t="s">
        <v>615</v>
      </c>
      <c r="Y11" s="620"/>
      <c r="Z11" s="621"/>
      <c r="AA11" s="636">
        <f t="shared" si="0"/>
        <v>4</v>
      </c>
      <c r="AB11" s="637">
        <v>18</v>
      </c>
      <c r="AC11" s="629">
        <f t="shared" si="1"/>
        <v>36</v>
      </c>
      <c r="AD11" s="630" t="s">
        <v>615</v>
      </c>
      <c r="AE11" s="631">
        <f t="shared" si="2"/>
        <v>36</v>
      </c>
      <c r="AF11" s="804">
        <f t="shared" si="3"/>
        <v>0</v>
      </c>
      <c r="AH11" s="672">
        <f t="shared" ca="1" si="9"/>
        <v>2321</v>
      </c>
      <c r="AI11" s="676" t="str">
        <f t="shared" si="4"/>
        <v>Ivar Viljaste</v>
      </c>
      <c r="AJ11" s="675">
        <f ca="1">IFERROR(INDEX(Üldreiting!$M:$M,MATCH(AI11,Üldreiting!$H:$H,0)),"")</f>
        <v>695</v>
      </c>
      <c r="AK11" s="676" t="str">
        <f t="shared" si="5"/>
        <v>Maive Sein</v>
      </c>
      <c r="AL11" s="675">
        <f ca="1">IFERROR(INDEX(Üldreiting!$M:$M,MATCH(AK11,Üldreiting!$H:$H,0)),"")</f>
        <v>785</v>
      </c>
      <c r="AM11" s="676" t="str">
        <f t="shared" si="6"/>
        <v>Varje Reede</v>
      </c>
      <c r="AN11" s="675">
        <f ca="1">IFERROR(INDEX(Üldreiting!$M:$M,MATCH(AM11,Üldreiting!$H:$H,0)),"")</f>
        <v>841</v>
      </c>
      <c r="AO11" s="674" t="str">
        <f t="shared" si="7"/>
        <v/>
      </c>
      <c r="AP11" s="675" t="str">
        <f>IFERROR(INDEX(Üldreiting!$M:$M,MATCH(AO11,Üldreiting!$H:$H,0)),"")</f>
        <v/>
      </c>
      <c r="AQ11" s="676" t="str">
        <f t="shared" si="8"/>
        <v/>
      </c>
      <c r="AR11" s="675" t="str">
        <f>IFERROR(INDEX(Üldreiting!$M:$M,MATCH(AQ11,Üldreiting!$H:$H,0)),"")</f>
        <v/>
      </c>
    </row>
    <row r="12" spans="1:44" x14ac:dyDescent="0.2">
      <c r="A12" s="616">
        <v>6</v>
      </c>
      <c r="B12" s="617" t="s">
        <v>831</v>
      </c>
      <c r="C12" s="618">
        <v>8</v>
      </c>
      <c r="D12" s="619" t="s">
        <v>615</v>
      </c>
      <c r="E12" s="620">
        <v>13</v>
      </c>
      <c r="F12" s="621" t="str">
        <f>B13</f>
        <v>Andres Veski, Kenneth Muusikus, Svetlana Veski</v>
      </c>
      <c r="G12" s="618">
        <v>13</v>
      </c>
      <c r="H12" s="619" t="s">
        <v>615</v>
      </c>
      <c r="I12" s="620">
        <v>5</v>
      </c>
      <c r="J12" s="621" t="str">
        <f>B14</f>
        <v>Kevin Sten Liik, Mare Kingissepp, Silver Kingissepp</v>
      </c>
      <c r="K12" s="618">
        <v>9</v>
      </c>
      <c r="L12" s="619" t="s">
        <v>615</v>
      </c>
      <c r="M12" s="620">
        <v>7</v>
      </c>
      <c r="N12" s="621" t="str">
        <f>B17</f>
        <v>Külli Kariste, Marju Velga, Urmas Berkmann</v>
      </c>
      <c r="O12" s="618">
        <v>9</v>
      </c>
      <c r="P12" s="619" t="s">
        <v>615</v>
      </c>
      <c r="Q12" s="620">
        <v>13</v>
      </c>
      <c r="R12" s="621" t="str">
        <f>B10</f>
        <v>Aigi Orro, Elmo Lageda, Kalle Orro</v>
      </c>
      <c r="S12" s="618"/>
      <c r="T12" s="619" t="s">
        <v>615</v>
      </c>
      <c r="U12" s="620"/>
      <c r="V12" s="621"/>
      <c r="W12" s="618"/>
      <c r="X12" s="619" t="s">
        <v>615</v>
      </c>
      <c r="Y12" s="620"/>
      <c r="Z12" s="621"/>
      <c r="AA12" s="636">
        <f t="shared" si="0"/>
        <v>4</v>
      </c>
      <c r="AB12" s="637">
        <v>16</v>
      </c>
      <c r="AC12" s="638">
        <f t="shared" si="1"/>
        <v>39</v>
      </c>
      <c r="AD12" s="639" t="s">
        <v>615</v>
      </c>
      <c r="AE12" s="640">
        <f t="shared" si="2"/>
        <v>38</v>
      </c>
      <c r="AF12" s="805">
        <f t="shared" si="3"/>
        <v>1</v>
      </c>
      <c r="AH12" s="672">
        <f t="shared" ca="1" si="9"/>
        <v>702</v>
      </c>
      <c r="AI12" s="676" t="str">
        <f t="shared" si="4"/>
        <v>Kadri Veljend</v>
      </c>
      <c r="AJ12" s="675">
        <f ca="1">IFERROR(INDEX(Üldreiting!$M:$M,MATCH(AI12,Üldreiting!$H:$H,0)),"")</f>
        <v>361</v>
      </c>
      <c r="AK12" s="676" t="str">
        <f t="shared" si="5"/>
        <v>Marina Vallik</v>
      </c>
      <c r="AL12" s="675">
        <f ca="1">IFERROR(INDEX(Üldreiting!$M:$M,MATCH(AK12,Üldreiting!$H:$H,0)),"")</f>
        <v>208</v>
      </c>
      <c r="AM12" s="676" t="str">
        <f t="shared" si="6"/>
        <v>Uku Kollom</v>
      </c>
      <c r="AN12" s="675">
        <f ca="1">IFERROR(INDEX(Üldreiting!$M:$M,MATCH(AM12,Üldreiting!$H:$H,0)),"")</f>
        <v>133</v>
      </c>
      <c r="AO12" s="674" t="str">
        <f t="shared" si="7"/>
        <v/>
      </c>
      <c r="AP12" s="675" t="str">
        <f>IFERROR(INDEX(Üldreiting!$M:$M,MATCH(AO12,Üldreiting!$H:$H,0)),"")</f>
        <v/>
      </c>
      <c r="AQ12" s="676" t="str">
        <f t="shared" si="8"/>
        <v/>
      </c>
      <c r="AR12" s="675" t="str">
        <f>IFERROR(INDEX(Üldreiting!$M:$M,MATCH(AQ12,Üldreiting!$H:$H,0)),"")</f>
        <v/>
      </c>
    </row>
    <row r="13" spans="1:44" x14ac:dyDescent="0.2">
      <c r="A13" s="616">
        <v>7</v>
      </c>
      <c r="B13" s="617" t="s">
        <v>832</v>
      </c>
      <c r="C13" s="618">
        <v>13</v>
      </c>
      <c r="D13" s="619" t="s">
        <v>615</v>
      </c>
      <c r="E13" s="620">
        <v>8</v>
      </c>
      <c r="F13" s="621" t="str">
        <f>B12</f>
        <v>Ivar Viljaste, Maive Sein, Varje Reede</v>
      </c>
      <c r="G13" s="618">
        <v>9</v>
      </c>
      <c r="H13" s="619" t="s">
        <v>615</v>
      </c>
      <c r="I13" s="620">
        <v>13</v>
      </c>
      <c r="J13" s="621" t="str">
        <f>B9</f>
        <v>Andero Kelu, Merike Aava, Urmo Auväärt</v>
      </c>
      <c r="K13" s="618">
        <v>5</v>
      </c>
      <c r="L13" s="619" t="s">
        <v>615</v>
      </c>
      <c r="M13" s="620">
        <v>13</v>
      </c>
      <c r="N13" s="621" t="str">
        <f>B11</f>
        <v>Kadri Veljend, Marina Vallik, Uku Kollom</v>
      </c>
      <c r="O13" s="618">
        <v>13</v>
      </c>
      <c r="P13" s="619" t="s">
        <v>615</v>
      </c>
      <c r="Q13" s="620">
        <v>11</v>
      </c>
      <c r="R13" s="621" t="str">
        <f>B15</f>
        <v>Janek Kiisk, Marge Mägi, Margo Peebo</v>
      </c>
      <c r="S13" s="618"/>
      <c r="T13" s="619" t="s">
        <v>615</v>
      </c>
      <c r="U13" s="620"/>
      <c r="V13" s="621"/>
      <c r="W13" s="618"/>
      <c r="X13" s="619" t="s">
        <v>615</v>
      </c>
      <c r="Y13" s="620"/>
      <c r="Z13" s="621"/>
      <c r="AA13" s="636">
        <f t="shared" si="0"/>
        <v>4</v>
      </c>
      <c r="AB13" s="637">
        <v>16</v>
      </c>
      <c r="AC13" s="638">
        <f t="shared" si="1"/>
        <v>40</v>
      </c>
      <c r="AD13" s="639" t="s">
        <v>615</v>
      </c>
      <c r="AE13" s="640">
        <f t="shared" si="2"/>
        <v>45</v>
      </c>
      <c r="AF13" s="805">
        <f t="shared" si="3"/>
        <v>-5</v>
      </c>
      <c r="AH13" s="672">
        <f t="shared" ca="1" si="9"/>
        <v>2267</v>
      </c>
      <c r="AI13" s="676" t="str">
        <f t="shared" si="4"/>
        <v>Kevin Sten Liik</v>
      </c>
      <c r="AJ13" s="675">
        <f ca="1">IFERROR(INDEX(Üldreiting!$M:$M,MATCH(AI13,Üldreiting!$H:$H,0)),"")</f>
        <v>715</v>
      </c>
      <c r="AK13" s="676" t="str">
        <f t="shared" si="5"/>
        <v>Mare Kingissepp</v>
      </c>
      <c r="AL13" s="675">
        <f ca="1">IFERROR(INDEX(Üldreiting!$M:$M,MATCH(AK13,Üldreiting!$H:$H,0)),"")</f>
        <v>726</v>
      </c>
      <c r="AM13" s="676" t="str">
        <f t="shared" si="6"/>
        <v>Silver Kingissepp</v>
      </c>
      <c r="AN13" s="675">
        <f ca="1">IFERROR(INDEX(Üldreiting!$M:$M,MATCH(AM13,Üldreiting!$H:$H,0)),"")</f>
        <v>826</v>
      </c>
      <c r="AO13" s="674" t="str">
        <f t="shared" si="7"/>
        <v/>
      </c>
      <c r="AP13" s="675" t="str">
        <f>IFERROR(INDEX(Üldreiting!$M:$M,MATCH(AO13,Üldreiting!$H:$H,0)),"")</f>
        <v/>
      </c>
      <c r="AQ13" s="676" t="str">
        <f t="shared" si="8"/>
        <v/>
      </c>
      <c r="AR13" s="675" t="str">
        <f>IFERROR(INDEX(Üldreiting!$M:$M,MATCH(AQ13,Üldreiting!$H:$H,0)),"")</f>
        <v/>
      </c>
    </row>
    <row r="14" spans="1:44" x14ac:dyDescent="0.2">
      <c r="A14" s="616">
        <v>8</v>
      </c>
      <c r="B14" s="617" t="s">
        <v>833</v>
      </c>
      <c r="C14" s="618">
        <v>6</v>
      </c>
      <c r="D14" s="619" t="s">
        <v>615</v>
      </c>
      <c r="E14" s="620">
        <v>13</v>
      </c>
      <c r="F14" s="621" t="str">
        <f>B10</f>
        <v>Aigi Orro, Elmo Lageda, Kalle Orro</v>
      </c>
      <c r="G14" s="618">
        <v>5</v>
      </c>
      <c r="H14" s="619" t="s">
        <v>615</v>
      </c>
      <c r="I14" s="620">
        <v>13</v>
      </c>
      <c r="J14" s="621" t="str">
        <f>B12</f>
        <v>Ivar Viljaste, Maive Sein, Varje Reede</v>
      </c>
      <c r="K14" s="618">
        <v>13</v>
      </c>
      <c r="L14" s="619" t="s">
        <v>615</v>
      </c>
      <c r="M14" s="620">
        <v>7</v>
      </c>
      <c r="N14" s="621" t="s">
        <v>825</v>
      </c>
      <c r="O14" s="618">
        <v>13</v>
      </c>
      <c r="P14" s="619" t="s">
        <v>615</v>
      </c>
      <c r="Q14" s="620">
        <v>10</v>
      </c>
      <c r="R14" s="621" t="str">
        <f>B16</f>
        <v>Aivar Sein, Maris Rõõm, Ruudi Väärtnõu</v>
      </c>
      <c r="S14" s="618"/>
      <c r="T14" s="619" t="s">
        <v>615</v>
      </c>
      <c r="U14" s="620"/>
      <c r="V14" s="621"/>
      <c r="W14" s="618"/>
      <c r="X14" s="619" t="s">
        <v>615</v>
      </c>
      <c r="Y14" s="620"/>
      <c r="Z14" s="621"/>
      <c r="AA14" s="636">
        <f t="shared" si="0"/>
        <v>4</v>
      </c>
      <c r="AB14" s="637">
        <v>12</v>
      </c>
      <c r="AC14" s="629">
        <f t="shared" si="1"/>
        <v>37</v>
      </c>
      <c r="AD14" s="630" t="s">
        <v>615</v>
      </c>
      <c r="AE14" s="631">
        <f t="shared" si="2"/>
        <v>43</v>
      </c>
      <c r="AF14" s="804">
        <f t="shared" si="3"/>
        <v>-6</v>
      </c>
      <c r="AH14" s="672">
        <f t="shared" ca="1" si="9"/>
        <v>1277</v>
      </c>
      <c r="AI14" s="676" t="str">
        <f t="shared" si="4"/>
        <v>Andres Veski</v>
      </c>
      <c r="AJ14" s="675">
        <f ca="1">IFERROR(INDEX(Üldreiting!$M:$M,MATCH(AI14,Üldreiting!$H:$H,0)),"")</f>
        <v>320.5</v>
      </c>
      <c r="AK14" s="676" t="str">
        <f t="shared" si="5"/>
        <v>Kenneth Muusikus</v>
      </c>
      <c r="AL14" s="675">
        <f ca="1">IFERROR(INDEX(Üldreiting!$M:$M,MATCH(AK14,Üldreiting!$H:$H,0)),"")</f>
        <v>555</v>
      </c>
      <c r="AM14" s="676" t="str">
        <f t="shared" si="6"/>
        <v>Svetlana Veski</v>
      </c>
      <c r="AN14" s="675">
        <f ca="1">IFERROR(INDEX(Üldreiting!$M:$M,MATCH(AM14,Üldreiting!$H:$H,0)),"")</f>
        <v>401.5</v>
      </c>
      <c r="AO14" s="674" t="str">
        <f t="shared" si="7"/>
        <v/>
      </c>
      <c r="AP14" s="675" t="str">
        <f>IFERROR(INDEX(Üldreiting!$M:$M,MATCH(AO14,Üldreiting!$H:$H,0)),"")</f>
        <v/>
      </c>
      <c r="AQ14" s="676" t="str">
        <f t="shared" si="8"/>
        <v/>
      </c>
      <c r="AR14" s="675" t="str">
        <f>IFERROR(INDEX(Üldreiting!$M:$M,MATCH(AQ14,Üldreiting!$H:$H,0)),"")</f>
        <v/>
      </c>
    </row>
    <row r="15" spans="1:44" x14ac:dyDescent="0.2">
      <c r="A15" s="616">
        <v>9</v>
      </c>
      <c r="B15" s="617" t="s">
        <v>834</v>
      </c>
      <c r="C15" s="618">
        <v>12</v>
      </c>
      <c r="D15" s="619" t="s">
        <v>615</v>
      </c>
      <c r="E15" s="620">
        <v>13</v>
      </c>
      <c r="F15" s="621" t="str">
        <f>B7</f>
        <v>Jelena Brakina, Mait Metsla, Marek Kolk</v>
      </c>
      <c r="G15" s="618">
        <v>13</v>
      </c>
      <c r="H15" s="619" t="s">
        <v>615</v>
      </c>
      <c r="I15" s="620">
        <v>5</v>
      </c>
      <c r="J15" s="621" t="str">
        <f>B17</f>
        <v>Külli Kariste, Marju Velga, Urmas Berkmann</v>
      </c>
      <c r="K15" s="618">
        <v>2</v>
      </c>
      <c r="L15" s="619" t="s">
        <v>615</v>
      </c>
      <c r="M15" s="620">
        <v>13</v>
      </c>
      <c r="N15" s="621" t="str">
        <f>B9</f>
        <v>Andero Kelu, Merike Aava, Urmo Auväärt</v>
      </c>
      <c r="O15" s="618">
        <v>11</v>
      </c>
      <c r="P15" s="619" t="s">
        <v>615</v>
      </c>
      <c r="Q15" s="620">
        <v>13</v>
      </c>
      <c r="R15" s="621" t="str">
        <f>B13</f>
        <v>Andres Veski, Kenneth Muusikus, Svetlana Veski</v>
      </c>
      <c r="S15" s="618"/>
      <c r="T15" s="619" t="s">
        <v>615</v>
      </c>
      <c r="U15" s="620"/>
      <c r="V15" s="621"/>
      <c r="W15" s="618"/>
      <c r="X15" s="619" t="s">
        <v>615</v>
      </c>
      <c r="Y15" s="620"/>
      <c r="Z15" s="621"/>
      <c r="AA15" s="634">
        <f t="shared" si="0"/>
        <v>2</v>
      </c>
      <c r="AB15" s="635">
        <v>20</v>
      </c>
      <c r="AC15" s="629">
        <f t="shared" si="1"/>
        <v>38</v>
      </c>
      <c r="AD15" s="630" t="s">
        <v>615</v>
      </c>
      <c r="AE15" s="631">
        <f t="shared" si="2"/>
        <v>44</v>
      </c>
      <c r="AF15" s="804">
        <f t="shared" si="3"/>
        <v>-6</v>
      </c>
      <c r="AH15" s="672">
        <f t="shared" ca="1" si="9"/>
        <v>2266.5</v>
      </c>
      <c r="AI15" s="676" t="str">
        <f t="shared" si="4"/>
        <v>Janek Kiisk</v>
      </c>
      <c r="AJ15" s="675">
        <f ca="1">IFERROR(INDEX(Üldreiting!$M:$M,MATCH(AI15,Üldreiting!$H:$H,0)),"")</f>
        <v>863.5</v>
      </c>
      <c r="AK15" s="676" t="str">
        <f t="shared" si="5"/>
        <v>Marge Mägi</v>
      </c>
      <c r="AL15" s="675">
        <f ca="1">IFERROR(INDEX(Üldreiting!$M:$M,MATCH(AK15,Üldreiting!$H:$H,0)),"")</f>
        <v>745</v>
      </c>
      <c r="AM15" s="676" t="str">
        <f t="shared" si="6"/>
        <v>Margo Peebo</v>
      </c>
      <c r="AN15" s="675">
        <f ca="1">IFERROR(INDEX(Üldreiting!$M:$M,MATCH(AM15,Üldreiting!$H:$H,0)),"")</f>
        <v>658</v>
      </c>
      <c r="AO15" s="674" t="str">
        <f t="shared" si="7"/>
        <v/>
      </c>
      <c r="AP15" s="675" t="str">
        <f>IFERROR(INDEX(Üldreiting!$M:$M,MATCH(AO15,Üldreiting!$H:$H,0)),"")</f>
        <v/>
      </c>
      <c r="AQ15" s="676" t="str">
        <f t="shared" si="8"/>
        <v/>
      </c>
      <c r="AR15" s="675" t="str">
        <f>IFERROR(INDEX(Üldreiting!$M:$M,MATCH(AQ15,Üldreiting!$H:$H,0)),"")</f>
        <v/>
      </c>
    </row>
    <row r="16" spans="1:44" x14ac:dyDescent="0.2">
      <c r="A16" s="616">
        <v>10</v>
      </c>
      <c r="B16" s="617" t="s">
        <v>835</v>
      </c>
      <c r="C16" s="618">
        <v>5</v>
      </c>
      <c r="D16" s="619" t="s">
        <v>615</v>
      </c>
      <c r="E16" s="620">
        <v>13</v>
      </c>
      <c r="F16" s="621" t="str">
        <f>B8</f>
        <v>Katri Aavekukk, Margus Berkmann, Veiko Proos</v>
      </c>
      <c r="G16" s="618">
        <v>13</v>
      </c>
      <c r="H16" s="619" t="s">
        <v>615</v>
      </c>
      <c r="I16" s="620">
        <v>7</v>
      </c>
      <c r="J16" s="621" t="s">
        <v>825</v>
      </c>
      <c r="K16" s="618">
        <v>10</v>
      </c>
      <c r="L16" s="619" t="s">
        <v>615</v>
      </c>
      <c r="M16" s="620">
        <v>13</v>
      </c>
      <c r="N16" s="621" t="str">
        <f>B10</f>
        <v>Aigi Orro, Elmo Lageda, Kalle Orro</v>
      </c>
      <c r="O16" s="618">
        <v>10</v>
      </c>
      <c r="P16" s="619" t="s">
        <v>615</v>
      </c>
      <c r="Q16" s="620">
        <v>13</v>
      </c>
      <c r="R16" s="621" t="str">
        <f>B14</f>
        <v>Kevin Sten Liik, Mare Kingissepp, Silver Kingissepp</v>
      </c>
      <c r="S16" s="618"/>
      <c r="T16" s="619" t="s">
        <v>615</v>
      </c>
      <c r="U16" s="620"/>
      <c r="V16" s="621"/>
      <c r="W16" s="618"/>
      <c r="X16" s="619" t="s">
        <v>615</v>
      </c>
      <c r="Y16" s="620"/>
      <c r="Z16" s="621"/>
      <c r="AA16" s="634">
        <f t="shared" si="0"/>
        <v>2</v>
      </c>
      <c r="AB16" s="635">
        <v>16</v>
      </c>
      <c r="AC16" s="629">
        <f t="shared" si="1"/>
        <v>38</v>
      </c>
      <c r="AD16" s="630" t="s">
        <v>615</v>
      </c>
      <c r="AE16" s="631">
        <f t="shared" si="2"/>
        <v>46</v>
      </c>
      <c r="AF16" s="804">
        <f t="shared" si="3"/>
        <v>-8</v>
      </c>
      <c r="AH16" s="672">
        <f t="shared" ca="1" si="9"/>
        <v>2060</v>
      </c>
      <c r="AI16" s="676" t="str">
        <f t="shared" si="4"/>
        <v>Aivar Sein</v>
      </c>
      <c r="AJ16" s="675">
        <f ca="1">IFERROR(INDEX(Üldreiting!$M:$M,MATCH(AI16,Üldreiting!$H:$H,0)),"")</f>
        <v>546</v>
      </c>
      <c r="AK16" s="676" t="str">
        <f t="shared" si="5"/>
        <v>Maris Rõõm</v>
      </c>
      <c r="AL16" s="675">
        <f ca="1">IFERROR(INDEX(Üldreiting!$M:$M,MATCH(AK16,Üldreiting!$H:$H,0)),"")</f>
        <v>542</v>
      </c>
      <c r="AM16" s="676" t="str">
        <f t="shared" si="6"/>
        <v>Ruudi Väärtnõu</v>
      </c>
      <c r="AN16" s="675">
        <f ca="1">IFERROR(INDEX(Üldreiting!$M:$M,MATCH(AM16,Üldreiting!$H:$H,0)),"")</f>
        <v>972</v>
      </c>
      <c r="AO16" s="674" t="str">
        <f t="shared" si="7"/>
        <v/>
      </c>
      <c r="AP16" s="675" t="str">
        <f>IFERROR(INDEX(Üldreiting!$M:$M,MATCH(AO16,Üldreiting!$H:$H,0)),"")</f>
        <v/>
      </c>
      <c r="AQ16" s="676" t="str">
        <f t="shared" si="8"/>
        <v/>
      </c>
      <c r="AR16" s="675" t="str">
        <f>IFERROR(INDEX(Üldreiting!$M:$M,MATCH(AQ16,Üldreiting!$H:$H,0)),"")</f>
        <v/>
      </c>
    </row>
    <row r="17" spans="1:44" x14ac:dyDescent="0.2">
      <c r="A17" s="616">
        <v>11</v>
      </c>
      <c r="B17" s="234" t="s">
        <v>836</v>
      </c>
      <c r="C17" s="618">
        <v>11</v>
      </c>
      <c r="D17" s="619" t="s">
        <v>615</v>
      </c>
      <c r="E17" s="620">
        <v>13</v>
      </c>
      <c r="F17" s="621" t="str">
        <f>B9</f>
        <v>Andero Kelu, Merike Aava, Urmo Auväärt</v>
      </c>
      <c r="G17" s="618">
        <v>5</v>
      </c>
      <c r="H17" s="619" t="s">
        <v>615</v>
      </c>
      <c r="I17" s="620">
        <v>13</v>
      </c>
      <c r="J17" s="621" t="str">
        <f>B15</f>
        <v>Janek Kiisk, Marge Mägi, Margo Peebo</v>
      </c>
      <c r="K17" s="618">
        <v>7</v>
      </c>
      <c r="L17" s="619" t="s">
        <v>615</v>
      </c>
      <c r="M17" s="620">
        <v>9</v>
      </c>
      <c r="N17" s="621" t="str">
        <f>B12</f>
        <v>Ivar Viljaste, Maive Sein, Varje Reede</v>
      </c>
      <c r="O17" s="618">
        <v>13</v>
      </c>
      <c r="P17" s="619" t="s">
        <v>615</v>
      </c>
      <c r="Q17" s="620">
        <v>7</v>
      </c>
      <c r="R17" s="621" t="s">
        <v>825</v>
      </c>
      <c r="S17" s="618"/>
      <c r="T17" s="619" t="s">
        <v>615</v>
      </c>
      <c r="U17" s="620"/>
      <c r="V17" s="621"/>
      <c r="W17" s="618"/>
      <c r="X17" s="619" t="s">
        <v>615</v>
      </c>
      <c r="Y17" s="620"/>
      <c r="Z17" s="621"/>
      <c r="AA17" s="634">
        <f t="shared" si="0"/>
        <v>2</v>
      </c>
      <c r="AB17" s="635">
        <v>12</v>
      </c>
      <c r="AC17" s="629">
        <f t="shared" si="1"/>
        <v>36</v>
      </c>
      <c r="AD17" s="630" t="s">
        <v>615</v>
      </c>
      <c r="AE17" s="631">
        <f t="shared" si="2"/>
        <v>42</v>
      </c>
      <c r="AF17" s="804">
        <f t="shared" si="3"/>
        <v>-6</v>
      </c>
      <c r="AH17" s="672">
        <f t="shared" ca="1" si="9"/>
        <v>1130</v>
      </c>
      <c r="AI17" s="676" t="str">
        <f t="shared" si="4"/>
        <v>Külli Kariste</v>
      </c>
      <c r="AJ17" s="675">
        <f ca="1">IFERROR(INDEX(Üldreiting!$M:$M,MATCH(AI17,Üldreiting!$H:$H,0)),"")</f>
        <v>593</v>
      </c>
      <c r="AK17" s="676" t="str">
        <f t="shared" si="5"/>
        <v>Marju Velga</v>
      </c>
      <c r="AL17" s="675">
        <f ca="1">IFERROR(INDEX(Üldreiting!$M:$M,MATCH(AK17,Üldreiting!$H:$H,0)),"")</f>
        <v>453</v>
      </c>
      <c r="AM17" s="676" t="str">
        <f t="shared" si="6"/>
        <v>Urmas Berkmann</v>
      </c>
      <c r="AN17" s="675">
        <f ca="1">IFERROR(INDEX(Üldreiting!$M:$M,MATCH(AM17,Üldreiting!$H:$H,0)),"")</f>
        <v>84</v>
      </c>
      <c r="AO17" s="674" t="str">
        <f t="shared" si="7"/>
        <v/>
      </c>
      <c r="AP17" s="675" t="str">
        <f>IFERROR(INDEX(Üldreiting!$M:$M,MATCH(AO17,Üldreiting!$H:$H,0)),"")</f>
        <v/>
      </c>
      <c r="AQ17" s="676" t="str">
        <f t="shared" si="8"/>
        <v/>
      </c>
      <c r="AR17" s="675" t="str">
        <f>IFERROR(INDEX(Üldreiting!$M:$M,MATCH(AQ17,Üldreiting!$H:$H,0)),"")</f>
        <v/>
      </c>
    </row>
    <row r="18" spans="1:44" hidden="1" x14ac:dyDescent="0.2">
      <c r="K18" s="69"/>
      <c r="L18" s="69"/>
      <c r="M18" s="69"/>
      <c r="S18" s="69"/>
      <c r="T18" s="69"/>
      <c r="U18" s="69"/>
      <c r="V18" s="69"/>
      <c r="W18" s="69"/>
      <c r="X18" s="69"/>
      <c r="Y18" s="69"/>
      <c r="Z18" s="69"/>
    </row>
    <row r="19" spans="1:44" hidden="1" x14ac:dyDescent="0.2">
      <c r="K19" s="69"/>
      <c r="L19" s="69"/>
      <c r="M19" s="69"/>
      <c r="S19" s="69"/>
      <c r="T19" s="69"/>
      <c r="U19" s="69"/>
      <c r="V19" s="69"/>
      <c r="W19" s="69"/>
      <c r="X19" s="69"/>
      <c r="Y19" s="69"/>
      <c r="Z19" s="69"/>
    </row>
    <row r="20" spans="1:44" hidden="1" x14ac:dyDescent="0.2">
      <c r="K20" s="69"/>
      <c r="L20" s="69"/>
      <c r="M20" s="69"/>
      <c r="S20" s="69"/>
      <c r="T20" s="69"/>
      <c r="U20" s="69"/>
      <c r="V20" s="69"/>
      <c r="W20" s="69"/>
      <c r="X20" s="69"/>
      <c r="Y20" s="69"/>
      <c r="Z20" s="69"/>
    </row>
    <row r="21" spans="1:44" hidden="1" x14ac:dyDescent="0.2">
      <c r="K21" s="69"/>
      <c r="L21" s="69"/>
      <c r="M21" s="69"/>
      <c r="S21" s="69"/>
      <c r="T21" s="69"/>
      <c r="U21" s="69"/>
      <c r="V21" s="69"/>
      <c r="W21" s="69"/>
      <c r="X21" s="69"/>
      <c r="Y21" s="69"/>
      <c r="Z21" s="69"/>
    </row>
    <row r="22" spans="1:44" hidden="1" x14ac:dyDescent="0.2">
      <c r="K22" s="69"/>
      <c r="L22" s="69"/>
      <c r="M22" s="69"/>
      <c r="S22" s="69"/>
      <c r="T22" s="69"/>
      <c r="U22" s="69"/>
      <c r="V22" s="69"/>
      <c r="W22" s="69"/>
      <c r="X22" s="69"/>
      <c r="Y22" s="69"/>
      <c r="Z22" s="69"/>
    </row>
    <row r="23" spans="1:44" hidden="1" x14ac:dyDescent="0.2">
      <c r="K23" s="69"/>
      <c r="L23" s="69"/>
      <c r="M23" s="69"/>
      <c r="S23" s="69"/>
      <c r="T23" s="69"/>
      <c r="U23" s="69"/>
      <c r="V23" s="69"/>
      <c r="W23" s="69"/>
      <c r="X23" s="69"/>
      <c r="Y23" s="69"/>
      <c r="Z23" s="69"/>
    </row>
    <row r="24" spans="1:44" hidden="1" x14ac:dyDescent="0.2">
      <c r="K24" s="69"/>
      <c r="L24" s="69"/>
      <c r="M24" s="69"/>
      <c r="S24" s="69"/>
      <c r="T24" s="69"/>
      <c r="U24" s="69"/>
      <c r="V24" s="69"/>
      <c r="W24" s="69"/>
      <c r="X24" s="69"/>
      <c r="Y24" s="69"/>
      <c r="Z24" s="69"/>
    </row>
    <row r="25" spans="1:44" hidden="1" x14ac:dyDescent="0.2">
      <c r="K25" s="69"/>
      <c r="L25" s="69"/>
      <c r="M25" s="69"/>
      <c r="S25" s="69"/>
      <c r="T25" s="69"/>
      <c r="U25" s="69"/>
      <c r="V25" s="69"/>
      <c r="W25" s="69"/>
      <c r="X25" s="69"/>
      <c r="Y25" s="69"/>
      <c r="Z25" s="69"/>
    </row>
    <row r="26" spans="1:44" hidden="1" x14ac:dyDescent="0.2">
      <c r="K26" s="69"/>
      <c r="L26" s="69"/>
      <c r="M26" s="69"/>
      <c r="S26" s="69"/>
      <c r="T26" s="69"/>
      <c r="U26" s="69"/>
      <c r="V26" s="69"/>
      <c r="W26" s="69"/>
      <c r="X26" s="69"/>
      <c r="Y26" s="69"/>
      <c r="Z26" s="69"/>
    </row>
    <row r="27" spans="1:44" hidden="1" x14ac:dyDescent="0.2">
      <c r="K27" s="69"/>
      <c r="L27" s="69"/>
      <c r="M27" s="69"/>
      <c r="S27" s="69"/>
      <c r="T27" s="69"/>
      <c r="U27" s="69"/>
      <c r="V27" s="69"/>
      <c r="W27" s="69"/>
      <c r="X27" s="69"/>
      <c r="Y27" s="69"/>
      <c r="Z27" s="69"/>
    </row>
    <row r="28" spans="1:44" hidden="1" x14ac:dyDescent="0.2">
      <c r="K28" s="69"/>
      <c r="L28" s="69"/>
      <c r="M28" s="69"/>
      <c r="S28" s="69"/>
      <c r="T28" s="69"/>
      <c r="U28" s="69"/>
      <c r="V28" s="69"/>
      <c r="W28" s="69"/>
      <c r="X28" s="69"/>
      <c r="Y28" s="69"/>
      <c r="Z28" s="69"/>
    </row>
    <row r="29" spans="1:44" hidden="1" x14ac:dyDescent="0.2">
      <c r="K29" s="69"/>
      <c r="L29" s="69"/>
      <c r="M29" s="69"/>
      <c r="S29" s="69"/>
      <c r="T29" s="69"/>
      <c r="U29" s="69"/>
      <c r="V29" s="69"/>
      <c r="W29" s="69"/>
      <c r="X29" s="69"/>
      <c r="Y29" s="69"/>
      <c r="Z29" s="69"/>
    </row>
    <row r="30" spans="1:44" hidden="1" x14ac:dyDescent="0.2">
      <c r="K30" s="69"/>
      <c r="L30" s="69"/>
      <c r="M30" s="69"/>
      <c r="S30" s="69"/>
      <c r="T30" s="69"/>
      <c r="U30" s="69"/>
      <c r="V30" s="69"/>
      <c r="W30" s="69"/>
      <c r="X30" s="69"/>
      <c r="Y30" s="69"/>
      <c r="Z30" s="69"/>
    </row>
    <row r="31" spans="1:44"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row>
    <row r="32" spans="1:44"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row>
    <row r="33" spans="1:27"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1:27"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row>
    <row r="35" spans="1:27"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row>
    <row r="36" spans="1:27"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row>
    <row r="38" spans="1:27"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row>
    <row r="39" spans="1:27"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row>
    <row r="40" spans="1:27"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row>
    <row r="41" spans="1:27"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row>
    <row r="42" spans="1:27"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row>
    <row r="43" spans="1:27"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row>
    <row r="44" spans="1:27"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row>
    <row r="45" spans="1:27"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row>
    <row r="46" spans="1:27"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row>
    <row r="47" spans="1:27"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row>
    <row r="48" spans="1:27"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row>
    <row r="49" spans="1:27"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row>
    <row r="50" spans="1:27"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row>
    <row r="51" spans="1:27"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row>
    <row r="52" spans="1:27"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row>
    <row r="53" spans="1:27"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row>
    <row r="54" spans="1:27"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row>
    <row r="55" spans="1:27"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row>
    <row r="56" spans="1:27"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row>
    <row r="57" spans="1:27"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row>
    <row r="58" spans="1:27"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row>
    <row r="59" spans="1:27"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row>
    <row r="60" spans="1:27"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row>
    <row r="61" spans="1:27"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row>
    <row r="62" spans="1:27"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row>
    <row r="63" spans="1:27"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row>
    <row r="64" spans="1:27"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row>
    <row r="65" spans="1:27"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row>
    <row r="66" spans="1:27"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row>
    <row r="67" spans="1:27"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row>
    <row r="68" spans="1:27"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row>
    <row r="69" spans="1:27"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row>
    <row r="70" spans="1:27"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row>
    <row r="71" spans="1:27"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row>
    <row r="72" spans="1:27"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row>
    <row r="73" spans="1:27"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row>
    <row r="74" spans="1:27"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row>
    <row r="75" spans="1:27"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row>
    <row r="76" spans="1:27"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row>
    <row r="77" spans="1:27"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row>
    <row r="78" spans="1:27"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row>
    <row r="79" spans="1:27"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row>
    <row r="80" spans="1:27"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row>
    <row r="81" spans="1:27"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row>
    <row r="82" spans="1:27"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row>
    <row r="83" spans="1:27"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row>
    <row r="84" spans="1:27"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row>
    <row r="85" spans="1:27"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row>
    <row r="86" spans="1:27"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row>
    <row r="87" spans="1:27"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row>
    <row r="88" spans="1:27"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row>
    <row r="89" spans="1:27"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row>
    <row r="90" spans="1:27"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row>
    <row r="91" spans="1:27"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row>
    <row r="92" spans="1:27"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row>
    <row r="93" spans="1:27"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row>
    <row r="94" spans="1:27"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row>
    <row r="95" spans="1:27"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row>
    <row r="96" spans="1:27"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row>
    <row r="97" spans="1:27"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row>
    <row r="98" spans="1:27"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row>
    <row r="99" spans="1:27" x14ac:dyDescent="0.2">
      <c r="A99" s="606"/>
      <c r="B99" s="606"/>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row>
    <row r="100" spans="1:27" x14ac:dyDescent="0.2">
      <c r="A100" s="239" t="s">
        <v>370</v>
      </c>
      <c r="B100" s="809"/>
      <c r="C100" s="204"/>
      <c r="D100" s="204"/>
      <c r="E100" s="204"/>
      <c r="F100" s="259"/>
      <c r="G100" s="645"/>
      <c r="H100" s="53"/>
      <c r="I100" s="810"/>
      <c r="J100" s="53"/>
      <c r="K100" s="606"/>
      <c r="L100" s="606"/>
      <c r="M100" s="606"/>
      <c r="N100" s="606"/>
      <c r="O100" s="606"/>
      <c r="P100" s="606"/>
      <c r="Q100" s="606"/>
      <c r="R100" s="606"/>
      <c r="S100" s="606"/>
      <c r="T100" s="606"/>
      <c r="U100" s="606"/>
      <c r="V100" s="606"/>
      <c r="W100" s="606"/>
      <c r="X100" s="606"/>
      <c r="Y100" s="606"/>
      <c r="Z100" s="606"/>
      <c r="AA100" s="606"/>
    </row>
    <row r="101" spans="1:27"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27" x14ac:dyDescent="0.2">
      <c r="A102" s="240">
        <v>1</v>
      </c>
      <c r="B102" s="641" t="str">
        <f>IFERROR(INDEX(B$1:B$99,MATCH(A102,A$1:A$99,0)),"")</f>
        <v>Jelena Brakina, Mait Metsla, Marek Kolk</v>
      </c>
      <c r="C102" s="74">
        <v>13</v>
      </c>
      <c r="D102" s="74"/>
      <c r="E102" s="74"/>
      <c r="F102" s="74"/>
      <c r="G102" s="74"/>
      <c r="H102" s="130"/>
      <c r="I102" s="70"/>
      <c r="J102" s="130"/>
      <c r="O102" s="606"/>
      <c r="P102" s="606"/>
      <c r="Q102" s="606"/>
      <c r="R102" s="606"/>
      <c r="S102" s="606"/>
      <c r="T102" s="606"/>
      <c r="U102" s="606"/>
      <c r="V102" s="606"/>
      <c r="W102" s="606"/>
      <c r="X102" s="606"/>
      <c r="Y102" s="606"/>
      <c r="Z102" s="606"/>
      <c r="AA102" s="606"/>
    </row>
    <row r="103" spans="1:27" x14ac:dyDescent="0.2">
      <c r="A103" s="242"/>
      <c r="B103" s="649"/>
      <c r="C103" s="74" t="str">
        <f>IF(COUNT(C102,C104)=2,IF(C102&gt;C104,B102,B104),"")</f>
        <v>Jelena Brakina, Mait Metsla, Marek Kolk</v>
      </c>
      <c r="G103" s="419">
        <v>2</v>
      </c>
      <c r="H103" s="74"/>
      <c r="I103" s="74"/>
      <c r="J103" s="74"/>
      <c r="K103" s="74"/>
      <c r="L103" s="70"/>
      <c r="M103" s="130"/>
      <c r="O103" s="606"/>
      <c r="P103" s="606"/>
      <c r="Q103" s="606"/>
      <c r="R103" s="606"/>
      <c r="S103" s="606"/>
      <c r="T103" s="606"/>
      <c r="U103" s="606"/>
      <c r="V103" s="606"/>
      <c r="W103" s="606"/>
      <c r="X103" s="606"/>
      <c r="Y103" s="606"/>
      <c r="Z103" s="606"/>
      <c r="AA103" s="606"/>
    </row>
    <row r="104" spans="1:27" x14ac:dyDescent="0.2">
      <c r="A104" s="242">
        <v>8</v>
      </c>
      <c r="B104" s="644" t="str">
        <f>IFERROR(INDEX(B$1:B$99,MATCH(A104,A$1:A$99,0)),"")</f>
        <v>Kevin Sten Liik, Mare Kingissepp, Silver Kingissepp</v>
      </c>
      <c r="C104" s="646">
        <v>11</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27" x14ac:dyDescent="0.2">
      <c r="A105" s="242"/>
      <c r="B105" s="645"/>
      <c r="C105" s="49"/>
      <c r="D105" s="262"/>
      <c r="E105" s="262"/>
      <c r="F105" s="653"/>
      <c r="G105" s="417" t="str">
        <f>IF(COUNT(G103,G107)=2,IF(G103&gt;G107,C103,C107),"")</f>
        <v>Aigi Orro, Elmo Lageda, Kalle Orro</v>
      </c>
      <c r="H105" s="74"/>
      <c r="K105" s="241">
        <v>5</v>
      </c>
      <c r="L105" s="74"/>
      <c r="M105" s="74"/>
      <c r="N105" s="262"/>
      <c r="O105" s="606"/>
      <c r="P105" s="606"/>
      <c r="Q105" s="606"/>
      <c r="R105" s="606"/>
      <c r="S105" s="606"/>
      <c r="T105" s="606"/>
      <c r="U105" s="606"/>
      <c r="V105" s="606"/>
      <c r="W105" s="606"/>
      <c r="X105" s="606"/>
      <c r="Y105" s="606"/>
      <c r="Z105" s="606"/>
      <c r="AA105" s="606"/>
    </row>
    <row r="106" spans="1:27" x14ac:dyDescent="0.2">
      <c r="A106" s="242">
        <v>4</v>
      </c>
      <c r="B106" s="641" t="str">
        <f>IFERROR(INDEX(B$1:B$99,MATCH(A106,A$1:A$99,0)),"")</f>
        <v>Aigi Orro, Elmo Lageda, Kalle Orro</v>
      </c>
      <c r="C106" s="74">
        <v>13</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27" x14ac:dyDescent="0.2">
      <c r="A107" s="242"/>
      <c r="B107" s="649"/>
      <c r="C107" s="74" t="str">
        <f>IF(COUNT(C106,C108)=2,IF(C106&gt;C108,B106,B108),"")</f>
        <v>Aigi Orro, Elmo Lageda, Kalle Orro</v>
      </c>
      <c r="D107" s="654"/>
      <c r="E107" s="654"/>
      <c r="F107" s="655"/>
      <c r="G107" s="247">
        <v>13</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27" x14ac:dyDescent="0.2">
      <c r="A108" s="242">
        <v>5</v>
      </c>
      <c r="B108" s="644" t="str">
        <f>IFERROR(INDEX(B$1:B$99,MATCH(A108,A$1:A$99,0)),"")</f>
        <v>Kadri Veljend, Marina Vallik, Uku Kollom</v>
      </c>
      <c r="C108" s="646">
        <v>10</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27" ht="13.5" thickBot="1" x14ac:dyDescent="0.25">
      <c r="A109" s="41"/>
      <c r="B109" s="645"/>
      <c r="C109" s="74"/>
      <c r="G109" s="49"/>
      <c r="H109" s="49"/>
      <c r="I109" s="262"/>
      <c r="J109" s="653"/>
      <c r="K109" s="74"/>
      <c r="M109" s="425" t="str">
        <f>IF(COUNT(K105,K113)=2,IF(K105&gt;K113,G105,G113),"")</f>
        <v>Katri Aavekukk, Margus Berkmann, Veiko Proos</v>
      </c>
      <c r="N109" s="74"/>
      <c r="O109" s="262"/>
      <c r="P109" s="606"/>
      <c r="Q109" s="606"/>
      <c r="R109" s="606"/>
      <c r="S109" s="606"/>
      <c r="T109" s="606"/>
      <c r="U109" s="606"/>
      <c r="V109" s="606"/>
      <c r="W109" s="606"/>
      <c r="X109" s="606"/>
      <c r="Y109" s="606"/>
      <c r="Z109" s="606"/>
      <c r="AA109" s="606"/>
    </row>
    <row r="110" spans="1:27" x14ac:dyDescent="0.2">
      <c r="A110" s="240">
        <v>3</v>
      </c>
      <c r="B110" s="641" t="str">
        <f>IFERROR(INDEX(B$1:B$99,MATCH(A110,A$1:A$99,0)),"")</f>
        <v>Andero Kelu, Merike Aava, Urmo Auväärt</v>
      </c>
      <c r="C110" s="74">
        <v>13</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27" x14ac:dyDescent="0.2">
      <c r="A111" s="242"/>
      <c r="B111" s="649"/>
      <c r="C111" s="74" t="str">
        <f>IF(COUNT(C110,C112)=2,IF(C110&gt;C112,B110,B112),"")</f>
        <v>Andero Kelu, Merike Aava, Urmo Auväärt</v>
      </c>
      <c r="G111" s="247">
        <v>4</v>
      </c>
      <c r="H111" s="49"/>
      <c r="I111" s="262"/>
      <c r="J111" s="653"/>
      <c r="K111" s="49"/>
      <c r="M111" s="74"/>
      <c r="N111" s="74"/>
      <c r="O111" s="262"/>
      <c r="P111" s="606"/>
      <c r="Q111" s="606"/>
      <c r="R111" s="606"/>
      <c r="S111" s="606"/>
      <c r="T111" s="606"/>
      <c r="U111" s="606"/>
      <c r="V111" s="606"/>
      <c r="W111" s="606"/>
      <c r="X111" s="606"/>
      <c r="Y111" s="606"/>
      <c r="Z111" s="606"/>
      <c r="AA111" s="606"/>
    </row>
    <row r="112" spans="1:27" x14ac:dyDescent="0.2">
      <c r="A112" s="242">
        <v>6</v>
      </c>
      <c r="B112" s="644" t="str">
        <f>IFERROR(INDEX(B$1:B$99,MATCH(A112,A$1:A$99,0)),"")</f>
        <v>Ivar Viljaste, Maive Sein, Varje Reede</v>
      </c>
      <c r="C112" s="646">
        <v>3</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Katri Aavekukk, Margus Berkmann, Veiko Proos</v>
      </c>
      <c r="H113" s="243"/>
      <c r="I113" s="654"/>
      <c r="J113" s="655"/>
      <c r="K113" s="247">
        <v>13</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Katri Aavekukk, Margus Berkmann, Veiko Proos</v>
      </c>
      <c r="C114" s="74">
        <v>13</v>
      </c>
      <c r="D114" s="262"/>
      <c r="E114" s="262"/>
      <c r="F114" s="653"/>
      <c r="G114" s="49"/>
      <c r="H114" s="49"/>
      <c r="K114" s="49"/>
      <c r="M114" s="425" t="str">
        <f>IF(COUNT(K105,K113)=2,IF(K105&lt;K113,G105,G113),"")</f>
        <v>Aigi Orro, Elmo Lageda, Kalle Orro</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Katri Aavekukk, Margus Berkmann, Veiko Proos</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Andres Veski, Kenneth Muusikus, Svetlana Veski</v>
      </c>
      <c r="C116" s="646">
        <v>0</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Jelena Brakina, Mait Metsla, Marek Kolk</v>
      </c>
      <c r="H117" s="74"/>
      <c r="K117" s="247">
        <v>11</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Andero Kelu, Merike Aava, Urmo Auväärt</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Andero Kelu, Merike Aava, Urmo Auväärt</v>
      </c>
      <c r="H119" s="243"/>
      <c r="I119" s="654"/>
      <c r="J119" s="655"/>
      <c r="K119" s="247">
        <v>13</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Jelena Brakina, Mait Metsla, Marek Kolk</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Kevin Sten Liik, Mare Kingissepp, Silver Kingissepp</v>
      </c>
      <c r="G123" s="241">
        <v>11</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Kadri Veljend, Marina Vallik, Uku Kollom</v>
      </c>
      <c r="H124" s="74"/>
      <c r="K124" s="648">
        <v>10</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Kadri Veljend, Marina Vallik, Uku Kollom</v>
      </c>
      <c r="D125" s="654"/>
      <c r="E125" s="654"/>
      <c r="F125" s="655"/>
      <c r="G125" s="244">
        <v>13</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Ivar Viljaste, Maive Sein, Varje Reede</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Ivar Viljaste, Maive Sein, Varje Reede</v>
      </c>
      <c r="G127" s="241">
        <v>13</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Ivar Viljaste, Maive Sein, Varje Reede</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Andres Veski, Kenneth Muusikus, Svetlana Veski</v>
      </c>
      <c r="D129" s="654"/>
      <c r="E129" s="654"/>
      <c r="F129" s="655"/>
      <c r="G129" s="244">
        <v>10</v>
      </c>
      <c r="H129" s="241"/>
      <c r="K129" s="247"/>
      <c r="M129" s="425" t="str">
        <f>IF(COUNT(K124,K128)=2,IF(K124&lt;K128,G124,G128),"")</f>
        <v>Kadri Veljend, Marina Vallik, Uku Kollom</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Kevin Sten Liik, Mare Kingissepp, Silver Kingissepp</v>
      </c>
      <c r="H131" s="74"/>
      <c r="K131" s="247">
        <v>13</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Kevin Sten Liik, Mare Kingissepp, Silver Kingissepp</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Andres Veski, Kenneth Muusikus, Svetlana Veski</v>
      </c>
      <c r="H133" s="243"/>
      <c r="I133" s="654"/>
      <c r="J133" s="655"/>
      <c r="K133" s="247">
        <v>9</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Andres Veski, Kenneth Muusikus, Svetlana Veski</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942</v>
      </c>
    </row>
    <row r="140" spans="1:27" ht="13.5" thickBot="1" x14ac:dyDescent="0.25">
      <c r="K140" s="605">
        <v>9</v>
      </c>
      <c r="L140" s="69"/>
      <c r="M140" s="641" t="str">
        <f>IFERROR(INDEX(B$1:B$100,MATCH(K140,A$1:A$100,0)),"")</f>
        <v>Janek Kiisk, Marge Mägi, Margo Peebo</v>
      </c>
      <c r="N140" s="252"/>
      <c r="S140" s="606"/>
      <c r="T140" s="606"/>
      <c r="U140" s="606"/>
      <c r="V140" s="606"/>
      <c r="W140" s="606"/>
      <c r="X140" s="606"/>
      <c r="Y140" s="606"/>
      <c r="Z140" s="606"/>
      <c r="AA140" s="606"/>
    </row>
    <row r="141" spans="1:27" x14ac:dyDescent="0.2">
      <c r="K141" s="605"/>
      <c r="L141" s="69"/>
      <c r="M141" s="250" t="s">
        <v>376</v>
      </c>
      <c r="N141" s="49"/>
      <c r="S141" s="606"/>
      <c r="T141" s="606"/>
      <c r="U141" s="606"/>
      <c r="V141" s="606"/>
      <c r="W141" s="606"/>
      <c r="X141" s="606"/>
      <c r="Y141" s="606"/>
      <c r="Z141" s="606"/>
      <c r="AA141" s="606"/>
    </row>
    <row r="142" spans="1:27" x14ac:dyDescent="0.2">
      <c r="K142" s="605"/>
      <c r="L142" s="69"/>
      <c r="M142" s="49"/>
      <c r="N142" s="49"/>
      <c r="S142" s="606"/>
      <c r="T142" s="606"/>
      <c r="U142" s="606"/>
      <c r="V142" s="606"/>
      <c r="W142" s="606"/>
      <c r="X142" s="606"/>
      <c r="Y142" s="606"/>
      <c r="Z142" s="606"/>
      <c r="AA142" s="606"/>
    </row>
    <row r="143" spans="1:27" ht="13.5" thickBot="1" x14ac:dyDescent="0.25">
      <c r="K143" s="605">
        <v>10</v>
      </c>
      <c r="L143" s="69"/>
      <c r="M143" s="807" t="str">
        <f>IFERROR(INDEX(B$1:B$100,MATCH(K143,A$1:A$100,0)),"")</f>
        <v>Aivar Sein, Maris Rõõm, Ruudi Väärtnõu</v>
      </c>
      <c r="N143" s="252"/>
      <c r="S143" s="606"/>
      <c r="T143" s="606"/>
      <c r="U143" s="606"/>
      <c r="V143" s="606"/>
      <c r="W143" s="606"/>
      <c r="X143" s="606"/>
      <c r="Y143" s="606"/>
      <c r="Z143" s="606"/>
      <c r="AA143" s="606"/>
    </row>
    <row r="144" spans="1:27" x14ac:dyDescent="0.2">
      <c r="K144" s="605"/>
      <c r="L144" s="69"/>
      <c r="M144" s="253" t="s">
        <v>377</v>
      </c>
      <c r="N144" s="49"/>
      <c r="S144" s="606"/>
      <c r="T144" s="606"/>
      <c r="U144" s="606"/>
      <c r="V144" s="606"/>
      <c r="W144" s="606"/>
      <c r="X144" s="606"/>
      <c r="Y144" s="606"/>
      <c r="Z144" s="606"/>
      <c r="AA144" s="606"/>
    </row>
    <row r="145" spans="11:27" x14ac:dyDescent="0.2">
      <c r="K145" s="605"/>
      <c r="L145" s="69"/>
      <c r="M145" s="49"/>
      <c r="N145" s="49"/>
      <c r="S145" s="606"/>
      <c r="T145" s="606"/>
      <c r="U145" s="606"/>
      <c r="V145" s="606"/>
      <c r="W145" s="606"/>
      <c r="X145" s="606"/>
      <c r="Y145" s="606"/>
      <c r="Z145" s="606"/>
      <c r="AA145" s="606"/>
    </row>
    <row r="146" spans="11:27" ht="13.5" thickBot="1" x14ac:dyDescent="0.25">
      <c r="K146" s="605">
        <v>11</v>
      </c>
      <c r="L146" s="69"/>
      <c r="M146" s="641" t="str">
        <f>IFERROR(INDEX(B$1:B$100,MATCH(K146,A$1:A$100,0)),"")</f>
        <v>Külli Kariste, Marju Velga, Urmas Berkmann</v>
      </c>
      <c r="N146" s="252"/>
      <c r="S146" s="606"/>
      <c r="T146" s="606"/>
      <c r="U146" s="606"/>
      <c r="V146" s="606"/>
      <c r="W146" s="606"/>
      <c r="X146" s="606"/>
      <c r="Y146" s="606"/>
      <c r="Z146" s="606"/>
      <c r="AA146" s="606"/>
    </row>
    <row r="147" spans="11:27" x14ac:dyDescent="0.2">
      <c r="K147" s="69"/>
      <c r="L147" s="69"/>
      <c r="M147" s="250" t="s">
        <v>378</v>
      </c>
      <c r="N147" s="238"/>
      <c r="S147" s="606"/>
      <c r="T147" s="606"/>
      <c r="U147" s="606"/>
      <c r="V147" s="606"/>
      <c r="W147" s="606"/>
      <c r="X147" s="606"/>
      <c r="Y147" s="606"/>
      <c r="Z147" s="606"/>
      <c r="AA147" s="606"/>
    </row>
    <row r="148" spans="11:27" hidden="1" x14ac:dyDescent="0.2">
      <c r="K148" s="69"/>
      <c r="L148" s="69"/>
      <c r="M148" s="69"/>
      <c r="S148" s="606"/>
      <c r="T148" s="606"/>
      <c r="U148" s="606"/>
      <c r="V148" s="606"/>
      <c r="W148" s="606"/>
      <c r="X148" s="606"/>
      <c r="Y148" s="606"/>
      <c r="Z148" s="606"/>
      <c r="AA148" s="606"/>
    </row>
    <row r="149" spans="11:27" hidden="1" x14ac:dyDescent="0.2">
      <c r="K149" s="69"/>
      <c r="L149" s="69"/>
      <c r="M149" s="69"/>
      <c r="S149" s="606"/>
      <c r="T149" s="606"/>
      <c r="U149" s="606"/>
      <c r="V149" s="606"/>
      <c r="W149" s="606"/>
      <c r="X149" s="606"/>
      <c r="Y149" s="606"/>
      <c r="Z149" s="606"/>
      <c r="AA149" s="606"/>
    </row>
    <row r="150" spans="11:27" hidden="1" x14ac:dyDescent="0.2">
      <c r="K150" s="69"/>
      <c r="L150" s="69"/>
      <c r="M150" s="69"/>
      <c r="S150" s="606"/>
      <c r="T150" s="606"/>
      <c r="U150" s="606"/>
      <c r="V150" s="606"/>
      <c r="W150" s="606"/>
      <c r="X150" s="606"/>
      <c r="Y150" s="606"/>
      <c r="Z150" s="606"/>
      <c r="AA150" s="606"/>
    </row>
    <row r="151" spans="11:27" hidden="1" x14ac:dyDescent="0.2">
      <c r="K151" s="69"/>
      <c r="L151" s="69"/>
      <c r="M151" s="69"/>
      <c r="S151" s="606"/>
      <c r="T151" s="606"/>
      <c r="U151" s="606"/>
      <c r="V151" s="606"/>
      <c r="W151" s="606"/>
      <c r="X151" s="606"/>
      <c r="Y151" s="606"/>
      <c r="Z151" s="606"/>
      <c r="AA151" s="606"/>
    </row>
    <row r="152" spans="11:27" hidden="1" x14ac:dyDescent="0.2">
      <c r="K152" s="69"/>
      <c r="L152" s="69"/>
      <c r="M152" s="69"/>
      <c r="S152" s="606"/>
      <c r="T152" s="606"/>
      <c r="U152" s="606"/>
      <c r="V152" s="606"/>
      <c r="W152" s="606"/>
      <c r="X152" s="606"/>
      <c r="Y152" s="606"/>
      <c r="Z152" s="606"/>
      <c r="AA152" s="606"/>
    </row>
    <row r="153" spans="11:27" hidden="1" x14ac:dyDescent="0.2">
      <c r="K153" s="69"/>
      <c r="L153" s="69"/>
      <c r="M153" s="69"/>
      <c r="S153" s="606"/>
      <c r="T153" s="606"/>
      <c r="U153" s="606"/>
      <c r="V153" s="606"/>
      <c r="W153" s="606"/>
      <c r="X153" s="606"/>
      <c r="Y153" s="606"/>
      <c r="Z153" s="606"/>
      <c r="AA153" s="606"/>
    </row>
    <row r="154" spans="11:27" hidden="1" x14ac:dyDescent="0.2">
      <c r="K154" s="69"/>
      <c r="L154" s="69"/>
      <c r="M154" s="69"/>
      <c r="S154" s="606"/>
      <c r="T154" s="606"/>
      <c r="U154" s="606"/>
      <c r="V154" s="606"/>
      <c r="W154" s="606"/>
      <c r="X154" s="606"/>
      <c r="Y154" s="606"/>
      <c r="Z154" s="606"/>
      <c r="AA154" s="606"/>
    </row>
    <row r="155" spans="11:27" hidden="1" x14ac:dyDescent="0.2">
      <c r="K155" s="69"/>
      <c r="L155" s="69"/>
      <c r="M155" s="69"/>
      <c r="S155" s="606"/>
      <c r="T155" s="606"/>
      <c r="U155" s="606"/>
      <c r="V155" s="606"/>
      <c r="W155" s="606"/>
      <c r="X155" s="606"/>
      <c r="Y155" s="606"/>
      <c r="Z155" s="606"/>
      <c r="AA155" s="606"/>
    </row>
    <row r="156" spans="11:27" hidden="1" x14ac:dyDescent="0.2">
      <c r="K156" s="69"/>
      <c r="L156" s="69"/>
      <c r="M156" s="69"/>
      <c r="S156" s="606"/>
      <c r="T156" s="606"/>
      <c r="U156" s="606"/>
      <c r="V156" s="606"/>
      <c r="W156" s="606"/>
      <c r="X156" s="606"/>
      <c r="Y156" s="606"/>
      <c r="Z156" s="606"/>
      <c r="AA156" s="606"/>
    </row>
    <row r="157" spans="11:27" hidden="1" x14ac:dyDescent="0.2">
      <c r="K157" s="69"/>
      <c r="L157" s="69"/>
      <c r="M157" s="69"/>
      <c r="S157" s="606"/>
      <c r="T157" s="606"/>
      <c r="U157" s="606"/>
      <c r="V157" s="606"/>
      <c r="W157" s="606"/>
      <c r="X157" s="606"/>
      <c r="Y157" s="606"/>
      <c r="Z157" s="606"/>
      <c r="AA157" s="606"/>
    </row>
    <row r="158" spans="11:27" hidden="1" x14ac:dyDescent="0.2">
      <c r="K158" s="69"/>
      <c r="L158" s="69"/>
      <c r="M158" s="69"/>
      <c r="S158" s="606"/>
      <c r="T158" s="606"/>
      <c r="U158" s="606"/>
      <c r="V158" s="606"/>
      <c r="W158" s="606"/>
      <c r="X158" s="606"/>
      <c r="Y158" s="606"/>
      <c r="Z158" s="606"/>
      <c r="AA158" s="606"/>
    </row>
    <row r="159" spans="11:27" hidden="1" x14ac:dyDescent="0.2">
      <c r="K159" s="69"/>
      <c r="L159" s="69"/>
      <c r="M159" s="69"/>
      <c r="S159" s="606"/>
      <c r="T159" s="606"/>
      <c r="U159" s="606"/>
      <c r="V159" s="606"/>
      <c r="W159" s="606"/>
      <c r="X159" s="606"/>
      <c r="Y159" s="606"/>
      <c r="Z159" s="606"/>
      <c r="AA159" s="606"/>
    </row>
    <row r="160" spans="11:27" hidden="1" x14ac:dyDescent="0.2">
      <c r="K160" s="69"/>
      <c r="L160" s="69"/>
      <c r="M160" s="69"/>
      <c r="S160" s="606"/>
      <c r="T160" s="606"/>
      <c r="U160" s="606"/>
      <c r="V160" s="606"/>
      <c r="W160" s="606"/>
      <c r="X160" s="606"/>
      <c r="Y160" s="606"/>
      <c r="Z160" s="606"/>
      <c r="AA160" s="606"/>
    </row>
    <row r="161" spans="11:27" hidden="1" x14ac:dyDescent="0.2">
      <c r="K161" s="69"/>
      <c r="L161" s="69"/>
      <c r="M161" s="69"/>
      <c r="S161" s="606"/>
      <c r="T161" s="606"/>
      <c r="U161" s="606"/>
      <c r="V161" s="606"/>
      <c r="W161" s="606"/>
      <c r="X161" s="606"/>
      <c r="Y161" s="606"/>
      <c r="Z161" s="606"/>
      <c r="AA161" s="606"/>
    </row>
    <row r="162" spans="11:27" hidden="1" x14ac:dyDescent="0.2">
      <c r="K162" s="69"/>
      <c r="L162" s="69"/>
      <c r="M162" s="69"/>
      <c r="S162" s="606"/>
      <c r="T162" s="606"/>
      <c r="U162" s="606"/>
      <c r="V162" s="606"/>
      <c r="W162" s="606"/>
      <c r="X162" s="606"/>
      <c r="Y162" s="606"/>
      <c r="Z162" s="606"/>
      <c r="AA162" s="606"/>
    </row>
    <row r="163" spans="11:27" hidden="1" x14ac:dyDescent="0.2">
      <c r="K163" s="69"/>
      <c r="L163" s="69"/>
      <c r="M163" s="69"/>
      <c r="S163" s="606"/>
      <c r="T163" s="606"/>
      <c r="U163" s="606"/>
      <c r="V163" s="606"/>
      <c r="W163" s="606"/>
      <c r="X163" s="606"/>
      <c r="Y163" s="606"/>
      <c r="Z163" s="606"/>
      <c r="AA163" s="606"/>
    </row>
    <row r="164" spans="11:27" hidden="1" x14ac:dyDescent="0.2">
      <c r="K164" s="69"/>
      <c r="L164" s="69"/>
      <c r="M164" s="69"/>
      <c r="S164" s="606"/>
      <c r="T164" s="606"/>
      <c r="U164" s="606"/>
      <c r="V164" s="606"/>
      <c r="W164" s="606"/>
      <c r="X164" s="606"/>
      <c r="Y164" s="606"/>
      <c r="Z164" s="606"/>
      <c r="AA164" s="606"/>
    </row>
    <row r="165" spans="11:27" hidden="1" x14ac:dyDescent="0.2">
      <c r="K165" s="69"/>
      <c r="L165" s="69"/>
      <c r="M165" s="69"/>
      <c r="S165" s="606"/>
      <c r="T165" s="606"/>
      <c r="U165" s="606"/>
      <c r="V165" s="606"/>
      <c r="W165" s="606"/>
      <c r="X165" s="606"/>
      <c r="Y165" s="606"/>
      <c r="Z165" s="606"/>
      <c r="AA165" s="606"/>
    </row>
    <row r="166" spans="11:27" hidden="1" x14ac:dyDescent="0.2">
      <c r="K166" s="69"/>
      <c r="L166" s="69"/>
      <c r="M166" s="69"/>
      <c r="S166" s="606"/>
      <c r="T166" s="606"/>
      <c r="U166" s="606"/>
      <c r="V166" s="606"/>
      <c r="W166" s="606"/>
      <c r="X166" s="606"/>
      <c r="Y166" s="606"/>
      <c r="Z166" s="606"/>
      <c r="AA166" s="606"/>
    </row>
    <row r="167" spans="11:27" hidden="1" x14ac:dyDescent="0.2">
      <c r="K167" s="69"/>
      <c r="L167" s="69"/>
      <c r="M167" s="69"/>
      <c r="S167" s="606"/>
      <c r="T167" s="606"/>
      <c r="U167" s="606"/>
      <c r="V167" s="606"/>
      <c r="W167" s="606"/>
      <c r="X167" s="606"/>
      <c r="Y167" s="606"/>
      <c r="Z167" s="606"/>
      <c r="AA167" s="606"/>
    </row>
    <row r="168" spans="11:27" hidden="1" x14ac:dyDescent="0.2">
      <c r="K168" s="69"/>
      <c r="L168" s="69"/>
      <c r="M168" s="69"/>
      <c r="S168" s="606"/>
      <c r="T168" s="606"/>
      <c r="U168" s="606"/>
      <c r="V168" s="606"/>
      <c r="W168" s="606"/>
      <c r="X168" s="606"/>
      <c r="Y168" s="606"/>
      <c r="Z168" s="606"/>
      <c r="AA168" s="606"/>
    </row>
    <row r="169" spans="11:27" hidden="1" x14ac:dyDescent="0.2">
      <c r="K169" s="69"/>
      <c r="L169" s="69"/>
      <c r="M169" s="69"/>
      <c r="S169" s="69"/>
      <c r="T169" s="69"/>
      <c r="U169" s="69"/>
      <c r="V169" s="69"/>
      <c r="W169" s="69"/>
      <c r="X169" s="69"/>
      <c r="Y169" s="69"/>
      <c r="Z169" s="69"/>
    </row>
    <row r="170" spans="11:27" hidden="1" x14ac:dyDescent="0.2">
      <c r="K170" s="69"/>
      <c r="L170" s="69"/>
      <c r="M170" s="69"/>
      <c r="S170" s="69"/>
      <c r="T170" s="69"/>
      <c r="U170" s="69"/>
      <c r="V170" s="69"/>
      <c r="W170" s="69"/>
      <c r="X170" s="69"/>
      <c r="Y170" s="69"/>
      <c r="Z170" s="69"/>
    </row>
    <row r="171" spans="11:27" hidden="1" x14ac:dyDescent="0.2">
      <c r="K171" s="69"/>
      <c r="L171" s="69"/>
      <c r="M171" s="69"/>
      <c r="S171" s="69"/>
      <c r="T171" s="69"/>
      <c r="U171" s="69"/>
      <c r="V171" s="69"/>
      <c r="W171" s="69"/>
      <c r="X171" s="69"/>
      <c r="Y171" s="69"/>
      <c r="Z171" s="69"/>
    </row>
    <row r="172" spans="11:27" hidden="1" x14ac:dyDescent="0.2">
      <c r="K172" s="69"/>
      <c r="L172" s="69"/>
      <c r="M172" s="69"/>
    </row>
    <row r="173" spans="11:27" hidden="1" x14ac:dyDescent="0.2">
      <c r="K173" s="69"/>
      <c r="L173" s="69"/>
      <c r="M173" s="69"/>
    </row>
    <row r="174" spans="11:27" hidden="1" x14ac:dyDescent="0.2">
      <c r="K174" s="69"/>
      <c r="L174" s="69"/>
      <c r="M174" s="69"/>
    </row>
    <row r="175" spans="11:27" hidden="1" x14ac:dyDescent="0.2">
      <c r="K175" s="69"/>
      <c r="L175" s="69"/>
      <c r="M175" s="69"/>
    </row>
    <row r="176" spans="11:27" hidden="1" x14ac:dyDescent="0.2">
      <c r="K176" s="69"/>
      <c r="L176" s="69"/>
      <c r="M176" s="69"/>
    </row>
    <row r="177" spans="11:13" hidden="1" x14ac:dyDescent="0.2">
      <c r="K177" s="69"/>
      <c r="L177" s="69"/>
      <c r="M177" s="69"/>
    </row>
    <row r="178" spans="11:13" hidden="1" x14ac:dyDescent="0.2">
      <c r="K178" s="69"/>
      <c r="L178" s="69"/>
      <c r="M178" s="69"/>
    </row>
    <row r="179" spans="11:13" hidden="1" x14ac:dyDescent="0.2">
      <c r="K179" s="69"/>
      <c r="L179" s="69"/>
      <c r="M179" s="69"/>
    </row>
    <row r="180" spans="11:13" hidden="1" x14ac:dyDescent="0.2">
      <c r="K180" s="69"/>
      <c r="L180" s="69"/>
      <c r="M180" s="69"/>
    </row>
    <row r="181" spans="11:13" hidden="1" x14ac:dyDescent="0.2">
      <c r="K181" s="69"/>
      <c r="L181" s="69"/>
      <c r="M181" s="69"/>
    </row>
    <row r="182" spans="11:13" hidden="1" x14ac:dyDescent="0.2">
      <c r="K182" s="69"/>
      <c r="L182" s="69"/>
      <c r="M182" s="69"/>
    </row>
    <row r="183" spans="11:13" hidden="1" x14ac:dyDescent="0.2">
      <c r="K183" s="69"/>
      <c r="L183" s="69"/>
      <c r="M183" s="69"/>
    </row>
    <row r="184" spans="11:13" hidden="1" x14ac:dyDescent="0.2">
      <c r="K184" s="69"/>
      <c r="L184" s="69"/>
      <c r="M184" s="69"/>
    </row>
    <row r="185" spans="11:13" hidden="1" x14ac:dyDescent="0.2">
      <c r="K185" s="69"/>
      <c r="L185" s="69"/>
      <c r="M185" s="69"/>
    </row>
    <row r="186" spans="11:13" hidden="1" x14ac:dyDescent="0.2">
      <c r="K186" s="69"/>
      <c r="L186" s="69"/>
      <c r="M186" s="69"/>
    </row>
    <row r="187" spans="11:13" hidden="1" x14ac:dyDescent="0.2">
      <c r="K187" s="69"/>
      <c r="L187" s="69"/>
      <c r="M187" s="69"/>
    </row>
    <row r="188" spans="11:13" hidden="1" x14ac:dyDescent="0.2">
      <c r="K188" s="69"/>
      <c r="L188" s="69"/>
      <c r="M188" s="69"/>
    </row>
    <row r="189" spans="11:13" hidden="1" x14ac:dyDescent="0.2">
      <c r="K189" s="69"/>
      <c r="L189" s="69"/>
      <c r="M189" s="69"/>
    </row>
    <row r="190" spans="11:13" hidden="1" x14ac:dyDescent="0.2">
      <c r="K190" s="69"/>
      <c r="L190" s="69"/>
      <c r="M190" s="69"/>
    </row>
    <row r="191" spans="11:13" hidden="1" x14ac:dyDescent="0.2">
      <c r="K191" s="69"/>
      <c r="L191" s="69"/>
      <c r="M191" s="69"/>
    </row>
    <row r="192" spans="11:13" hidden="1" x14ac:dyDescent="0.2">
      <c r="K192" s="69"/>
      <c r="L192" s="69"/>
      <c r="M192" s="69"/>
    </row>
    <row r="193" spans="11:13" hidden="1" x14ac:dyDescent="0.2">
      <c r="K193" s="69"/>
      <c r="L193" s="69"/>
      <c r="M193" s="69"/>
    </row>
    <row r="194" spans="11:13" hidden="1" x14ac:dyDescent="0.2">
      <c r="K194" s="69"/>
      <c r="L194" s="69"/>
      <c r="M194" s="69"/>
    </row>
    <row r="195" spans="11:13" hidden="1" x14ac:dyDescent="0.2">
      <c r="K195" s="69"/>
      <c r="L195" s="69"/>
      <c r="M195" s="69"/>
    </row>
    <row r="196" spans="11:13" hidden="1" x14ac:dyDescent="0.2">
      <c r="K196" s="69"/>
      <c r="L196" s="69"/>
      <c r="M196" s="69"/>
    </row>
    <row r="197" spans="11:13" hidden="1" x14ac:dyDescent="0.2">
      <c r="K197" s="69"/>
      <c r="L197" s="69"/>
      <c r="M197" s="69"/>
    </row>
    <row r="198" spans="11:13" hidden="1" x14ac:dyDescent="0.2">
      <c r="K198" s="69"/>
      <c r="L198" s="69"/>
      <c r="M198" s="69"/>
    </row>
    <row r="199" spans="11:13" hidden="1" x14ac:dyDescent="0.2">
      <c r="K199" s="69"/>
      <c r="L199" s="69"/>
      <c r="M199" s="69"/>
    </row>
    <row r="200" spans="11:13" hidden="1" x14ac:dyDescent="0.2">
      <c r="K200" s="69"/>
      <c r="L200" s="69"/>
      <c r="M200" s="69"/>
    </row>
    <row r="201" spans="11:13" hidden="1" x14ac:dyDescent="0.2">
      <c r="K201" s="69"/>
      <c r="L201" s="69"/>
      <c r="M201" s="69"/>
    </row>
    <row r="202" spans="11:13" hidden="1" x14ac:dyDescent="0.2">
      <c r="K202" s="69"/>
      <c r="L202" s="69"/>
      <c r="M202" s="69"/>
    </row>
    <row r="203" spans="11:13" hidden="1" x14ac:dyDescent="0.2">
      <c r="K203" s="69"/>
      <c r="L203" s="69"/>
      <c r="M203" s="69"/>
    </row>
    <row r="204" spans="11:13" hidden="1" x14ac:dyDescent="0.2">
      <c r="K204" s="69"/>
      <c r="L204" s="69"/>
      <c r="M204" s="69"/>
    </row>
    <row r="205" spans="11:13" hidden="1" x14ac:dyDescent="0.2">
      <c r="K205" s="69"/>
      <c r="L205" s="69"/>
      <c r="M205" s="69"/>
    </row>
    <row r="206" spans="11:13" hidden="1" x14ac:dyDescent="0.2">
      <c r="K206" s="69"/>
      <c r="L206" s="69"/>
      <c r="M206" s="69"/>
    </row>
    <row r="207" spans="11:13" hidden="1" x14ac:dyDescent="0.2">
      <c r="K207" s="69"/>
      <c r="L207" s="69"/>
      <c r="M207" s="69"/>
    </row>
    <row r="208" spans="11:13" hidden="1" x14ac:dyDescent="0.2">
      <c r="K208" s="69"/>
      <c r="L208" s="69"/>
      <c r="M208" s="69"/>
    </row>
    <row r="209" spans="11:13" hidden="1" x14ac:dyDescent="0.2">
      <c r="K209" s="69"/>
      <c r="L209" s="69"/>
      <c r="M209" s="69"/>
    </row>
    <row r="210" spans="11:13" hidden="1" x14ac:dyDescent="0.2">
      <c r="K210" s="69"/>
      <c r="L210" s="69"/>
      <c r="M210" s="69"/>
    </row>
    <row r="211" spans="11:13" hidden="1" x14ac:dyDescent="0.2">
      <c r="K211" s="69"/>
      <c r="L211" s="69"/>
      <c r="M211" s="69"/>
    </row>
    <row r="212" spans="11:13" hidden="1" x14ac:dyDescent="0.2">
      <c r="K212" s="69"/>
      <c r="L212" s="69"/>
      <c r="M212" s="69"/>
    </row>
    <row r="213" spans="11:13" hidden="1" x14ac:dyDescent="0.2">
      <c r="K213" s="69"/>
      <c r="L213" s="69"/>
      <c r="M213" s="69"/>
    </row>
    <row r="214" spans="11:13" hidden="1" x14ac:dyDescent="0.2"/>
    <row r="215" spans="11:13" hidden="1" x14ac:dyDescent="0.2"/>
    <row r="216" spans="11:13" hidden="1" x14ac:dyDescent="0.2"/>
    <row r="217" spans="11:13" hidden="1" x14ac:dyDescent="0.2"/>
    <row r="218" spans="11:13" hidden="1" x14ac:dyDescent="0.2"/>
    <row r="219" spans="11:13" hidden="1" x14ac:dyDescent="0.2"/>
    <row r="220" spans="11:13" hidden="1" x14ac:dyDescent="0.2"/>
    <row r="221" spans="11:13" hidden="1" x14ac:dyDescent="0.2"/>
    <row r="222" spans="11:13" hidden="1" x14ac:dyDescent="0.2"/>
    <row r="223" spans="11:13" hidden="1" x14ac:dyDescent="0.2"/>
    <row r="224" spans="1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S298" s="262"/>
      <c r="AT298" s="262"/>
    </row>
    <row r="299" spans="1:46" x14ac:dyDescent="0.2">
      <c r="A299" s="623"/>
      <c r="B299" s="623"/>
      <c r="C299" s="663" t="s">
        <v>220</v>
      </c>
      <c r="D299" s="611"/>
      <c r="E299" s="611"/>
      <c r="AS299" s="262"/>
      <c r="AT299" s="262"/>
    </row>
    <row r="300" spans="1:46" x14ac:dyDescent="0.2">
      <c r="A300" s="624">
        <v>1</v>
      </c>
      <c r="B300" s="680" t="str">
        <f t="shared" ref="B300:B310" si="10">IFERROR(INDEX(M$100:M$298,MATCH(A300&amp;". koht",M$101:M$299,0)),"")</f>
        <v>Katri Aavekukk, Margus Berkmann, Veiko Proos</v>
      </c>
      <c r="C300" s="664">
        <v>173</v>
      </c>
      <c r="D300" s="74"/>
      <c r="E300" s="74"/>
      <c r="AS300" s="262"/>
      <c r="AT300" s="262"/>
    </row>
    <row r="301" spans="1:46" x14ac:dyDescent="0.2">
      <c r="A301" s="624">
        <v>2</v>
      </c>
      <c r="B301" s="261" t="str">
        <f t="shared" si="10"/>
        <v>Aigi Orro, Elmo Lageda, Kalle Orro</v>
      </c>
      <c r="C301" s="665">
        <v>158</v>
      </c>
      <c r="D301" s="606"/>
      <c r="E301" s="606"/>
      <c r="AS301" s="262"/>
      <c r="AT301" s="262"/>
    </row>
    <row r="302" spans="1:46" x14ac:dyDescent="0.2">
      <c r="A302" s="624">
        <v>3</v>
      </c>
      <c r="B302" s="261" t="str">
        <f t="shared" si="10"/>
        <v>Andero Kelu, Merike Aava, Urmo Auväärt</v>
      </c>
      <c r="C302" s="665">
        <v>146</v>
      </c>
      <c r="D302" s="606"/>
      <c r="E302" s="606"/>
      <c r="AS302" s="262"/>
      <c r="AT302" s="262"/>
    </row>
    <row r="303" spans="1:46" x14ac:dyDescent="0.2">
      <c r="A303" s="624">
        <v>4</v>
      </c>
      <c r="B303" s="261" t="str">
        <f t="shared" si="10"/>
        <v>Jelena Brakina, Mait Metsla, Marek Kolk</v>
      </c>
      <c r="C303" s="665">
        <v>135</v>
      </c>
      <c r="D303" s="606"/>
      <c r="E303" s="606"/>
      <c r="AS303" s="262"/>
      <c r="AT303" s="262"/>
    </row>
    <row r="304" spans="1:46" x14ac:dyDescent="0.2">
      <c r="A304" s="624">
        <v>5</v>
      </c>
      <c r="B304" s="261" t="str">
        <f t="shared" si="10"/>
        <v>Ivar Viljaste, Maive Sein, Varje Reede</v>
      </c>
      <c r="C304" s="665">
        <v>126</v>
      </c>
      <c r="D304" s="606"/>
      <c r="E304" s="606"/>
      <c r="AS304" s="262"/>
      <c r="AT304" s="262"/>
    </row>
    <row r="305" spans="1:46" x14ac:dyDescent="0.2">
      <c r="A305" s="624">
        <v>6</v>
      </c>
      <c r="B305" s="261" t="str">
        <f t="shared" si="10"/>
        <v>Kadri Veljend, Marina Vallik, Uku Kollom</v>
      </c>
      <c r="C305" s="665">
        <v>119</v>
      </c>
      <c r="D305" s="606"/>
      <c r="E305" s="606"/>
      <c r="AS305" s="262"/>
      <c r="AT305" s="262"/>
    </row>
    <row r="306" spans="1:46" x14ac:dyDescent="0.2">
      <c r="A306" s="624">
        <v>7</v>
      </c>
      <c r="B306" s="261" t="str">
        <f t="shared" si="10"/>
        <v>Kevin Sten Liik, Mare Kingissepp, Silver Kingissepp</v>
      </c>
      <c r="C306" s="665">
        <v>111</v>
      </c>
      <c r="D306" s="606"/>
      <c r="E306" s="606"/>
      <c r="AS306" s="262"/>
      <c r="AT306" s="262"/>
    </row>
    <row r="307" spans="1:46" x14ac:dyDescent="0.2">
      <c r="A307" s="624">
        <v>8</v>
      </c>
      <c r="B307" s="261" t="str">
        <f t="shared" si="10"/>
        <v>Andres Veski, Kenneth Muusikus, Svetlana Veski</v>
      </c>
      <c r="C307" s="665">
        <v>104</v>
      </c>
      <c r="D307" s="606"/>
      <c r="E307" s="606"/>
      <c r="AS307" s="262"/>
      <c r="AT307" s="262"/>
    </row>
    <row r="308" spans="1:46" x14ac:dyDescent="0.2">
      <c r="A308" s="624">
        <v>9</v>
      </c>
      <c r="B308" s="261" t="str">
        <f t="shared" si="10"/>
        <v>Janek Kiisk, Marge Mägi, Margo Peebo</v>
      </c>
      <c r="C308" s="665">
        <v>96</v>
      </c>
      <c r="D308" s="606"/>
      <c r="E308" s="606"/>
      <c r="AS308" s="262"/>
      <c r="AT308" s="262"/>
    </row>
    <row r="309" spans="1:46" x14ac:dyDescent="0.2">
      <c r="A309" s="624">
        <v>10</v>
      </c>
      <c r="B309" s="261" t="str">
        <f t="shared" si="10"/>
        <v>Aivar Sein, Maris Rõõm, Ruudi Väärtnõu</v>
      </c>
      <c r="C309" s="665">
        <v>90</v>
      </c>
      <c r="D309" s="606"/>
      <c r="E309" s="606"/>
      <c r="AS309" s="262"/>
      <c r="AT309" s="262"/>
    </row>
    <row r="310" spans="1:46" x14ac:dyDescent="0.2">
      <c r="A310" s="624">
        <v>11</v>
      </c>
      <c r="B310" s="261" t="str">
        <f t="shared" si="10"/>
        <v>Külli Kariste, Marju Velga, Urmas Berkmann</v>
      </c>
      <c r="C310" s="665">
        <v>84</v>
      </c>
      <c r="D310" s="606"/>
      <c r="E310" s="606"/>
      <c r="AS310" s="262"/>
      <c r="AT310" s="262"/>
    </row>
    <row r="311" spans="1:46" hidden="1" x14ac:dyDescent="0.2">
      <c r="A311" s="262"/>
      <c r="B311" s="262"/>
      <c r="C311" s="666">
        <v>78</v>
      </c>
      <c r="I311" s="262"/>
      <c r="J311" s="262"/>
      <c r="N311" s="262"/>
      <c r="O311" s="262"/>
      <c r="P311" s="262"/>
      <c r="Q311" s="262"/>
      <c r="R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row>
    <row r="312" spans="1:46" hidden="1" x14ac:dyDescent="0.2">
      <c r="A312" s="262"/>
      <c r="B312" s="262"/>
      <c r="C312" s="666">
        <v>74</v>
      </c>
      <c r="I312" s="262"/>
      <c r="J312" s="262"/>
      <c r="N312" s="262"/>
      <c r="O312" s="262"/>
      <c r="P312" s="262"/>
      <c r="Q312" s="262"/>
      <c r="R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row>
    <row r="313" spans="1:46" hidden="1" x14ac:dyDescent="0.2">
      <c r="A313" s="262"/>
      <c r="B313" s="262"/>
      <c r="C313" s="666">
        <v>69</v>
      </c>
      <c r="I313" s="262"/>
      <c r="J313" s="262"/>
      <c r="N313" s="262"/>
      <c r="O313" s="262"/>
      <c r="P313" s="262"/>
      <c r="Q313" s="262"/>
      <c r="R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row>
    <row r="314" spans="1:46" hidden="1" x14ac:dyDescent="0.2">
      <c r="A314" s="262"/>
      <c r="B314" s="262"/>
      <c r="C314" s="666">
        <v>65</v>
      </c>
      <c r="I314" s="262"/>
      <c r="J314" s="262"/>
      <c r="N314" s="262"/>
      <c r="O314" s="262"/>
      <c r="P314" s="262"/>
      <c r="Q314" s="262"/>
      <c r="R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row>
    <row r="315" spans="1:46" hidden="1" x14ac:dyDescent="0.2">
      <c r="A315" s="262"/>
      <c r="B315" s="262"/>
      <c r="C315" s="666">
        <v>60</v>
      </c>
      <c r="I315" s="262"/>
      <c r="J315" s="262"/>
      <c r="N315" s="262"/>
      <c r="O315" s="262"/>
      <c r="P315" s="262"/>
      <c r="Q315" s="262"/>
      <c r="R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row>
    <row r="316" spans="1:46" hidden="1" x14ac:dyDescent="0.2">
      <c r="A316" s="262"/>
      <c r="B316" s="262"/>
      <c r="C316" s="666">
        <v>56</v>
      </c>
      <c r="I316" s="262"/>
      <c r="J316" s="262"/>
      <c r="N316" s="262"/>
      <c r="O316" s="262"/>
      <c r="P316" s="262"/>
      <c r="Q316" s="262"/>
      <c r="R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row>
    <row r="317" spans="1:46" hidden="1" x14ac:dyDescent="0.2">
      <c r="A317" s="262"/>
      <c r="B317" s="262"/>
      <c r="C317" s="666">
        <v>51</v>
      </c>
      <c r="I317" s="262"/>
      <c r="J317" s="262"/>
      <c r="N317" s="262"/>
      <c r="O317" s="262"/>
      <c r="P317" s="262"/>
      <c r="Q317" s="262"/>
      <c r="R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row>
    <row r="318" spans="1:46" hidden="1" x14ac:dyDescent="0.2">
      <c r="A318" s="262"/>
      <c r="B318" s="262"/>
      <c r="C318" s="666">
        <v>47</v>
      </c>
      <c r="I318" s="262"/>
      <c r="J318" s="262"/>
      <c r="N318" s="262"/>
      <c r="O318" s="262"/>
      <c r="P318" s="262"/>
      <c r="Q318" s="262"/>
      <c r="R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row>
    <row r="319" spans="1:46" hidden="1" x14ac:dyDescent="0.2">
      <c r="A319" s="262"/>
      <c r="B319" s="262"/>
      <c r="C319" s="666">
        <v>42</v>
      </c>
      <c r="I319" s="262"/>
      <c r="J319" s="262"/>
      <c r="N319" s="262"/>
      <c r="O319" s="262"/>
      <c r="P319" s="262"/>
      <c r="Q319" s="262"/>
      <c r="R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row>
    <row r="320" spans="1:46" hidden="1" x14ac:dyDescent="0.2">
      <c r="A320" s="262"/>
      <c r="B320" s="262"/>
      <c r="C320" s="666">
        <v>38</v>
      </c>
      <c r="I320" s="262"/>
      <c r="J320" s="262"/>
      <c r="N320" s="262"/>
      <c r="O320" s="262"/>
      <c r="P320" s="262"/>
      <c r="Q320" s="262"/>
      <c r="R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row>
    <row r="321" spans="1:46" hidden="1" x14ac:dyDescent="0.2">
      <c r="A321" s="262"/>
      <c r="B321" s="262"/>
      <c r="C321" s="666">
        <v>33</v>
      </c>
      <c r="I321" s="262"/>
      <c r="J321" s="262"/>
      <c r="N321" s="262"/>
      <c r="O321" s="262"/>
      <c r="P321" s="262"/>
      <c r="Q321" s="262"/>
      <c r="R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row>
    <row r="322" spans="1:46" hidden="1" x14ac:dyDescent="0.2">
      <c r="A322" s="262"/>
      <c r="B322" s="262"/>
      <c r="C322" s="666">
        <v>29</v>
      </c>
      <c r="I322" s="262"/>
      <c r="J322" s="262"/>
      <c r="N322" s="262"/>
      <c r="O322" s="262"/>
      <c r="P322" s="262"/>
      <c r="Q322" s="262"/>
      <c r="R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row>
    <row r="323" spans="1:46" hidden="1" x14ac:dyDescent="0.2">
      <c r="A323" s="262"/>
      <c r="B323" s="262"/>
      <c r="C323" s="666">
        <v>24</v>
      </c>
      <c r="I323" s="262"/>
      <c r="J323" s="262"/>
      <c r="N323" s="262"/>
      <c r="O323" s="262"/>
      <c r="P323" s="262"/>
      <c r="Q323" s="262"/>
      <c r="R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row>
    <row r="324" spans="1:46" hidden="1" x14ac:dyDescent="0.2">
      <c r="C324" s="666">
        <v>21</v>
      </c>
      <c r="I324" s="262"/>
      <c r="J324" s="262"/>
      <c r="N324" s="262"/>
      <c r="O324" s="262"/>
      <c r="P324" s="262"/>
      <c r="Q324" s="262"/>
      <c r="R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row>
    <row r="325" spans="1:46" hidden="1" x14ac:dyDescent="0.2">
      <c r="C325" s="666">
        <v>18</v>
      </c>
      <c r="I325" s="262"/>
      <c r="J325" s="262"/>
      <c r="N325" s="262"/>
      <c r="O325" s="262"/>
      <c r="P325" s="262"/>
      <c r="Q325" s="262"/>
      <c r="R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row>
    <row r="326" spans="1:46" hidden="1" x14ac:dyDescent="0.2">
      <c r="C326" s="666">
        <v>16</v>
      </c>
      <c r="I326" s="262"/>
      <c r="J326" s="262"/>
      <c r="N326" s="262"/>
      <c r="O326" s="262"/>
      <c r="P326" s="262"/>
      <c r="Q326" s="262"/>
      <c r="R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row>
    <row r="327" spans="1:46" hidden="1" x14ac:dyDescent="0.2">
      <c r="C327" s="666">
        <v>14</v>
      </c>
      <c r="I327" s="262"/>
      <c r="J327" s="262"/>
      <c r="N327" s="262"/>
      <c r="O327" s="262"/>
      <c r="P327" s="262"/>
      <c r="Q327" s="262"/>
      <c r="R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row>
    <row r="328" spans="1:46" hidden="1" x14ac:dyDescent="0.2">
      <c r="C328" s="666">
        <v>12</v>
      </c>
      <c r="I328" s="262"/>
      <c r="J328" s="262"/>
      <c r="N328" s="262"/>
      <c r="O328" s="262"/>
      <c r="P328" s="262"/>
      <c r="Q328" s="262"/>
      <c r="R328" s="262"/>
      <c r="AA328" s="262"/>
      <c r="AB328" s="262"/>
      <c r="AC328" s="262"/>
      <c r="AD328" s="262"/>
      <c r="AE328" s="262"/>
      <c r="AF328" s="262"/>
      <c r="AG328" s="262"/>
      <c r="AH328" s="262"/>
      <c r="AI328" s="262"/>
      <c r="AJ328" s="262"/>
      <c r="AK328" s="262"/>
      <c r="AL328" s="262"/>
      <c r="AM328" s="262"/>
      <c r="AN328" s="262"/>
      <c r="AO328" s="262"/>
      <c r="AP328" s="262"/>
      <c r="AQ328" s="262"/>
      <c r="AR328" s="262"/>
      <c r="AS328" s="262"/>
    </row>
    <row r="329" spans="1:46" hidden="1" x14ac:dyDescent="0.2">
      <c r="C329" s="666">
        <v>10</v>
      </c>
      <c r="I329" s="262"/>
      <c r="J329" s="262"/>
      <c r="N329" s="262"/>
      <c r="O329" s="262"/>
      <c r="P329" s="262"/>
      <c r="Q329" s="262"/>
      <c r="R329" s="262"/>
      <c r="AA329" s="262"/>
      <c r="AB329" s="262"/>
      <c r="AC329" s="262"/>
      <c r="AD329" s="262"/>
      <c r="AE329" s="262"/>
      <c r="AF329" s="262"/>
      <c r="AG329" s="262"/>
      <c r="AH329" s="262"/>
      <c r="AI329" s="262"/>
      <c r="AJ329" s="262"/>
      <c r="AK329" s="262"/>
      <c r="AL329" s="262"/>
      <c r="AM329" s="262"/>
      <c r="AN329" s="262"/>
      <c r="AO329" s="262"/>
      <c r="AP329" s="262"/>
      <c r="AQ329" s="262"/>
      <c r="AR329" s="262"/>
      <c r="AS329" s="262"/>
    </row>
    <row r="330" spans="1:46" hidden="1" x14ac:dyDescent="0.2">
      <c r="C330" s="666">
        <v>8</v>
      </c>
      <c r="I330" s="262"/>
      <c r="J330" s="262"/>
      <c r="N330" s="262"/>
      <c r="O330" s="262"/>
      <c r="P330" s="262"/>
      <c r="Q330" s="262"/>
      <c r="R330" s="262"/>
      <c r="AA330" s="262"/>
      <c r="AB330" s="262"/>
      <c r="AC330" s="262"/>
      <c r="AD330" s="262"/>
      <c r="AE330" s="262"/>
      <c r="AF330" s="262"/>
      <c r="AG330" s="262"/>
      <c r="AH330" s="262"/>
      <c r="AI330" s="262"/>
      <c r="AJ330" s="262"/>
      <c r="AK330" s="262"/>
      <c r="AL330" s="262"/>
      <c r="AM330" s="262"/>
      <c r="AN330" s="262"/>
      <c r="AO330" s="262"/>
      <c r="AP330" s="262"/>
      <c r="AQ330" s="262"/>
      <c r="AR330" s="262"/>
      <c r="AS330" s="262"/>
    </row>
    <row r="331" spans="1:46" hidden="1" x14ac:dyDescent="0.2">
      <c r="C331" s="666">
        <v>6</v>
      </c>
      <c r="I331" s="262"/>
      <c r="J331" s="262"/>
      <c r="N331" s="262"/>
      <c r="O331" s="262"/>
      <c r="P331" s="262"/>
      <c r="Q331" s="262"/>
      <c r="R331" s="262"/>
      <c r="AA331" s="262"/>
      <c r="AB331" s="262"/>
      <c r="AC331" s="262"/>
      <c r="AD331" s="262"/>
      <c r="AE331" s="262"/>
      <c r="AF331" s="262"/>
      <c r="AG331" s="262"/>
      <c r="AH331" s="262"/>
      <c r="AI331" s="262"/>
      <c r="AJ331" s="262"/>
      <c r="AK331" s="262"/>
      <c r="AL331" s="262"/>
      <c r="AM331" s="262"/>
      <c r="AN331" s="262"/>
      <c r="AO331" s="262"/>
      <c r="AP331" s="262"/>
      <c r="AQ331" s="262"/>
      <c r="AR331" s="262"/>
      <c r="AS331" s="262"/>
    </row>
    <row r="332" spans="1:46" hidden="1" x14ac:dyDescent="0.2">
      <c r="C332" s="666">
        <v>3</v>
      </c>
      <c r="I332" s="262"/>
      <c r="J332" s="262"/>
      <c r="N332" s="262"/>
      <c r="O332" s="262"/>
      <c r="P332" s="262"/>
      <c r="Q332" s="262"/>
      <c r="R332" s="262"/>
      <c r="AA332" s="262"/>
      <c r="AB332" s="262"/>
      <c r="AC332" s="262"/>
      <c r="AD332" s="262"/>
      <c r="AE332" s="262"/>
      <c r="AF332" s="262"/>
      <c r="AG332" s="262"/>
      <c r="AH332" s="262"/>
      <c r="AI332" s="262"/>
      <c r="AJ332" s="262"/>
      <c r="AK332" s="262"/>
      <c r="AL332" s="262"/>
      <c r="AM332" s="262"/>
      <c r="AN332" s="262"/>
      <c r="AO332" s="262"/>
      <c r="AP332" s="262"/>
      <c r="AQ332" s="262"/>
      <c r="AR332" s="262"/>
      <c r="AS332" s="262"/>
    </row>
    <row r="333" spans="1:46" hidden="1" x14ac:dyDescent="0.2">
      <c r="C333" s="666">
        <v>0</v>
      </c>
      <c r="I333" s="262"/>
      <c r="J333" s="262"/>
      <c r="N333" s="262"/>
      <c r="O333" s="262"/>
      <c r="P333" s="262"/>
      <c r="Q333" s="262"/>
      <c r="R333" s="262"/>
      <c r="AA333" s="262"/>
      <c r="AB333" s="262"/>
      <c r="AC333" s="262"/>
      <c r="AD333" s="262"/>
      <c r="AE333" s="262"/>
      <c r="AF333" s="262"/>
      <c r="AG333" s="262"/>
      <c r="AH333" s="262"/>
      <c r="AI333" s="262"/>
      <c r="AJ333" s="262"/>
      <c r="AK333" s="262"/>
      <c r="AL333" s="262"/>
      <c r="AM333" s="262"/>
      <c r="AN333" s="262"/>
      <c r="AO333" s="262"/>
      <c r="AP333" s="262"/>
      <c r="AQ333" s="262"/>
      <c r="AR333" s="262"/>
      <c r="AS333" s="262"/>
    </row>
    <row r="334" spans="1:46" hidden="1" x14ac:dyDescent="0.2">
      <c r="I334" s="262"/>
      <c r="J334" s="262"/>
      <c r="N334" s="262"/>
      <c r="O334" s="262"/>
      <c r="P334" s="262"/>
      <c r="Q334" s="262"/>
      <c r="R334" s="262"/>
      <c r="AA334" s="262"/>
      <c r="AB334" s="262"/>
      <c r="AC334" s="262"/>
      <c r="AD334" s="262"/>
      <c r="AE334" s="262"/>
      <c r="AF334" s="262"/>
      <c r="AG334" s="262"/>
      <c r="AH334" s="262"/>
      <c r="AI334" s="262"/>
      <c r="AJ334" s="262"/>
      <c r="AK334" s="262"/>
      <c r="AL334" s="262"/>
      <c r="AM334" s="262"/>
      <c r="AN334" s="262"/>
      <c r="AO334" s="262"/>
      <c r="AP334" s="262"/>
      <c r="AQ334" s="262"/>
      <c r="AR334" s="262"/>
      <c r="AS334" s="262"/>
    </row>
  </sheetData>
  <conditionalFormatting sqref="A300:A310">
    <cfRule type="duplicateValues" dxfId="1244" priority="114"/>
  </conditionalFormatting>
  <conditionalFormatting sqref="B300:B310">
    <cfRule type="duplicateValues" dxfId="1243" priority="91"/>
  </conditionalFormatting>
  <conditionalFormatting sqref="C7:F17">
    <cfRule type="expression" dxfId="1242" priority="112">
      <formula>IF($C7&gt;$E7,TRUE)</formula>
    </cfRule>
    <cfRule type="expression" dxfId="1241" priority="113">
      <formula>IF($C7&lt;$E7,TRUE)</formula>
    </cfRule>
  </conditionalFormatting>
  <conditionalFormatting sqref="C7:C17">
    <cfRule type="expression" dxfId="1240" priority="111">
      <formula>IF($C7&gt;$E7,TRUE)</formula>
    </cfRule>
  </conditionalFormatting>
  <conditionalFormatting sqref="E7:E17">
    <cfRule type="expression" dxfId="1239" priority="110">
      <formula>IF($C7&lt;$E7,TRUE)</formula>
    </cfRule>
  </conditionalFormatting>
  <conditionalFormatting sqref="G7:J17">
    <cfRule type="expression" dxfId="1238" priority="108">
      <formula>IF($G7&gt;$I7,TRUE)</formula>
    </cfRule>
    <cfRule type="expression" dxfId="1237" priority="109">
      <formula>IF($G7&lt;$I7,TRUE)</formula>
    </cfRule>
  </conditionalFormatting>
  <conditionalFormatting sqref="G7:G17">
    <cfRule type="expression" dxfId="1236" priority="107">
      <formula>IF($G7&gt;$I7,TRUE)</formula>
    </cfRule>
  </conditionalFormatting>
  <conditionalFormatting sqref="I7:I17">
    <cfRule type="expression" dxfId="1235" priority="106">
      <formula>IF($G7&lt;$I7,TRUE)</formula>
    </cfRule>
  </conditionalFormatting>
  <conditionalFormatting sqref="K7:N17">
    <cfRule type="expression" dxfId="1234" priority="104">
      <formula>IF($K7&gt;$M7,TRUE)</formula>
    </cfRule>
    <cfRule type="expression" dxfId="1233" priority="105">
      <formula>IF($K7&lt;$M7,TRUE)</formula>
    </cfRule>
  </conditionalFormatting>
  <conditionalFormatting sqref="K7:K17">
    <cfRule type="expression" dxfId="1232" priority="103">
      <formula>IF($K7&gt;$M7,TRUE)</formula>
    </cfRule>
  </conditionalFormatting>
  <conditionalFormatting sqref="M7:M17">
    <cfRule type="expression" dxfId="1231" priority="102">
      <formula>IF($K7&lt;$M7,TRUE)</formula>
    </cfRule>
  </conditionalFormatting>
  <conditionalFormatting sqref="O7:R17">
    <cfRule type="expression" dxfId="1230" priority="100">
      <formula>IF($O7&gt;$Q7,TRUE)</formula>
    </cfRule>
    <cfRule type="expression" dxfId="1229" priority="101">
      <formula>IF($O7&lt;$Q7,TRUE)</formula>
    </cfRule>
  </conditionalFormatting>
  <conditionalFormatting sqref="O7:O17">
    <cfRule type="expression" dxfId="1228" priority="99">
      <formula>IF($O7&gt;$Q7,TRUE)</formula>
    </cfRule>
  </conditionalFormatting>
  <conditionalFormatting sqref="Q7:Q17">
    <cfRule type="expression" dxfId="1227" priority="98">
      <formula>IF($O7&lt;$Q7,TRUE)</formula>
    </cfRule>
  </conditionalFormatting>
  <conditionalFormatting sqref="S7:Z17">
    <cfRule type="expression" dxfId="1226" priority="96">
      <formula>IF($S7&gt;$U7,TRUE)</formula>
    </cfRule>
    <cfRule type="expression" dxfId="1225" priority="97">
      <formula>IF($S7&lt;$U7,TRUE)</formula>
    </cfRule>
  </conditionalFormatting>
  <conditionalFormatting sqref="S7:S17 W7:W17">
    <cfRule type="expression" dxfId="1224" priority="95">
      <formula>IF($S7&gt;$U7,TRUE)</formula>
    </cfRule>
  </conditionalFormatting>
  <conditionalFormatting sqref="U7:U17 Y7:Y17">
    <cfRule type="expression" dxfId="1223" priority="94">
      <formula>IF($S7&lt;$U7,TRUE)</formula>
    </cfRule>
  </conditionalFormatting>
  <conditionalFormatting sqref="A102:A116">
    <cfRule type="cellIs" dxfId="1222" priority="92" operator="equal">
      <formula>"-"</formula>
    </cfRule>
    <cfRule type="duplicateValues" dxfId="1221" priority="93"/>
  </conditionalFormatting>
  <conditionalFormatting sqref="K131 K133">
    <cfRule type="containsBlanks" dxfId="1220" priority="89">
      <formula>LEN(TRIM(K131))=0</formula>
    </cfRule>
    <cfRule type="aboveAverage" dxfId="1219" priority="90"/>
  </conditionalFormatting>
  <conditionalFormatting sqref="G123 G125">
    <cfRule type="containsBlanks" dxfId="1218" priority="87">
      <formula>LEN(TRIM(G123))=0</formula>
    </cfRule>
    <cfRule type="aboveAverage" dxfId="1217" priority="88"/>
  </conditionalFormatting>
  <conditionalFormatting sqref="K117 K119">
    <cfRule type="aboveAverage" dxfId="1216" priority="86"/>
  </conditionalFormatting>
  <conditionalFormatting sqref="K117 K119">
    <cfRule type="containsBlanks" dxfId="1215" priority="85">
      <formula>LEN(TRIM(K117))=0</formula>
    </cfRule>
  </conditionalFormatting>
  <conditionalFormatting sqref="G103 G107">
    <cfRule type="containsBlanks" dxfId="1214" priority="83">
      <formula>LEN(TRIM(G103))=0</formula>
    </cfRule>
    <cfRule type="aboveAverage" dxfId="1213" priority="84"/>
  </conditionalFormatting>
  <conditionalFormatting sqref="G111 G115">
    <cfRule type="containsBlanks" dxfId="1212" priority="81">
      <formula>LEN(TRIM(G111))=0</formula>
    </cfRule>
    <cfRule type="aboveAverage" dxfId="1211" priority="82"/>
  </conditionalFormatting>
  <conditionalFormatting sqref="K105 K113">
    <cfRule type="containsBlanks" dxfId="1210" priority="77">
      <formula>LEN(TRIM(K105))=0</formula>
    </cfRule>
    <cfRule type="aboveAverage" dxfId="1209" priority="80"/>
  </conditionalFormatting>
  <conditionalFormatting sqref="G127 G129">
    <cfRule type="containsBlanks" dxfId="1208" priority="75">
      <formula>LEN(TRIM(G127))=0</formula>
    </cfRule>
    <cfRule type="aboveAverage" dxfId="1207" priority="76"/>
  </conditionalFormatting>
  <conditionalFormatting sqref="C114 C116">
    <cfRule type="containsBlanks" dxfId="1206" priority="65">
      <formula>LEN(TRIM(C114))=0</formula>
    </cfRule>
    <cfRule type="aboveAverage" dxfId="1205" priority="66"/>
  </conditionalFormatting>
  <conditionalFormatting sqref="C110 C112">
    <cfRule type="containsBlanks" dxfId="1204" priority="67">
      <formula>LEN(TRIM(C110))=0</formula>
    </cfRule>
    <cfRule type="aboveAverage" dxfId="1203" priority="68"/>
  </conditionalFormatting>
  <conditionalFormatting sqref="C106 C108">
    <cfRule type="containsBlanks" dxfId="1202" priority="69">
      <formula>LEN(TRIM(C106))=0</formula>
    </cfRule>
    <cfRule type="aboveAverage" dxfId="1201" priority="70"/>
  </conditionalFormatting>
  <conditionalFormatting sqref="C102 C104">
    <cfRule type="containsBlanks" dxfId="1200" priority="71">
      <formula>LEN(TRIM(C102))=0</formula>
    </cfRule>
    <cfRule type="aboveAverage" dxfId="1199" priority="72"/>
  </conditionalFormatting>
  <conditionalFormatting sqref="K124 K128">
    <cfRule type="containsBlanks" dxfId="1198" priority="73">
      <formula>LEN(TRIM(K124))=0</formula>
    </cfRule>
    <cfRule type="aboveAverage" dxfId="1197" priority="74"/>
  </conditionalFormatting>
  <conditionalFormatting sqref="B300">
    <cfRule type="expression" dxfId="1196" priority="40">
      <formula>$A$300=1</formula>
    </cfRule>
  </conditionalFormatting>
  <conditionalFormatting sqref="B301">
    <cfRule type="expression" dxfId="1195" priority="39">
      <formula>$A$301=2</formula>
    </cfRule>
  </conditionalFormatting>
  <conditionalFormatting sqref="B302">
    <cfRule type="expression" dxfId="1194" priority="38">
      <formula>$A$302=3</formula>
    </cfRule>
  </conditionalFormatting>
  <conditionalFormatting sqref="T330 T333">
    <cfRule type="expression" dxfId="1193" priority="37">
      <formula>AND(U330="",COUNTIF(T330,"*,*")=0)</formula>
    </cfRule>
  </conditionalFormatting>
  <conditionalFormatting sqref="AO311:AO333 AM311:AM333 AI311:AI333">
    <cfRule type="expression" dxfId="1192" priority="10">
      <formula>AND(AJ311="",COUNTIF(AI311,"*,*")=0)</formula>
    </cfRule>
  </conditionalFormatting>
  <conditionalFormatting sqref="AK311:AK333">
    <cfRule type="expression" dxfId="1191" priority="8">
      <formula>AND(AL311="",FIND(",",AK311))</formula>
    </cfRule>
    <cfRule type="expression" dxfId="1190" priority="9">
      <formula>AND(AL311="",COUNTIF(AK311,"*,*")=0)</formula>
    </cfRule>
  </conditionalFormatting>
  <conditionalFormatting sqref="AO7:AO17">
    <cfRule type="expression" dxfId="1189" priority="6">
      <formula>AND(AP7="",COUNTIF(AO7,"*,*")=0)</formula>
    </cfRule>
  </conditionalFormatting>
  <conditionalFormatting sqref="AQ7:AQ17">
    <cfRule type="expression" dxfId="1188" priority="5">
      <formula>AND(AR7="",COUNTIF(AQ7,"*,*")=0)</formula>
    </cfRule>
  </conditionalFormatting>
  <conditionalFormatting sqref="AK7:AK17">
    <cfRule type="expression" dxfId="1187" priority="4">
      <formula>AND(AL7="",COUNTIF(AK7,"*,*")=0)</formula>
    </cfRule>
  </conditionalFormatting>
  <conditionalFormatting sqref="AM7:AM17">
    <cfRule type="expression" dxfId="1186" priority="2">
      <formula>AND(AN7="",FIND(",",AM7))</formula>
    </cfRule>
    <cfRule type="expression" dxfId="1185" priority="7">
      <formula>AND(AN7="",COUNTIF(AM7,"*,*")=0)</formula>
    </cfRule>
  </conditionalFormatting>
  <conditionalFormatting sqref="AI7:AI17">
    <cfRule type="expression" dxfId="1184" priority="3">
      <formula>AND(AJ7="",COUNTIF(AI7,"*,*")=0)</formula>
    </cfRule>
  </conditionalFormatting>
  <conditionalFormatting sqref="C7:Z17">
    <cfRule type="containsText" dxfId="1183" priority="1" operator="containsText" text="vaba voor">
      <formula>NOT(ISERROR(SEARCH("vaba voor",C7)))</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1" manualBreakCount="1">
    <brk id="9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O1" sqref="O1"/>
    </sheetView>
  </sheetViews>
  <sheetFormatPr defaultRowHeight="12.75" x14ac:dyDescent="0.2"/>
  <cols>
    <col min="1" max="1" width="5.5703125" style="69" customWidth="1"/>
    <col min="2" max="2" width="44.42578125"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6.5703125" style="69" hidden="1" customWidth="1"/>
    <col min="36" max="36" width="6" style="69" hidden="1" customWidth="1"/>
    <col min="37" max="37" width="30.28515625" style="69" hidden="1" customWidth="1"/>
    <col min="38" max="38" width="6" style="69" hidden="1" customWidth="1"/>
    <col min="39" max="39" width="17.28515625" style="69" hidden="1" customWidth="1"/>
    <col min="40" max="40" width="6" style="69" hidden="1" customWidth="1"/>
    <col min="41" max="41" width="14" style="69" hidden="1" customWidth="1"/>
    <col min="42" max="42" width="6" style="69" hidden="1" customWidth="1"/>
    <col min="43" max="16384" width="9.140625" style="69"/>
  </cols>
  <sheetData>
    <row r="1" spans="1:42" x14ac:dyDescent="0.2">
      <c r="A1" s="605" t="str">
        <f>UPPER((Kalend!E21)&amp;" - "&amp;(Kalend!C21)&amp;" - "&amp;(Kalend!D21))</f>
        <v>7 - EESTI REITINGUVÕISTLUS - DUO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2" x14ac:dyDescent="0.2">
      <c r="A2" s="67" t="str">
        <f>"Toimumisaeg: "&amp;(Kalend!A21)&amp;" kell "&amp;(Kalend!B21)</f>
        <v>Toimumisaeg: P, 22.07.2018 kell 10:00</v>
      </c>
      <c r="AC2" s="264"/>
    </row>
    <row r="3" spans="1:42" x14ac:dyDescent="0.2">
      <c r="A3" s="67" t="str">
        <f>"Toimumiskoht: "&amp;(Kalend!H21)</f>
        <v>Toimumiskoht: Tallinn, Rummu tee 3</v>
      </c>
      <c r="I3" s="262"/>
      <c r="J3" s="132"/>
      <c r="K3" s="130"/>
      <c r="L3" s="610"/>
      <c r="AH3" s="681" t="s">
        <v>771</v>
      </c>
    </row>
    <row r="4" spans="1:42" x14ac:dyDescent="0.2">
      <c r="A4" s="67" t="str">
        <f>"Korraldaja: "&amp;(Kalend!I21)</f>
        <v>Korraldaja: SK Maestro Petanque</v>
      </c>
      <c r="I4" s="262"/>
      <c r="J4" s="611"/>
      <c r="L4" s="612"/>
      <c r="AH4" s="667" t="s">
        <v>189</v>
      </c>
      <c r="AI4" s="668"/>
      <c r="AJ4" s="625"/>
      <c r="AK4" s="669"/>
      <c r="AL4" s="625"/>
      <c r="AM4" s="625"/>
      <c r="AN4" s="625"/>
      <c r="AO4" s="625"/>
      <c r="AP4" s="625"/>
    </row>
    <row r="5" spans="1:42" x14ac:dyDescent="0.2">
      <c r="A5" s="67"/>
      <c r="J5" s="132"/>
      <c r="K5" s="130"/>
      <c r="L5" s="610"/>
      <c r="AH5" s="667" t="s">
        <v>764</v>
      </c>
      <c r="AI5" s="670" t="s">
        <v>765</v>
      </c>
      <c r="AJ5" s="670"/>
      <c r="AK5" s="671" t="s">
        <v>766</v>
      </c>
      <c r="AL5" s="670"/>
      <c r="AM5" s="670" t="s">
        <v>767</v>
      </c>
      <c r="AN5" s="670"/>
      <c r="AO5" s="670" t="s">
        <v>768</v>
      </c>
      <c r="AP5" s="672"/>
    </row>
    <row r="6" spans="1:42"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68"/>
      <c r="AJ6" s="625"/>
      <c r="AK6" s="668"/>
      <c r="AL6" s="625"/>
      <c r="AM6" s="673"/>
      <c r="AN6" s="673"/>
      <c r="AO6" s="673"/>
      <c r="AP6" s="673"/>
    </row>
    <row r="7" spans="1:42" x14ac:dyDescent="0.2">
      <c r="A7" s="616">
        <v>1</v>
      </c>
      <c r="B7" s="52" t="s">
        <v>837</v>
      </c>
      <c r="C7" s="618">
        <v>13</v>
      </c>
      <c r="D7" s="619" t="s">
        <v>615</v>
      </c>
      <c r="E7" s="620">
        <v>5</v>
      </c>
      <c r="F7" s="621" t="str">
        <f>B13</f>
        <v>Maive Sein, Varje Reede</v>
      </c>
      <c r="G7" s="618">
        <v>13</v>
      </c>
      <c r="H7" s="619" t="s">
        <v>615</v>
      </c>
      <c r="I7" s="620">
        <v>10</v>
      </c>
      <c r="J7" s="621" t="str">
        <f>B12</f>
        <v>Külli Kariste, Marju Velga</v>
      </c>
      <c r="K7" s="618">
        <v>13</v>
      </c>
      <c r="L7" s="619" t="s">
        <v>615</v>
      </c>
      <c r="M7" s="620">
        <v>8</v>
      </c>
      <c r="N7" s="621" t="str">
        <f>B9</f>
        <v>Janek Kiisk, Ruudi Väärtnõu</v>
      </c>
      <c r="O7" s="618">
        <v>13</v>
      </c>
      <c r="P7" s="619" t="s">
        <v>615</v>
      </c>
      <c r="Q7" s="620">
        <v>9</v>
      </c>
      <c r="R7" s="621" t="str">
        <f>B8</f>
        <v>Marek Kolk, Urmo Auväärt</v>
      </c>
      <c r="S7" s="618"/>
      <c r="T7" s="619" t="s">
        <v>615</v>
      </c>
      <c r="U7" s="620"/>
      <c r="V7" s="621"/>
      <c r="W7" s="618"/>
      <c r="X7" s="619" t="s">
        <v>615</v>
      </c>
      <c r="Y7" s="620"/>
      <c r="Z7" s="621"/>
      <c r="AA7" s="622">
        <f t="shared" ref="AA7:AA21" si="0">2*(IF(C7&gt;E7,1)+IF(G7&gt;I7,1)+IF(K7&gt;M7,1)+IF(O7&gt;Q7,1)+IF(S7&gt;U7,1)+IF(W7&gt;Y7,1))</f>
        <v>8</v>
      </c>
      <c r="AB7" s="626">
        <v>20</v>
      </c>
      <c r="AC7" s="629">
        <f t="shared" ref="AC7:AC21" si="1">C7+G7+K7+O7+S7+W7</f>
        <v>52</v>
      </c>
      <c r="AD7" s="630" t="s">
        <v>615</v>
      </c>
      <c r="AE7" s="631">
        <f t="shared" ref="AE7:AE21" si="2">E7+I7+M7+Q7+U7+Y7</f>
        <v>32</v>
      </c>
      <c r="AF7" s="804">
        <f t="shared" ref="AF7:AF21" si="3">AC7-AE7</f>
        <v>20</v>
      </c>
      <c r="AH7" s="672">
        <f t="shared" ref="AH7" ca="1" si="4">SUM(AJ7:AP7)</f>
        <v>576</v>
      </c>
      <c r="AI7" s="674" t="str">
        <f t="shared" ref="AI7:AI21" si="5">IFERROR(LEFT($B300,(FIND(",",$B300,1)-1)),"")</f>
        <v>Tanel Vähk</v>
      </c>
      <c r="AJ7" s="675">
        <f ca="1">IFERROR(INDEX(Üldreiting!$M:$M,MATCH(AI7,Üldreiting!$H:$H,0)),"")</f>
        <v>231</v>
      </c>
      <c r="AK7" s="674" t="str">
        <f t="shared" ref="AK7:AK21" si="6">IFERROR(MID($B300,FIND(", ",$B300)+2,256),"")</f>
        <v>Tõnis Neiland</v>
      </c>
      <c r="AL7" s="675">
        <f ca="1">IFERROR(INDEX(Üldreiting!$M:$M,MATCH(AK7,Üldreiting!$H:$H,0)),"")</f>
        <v>345</v>
      </c>
      <c r="AM7" s="676" t="str">
        <f t="shared" ref="AM7:AM21" si="7">IFERROR(MID($B300,FIND("^",SUBSTITUTE($B300,", ","^",1))+2,FIND("^",SUBSTITUTE($B300,", ","^",2))-FIND("^",SUBSTITUTE($B300,", ","^",1))-2),"")</f>
        <v/>
      </c>
      <c r="AN7" s="675" t="str">
        <f>IFERROR(INDEX(Üldreiting!$M:$M,MATCH(AM7,Üldreiting!$H:$H,0)),"")</f>
        <v/>
      </c>
      <c r="AO7" s="676" t="str">
        <f t="shared" ref="AO7:AO21" si="8">IFERROR(MID($B300,FIND(", ",$B300,FIND(", ",$B300,FIND(", ",$B300))+1)+2,30000),"")</f>
        <v/>
      </c>
      <c r="AP7" s="675" t="str">
        <f>IFERROR(INDEX(Üldreiting!$M:$M,MATCH(AO7,Üldreiting!$H:$H,0)),"")</f>
        <v/>
      </c>
    </row>
    <row r="8" spans="1:42" x14ac:dyDescent="0.2">
      <c r="A8" s="616">
        <v>2</v>
      </c>
      <c r="B8" t="s">
        <v>838</v>
      </c>
      <c r="C8" s="618">
        <v>13</v>
      </c>
      <c r="D8" s="619" t="s">
        <v>615</v>
      </c>
      <c r="E8" s="620">
        <v>12</v>
      </c>
      <c r="F8" s="621" t="str">
        <f>B18</f>
        <v>Kenneth Muusikus, Peep Peenema</v>
      </c>
      <c r="G8" s="618">
        <v>13</v>
      </c>
      <c r="H8" s="619" t="s">
        <v>615</v>
      </c>
      <c r="I8" s="620">
        <v>5</v>
      </c>
      <c r="J8" s="621" t="str">
        <f>B11</f>
        <v>Alar Sinimäe, Kadri Veljend</v>
      </c>
      <c r="K8" s="618">
        <v>11</v>
      </c>
      <c r="L8" s="619" t="s">
        <v>615</v>
      </c>
      <c r="M8" s="620">
        <v>8</v>
      </c>
      <c r="N8" s="621" t="str">
        <f>B10</f>
        <v>Katri Aavekukk, Sebastien Schang</v>
      </c>
      <c r="O8" s="618">
        <v>9</v>
      </c>
      <c r="P8" s="619" t="s">
        <v>615</v>
      </c>
      <c r="Q8" s="620">
        <v>13</v>
      </c>
      <c r="R8" s="621" t="str">
        <f>B7</f>
        <v>Tanel Vähk, Tõnis Neiland</v>
      </c>
      <c r="S8" s="618"/>
      <c r="T8" s="619" t="s">
        <v>615</v>
      </c>
      <c r="U8" s="620"/>
      <c r="V8" s="621"/>
      <c r="W8" s="618"/>
      <c r="X8" s="619" t="s">
        <v>615</v>
      </c>
      <c r="Y8" s="620"/>
      <c r="Z8" s="621"/>
      <c r="AA8" s="634">
        <f t="shared" si="0"/>
        <v>6</v>
      </c>
      <c r="AB8" s="635">
        <v>22</v>
      </c>
      <c r="AC8" s="629">
        <f t="shared" si="1"/>
        <v>46</v>
      </c>
      <c r="AD8" s="630" t="s">
        <v>615</v>
      </c>
      <c r="AE8" s="631">
        <f t="shared" si="2"/>
        <v>38</v>
      </c>
      <c r="AF8" s="804">
        <f t="shared" si="3"/>
        <v>8</v>
      </c>
      <c r="AH8" s="672">
        <f t="shared" ref="AH8:AH21" ca="1" si="9">SUM(AJ8:AP8)</f>
        <v>1626</v>
      </c>
      <c r="AI8" s="674" t="str">
        <f t="shared" si="5"/>
        <v>Maive Sein</v>
      </c>
      <c r="AJ8" s="675">
        <f ca="1">IFERROR(INDEX(Üldreiting!$M:$M,MATCH(AI8,Üldreiting!$H:$H,0)),"")</f>
        <v>785</v>
      </c>
      <c r="AK8" s="674" t="str">
        <f t="shared" si="6"/>
        <v>Varje Reede</v>
      </c>
      <c r="AL8" s="675">
        <f ca="1">IFERROR(INDEX(Üldreiting!$M:$M,MATCH(AK8,Üldreiting!$H:$H,0)),"")</f>
        <v>841</v>
      </c>
      <c r="AM8" s="676" t="str">
        <f t="shared" si="7"/>
        <v/>
      </c>
      <c r="AN8" s="675" t="str">
        <f>IFERROR(INDEX(Üldreiting!$M:$M,MATCH(AM8,Üldreiting!$H:$H,0)),"")</f>
        <v/>
      </c>
      <c r="AO8" s="676" t="str">
        <f t="shared" si="8"/>
        <v/>
      </c>
      <c r="AP8" s="675" t="str">
        <f>IFERROR(INDEX(Üldreiting!$M:$M,MATCH(AO8,Üldreiting!$H:$H,0)),"")</f>
        <v/>
      </c>
    </row>
    <row r="9" spans="1:42" x14ac:dyDescent="0.2">
      <c r="A9" s="616">
        <v>3</v>
      </c>
      <c r="B9" s="799" t="s">
        <v>839</v>
      </c>
      <c r="C9" s="618">
        <v>13</v>
      </c>
      <c r="D9" s="619" t="s">
        <v>615</v>
      </c>
      <c r="E9" s="620">
        <v>2</v>
      </c>
      <c r="F9" s="621" t="str">
        <f>B20</f>
        <v>Indrek Vaho, Mihkel Filipenko</v>
      </c>
      <c r="G9" s="618">
        <v>13</v>
      </c>
      <c r="H9" s="619" t="s">
        <v>615</v>
      </c>
      <c r="I9" s="620">
        <v>7</v>
      </c>
      <c r="J9" s="621" t="str">
        <f>B14</f>
        <v>Kevin Sten Liik, Mait Metsla</v>
      </c>
      <c r="K9" s="618">
        <v>8</v>
      </c>
      <c r="L9" s="619" t="s">
        <v>615</v>
      </c>
      <c r="M9" s="620">
        <v>13</v>
      </c>
      <c r="N9" s="621" t="str">
        <f>B7</f>
        <v>Tanel Vähk, Tõnis Neiland</v>
      </c>
      <c r="O9" s="618">
        <v>13</v>
      </c>
      <c r="P9" s="619" t="s">
        <v>615</v>
      </c>
      <c r="Q9" s="620">
        <v>7</v>
      </c>
      <c r="R9" s="621" t="str">
        <f>B12</f>
        <v>Külli Kariste, Marju Velga</v>
      </c>
      <c r="S9" s="618"/>
      <c r="T9" s="619" t="s">
        <v>615</v>
      </c>
      <c r="U9" s="620"/>
      <c r="V9" s="621"/>
      <c r="W9" s="618"/>
      <c r="X9" s="619" t="s">
        <v>615</v>
      </c>
      <c r="Y9" s="620"/>
      <c r="Z9" s="621"/>
      <c r="AA9" s="634">
        <f t="shared" si="0"/>
        <v>6</v>
      </c>
      <c r="AB9" s="635">
        <v>18</v>
      </c>
      <c r="AC9" s="629">
        <f t="shared" si="1"/>
        <v>47</v>
      </c>
      <c r="AD9" s="630" t="s">
        <v>615</v>
      </c>
      <c r="AE9" s="631">
        <f t="shared" si="2"/>
        <v>29</v>
      </c>
      <c r="AF9" s="804">
        <f t="shared" si="3"/>
        <v>18</v>
      </c>
      <c r="AH9" s="672">
        <f t="shared" ca="1" si="9"/>
        <v>1176</v>
      </c>
      <c r="AI9" s="674" t="str">
        <f t="shared" si="5"/>
        <v>Katri Aavekukk</v>
      </c>
      <c r="AJ9" s="675">
        <f ca="1">IFERROR(INDEX(Üldreiting!$M:$M,MATCH(AI9,Üldreiting!$H:$H,0)),"")</f>
        <v>1079</v>
      </c>
      <c r="AK9" s="674" t="str">
        <f t="shared" si="6"/>
        <v>Sebastien Schang</v>
      </c>
      <c r="AL9" s="675">
        <f ca="1">IFERROR(INDEX(Üldreiting!$M:$M,MATCH(AK9,Üldreiting!$H:$H,0)),"")</f>
        <v>97</v>
      </c>
      <c r="AM9" s="676" t="str">
        <f t="shared" si="7"/>
        <v/>
      </c>
      <c r="AN9" s="675" t="str">
        <f>IFERROR(INDEX(Üldreiting!$M:$M,MATCH(AM9,Üldreiting!$H:$H,0)),"")</f>
        <v/>
      </c>
      <c r="AO9" s="676" t="str">
        <f t="shared" si="8"/>
        <v/>
      </c>
      <c r="AP9" s="675" t="str">
        <f>IFERROR(INDEX(Üldreiting!$M:$M,MATCH(AO9,Üldreiting!$H:$H,0)),"")</f>
        <v/>
      </c>
    </row>
    <row r="10" spans="1:42" x14ac:dyDescent="0.2">
      <c r="A10" s="616">
        <v>4</v>
      </c>
      <c r="B10" s="799" t="s">
        <v>840</v>
      </c>
      <c r="C10" s="618">
        <v>13</v>
      </c>
      <c r="D10" s="619" t="s">
        <v>615</v>
      </c>
      <c r="E10" s="620">
        <v>6</v>
      </c>
      <c r="F10" s="621" t="str">
        <f>B19</f>
        <v>Mihkel Palk, Tiit Palk</v>
      </c>
      <c r="G10" s="618">
        <v>13</v>
      </c>
      <c r="H10" s="619" t="s">
        <v>615</v>
      </c>
      <c r="I10" s="620">
        <v>1</v>
      </c>
      <c r="J10" s="621" t="str">
        <f>B15</f>
        <v>Kalju Olmre, Marge Mägi</v>
      </c>
      <c r="K10" s="618">
        <v>8</v>
      </c>
      <c r="L10" s="619" t="s">
        <v>615</v>
      </c>
      <c r="M10" s="620">
        <v>11</v>
      </c>
      <c r="N10" s="621" t="str">
        <f>B8</f>
        <v>Marek Kolk, Urmo Auväärt</v>
      </c>
      <c r="O10" s="618">
        <v>13</v>
      </c>
      <c r="P10" s="619" t="s">
        <v>615</v>
      </c>
      <c r="Q10" s="620">
        <v>2</v>
      </c>
      <c r="R10" s="621" t="str">
        <f>B16</f>
        <v>Mare Kingissepp, Silver Kingissepp</v>
      </c>
      <c r="S10" s="618"/>
      <c r="T10" s="619" t="s">
        <v>615</v>
      </c>
      <c r="U10" s="620"/>
      <c r="V10" s="621"/>
      <c r="W10" s="618"/>
      <c r="X10" s="619" t="s">
        <v>615</v>
      </c>
      <c r="Y10" s="620"/>
      <c r="Z10" s="621"/>
      <c r="AA10" s="634">
        <f t="shared" si="0"/>
        <v>6</v>
      </c>
      <c r="AB10" s="635">
        <v>16</v>
      </c>
      <c r="AC10" s="629">
        <f t="shared" si="1"/>
        <v>47</v>
      </c>
      <c r="AD10" s="630" t="s">
        <v>615</v>
      </c>
      <c r="AE10" s="631">
        <f t="shared" si="2"/>
        <v>20</v>
      </c>
      <c r="AF10" s="804">
        <f t="shared" si="3"/>
        <v>27</v>
      </c>
      <c r="AH10" s="672">
        <f t="shared" ca="1" si="9"/>
        <v>1835.5</v>
      </c>
      <c r="AI10" s="674" t="str">
        <f t="shared" si="5"/>
        <v>Janek Kiisk</v>
      </c>
      <c r="AJ10" s="675">
        <f ca="1">IFERROR(INDEX(Üldreiting!$M:$M,MATCH(AI10,Üldreiting!$H:$H,0)),"")</f>
        <v>863.5</v>
      </c>
      <c r="AK10" s="674" t="str">
        <f t="shared" si="6"/>
        <v>Ruudi Väärtnõu</v>
      </c>
      <c r="AL10" s="675">
        <f ca="1">IFERROR(INDEX(Üldreiting!$M:$M,MATCH(AK10,Üldreiting!$H:$H,0)),"")</f>
        <v>972</v>
      </c>
      <c r="AM10" s="676" t="str">
        <f t="shared" si="7"/>
        <v/>
      </c>
      <c r="AN10" s="675" t="str">
        <f>IFERROR(INDEX(Üldreiting!$M:$M,MATCH(AM10,Üldreiting!$H:$H,0)),"")</f>
        <v/>
      </c>
      <c r="AO10" s="676" t="str">
        <f t="shared" si="8"/>
        <v/>
      </c>
      <c r="AP10" s="675" t="str">
        <f>IFERROR(INDEX(Üldreiting!$M:$M,MATCH(AO10,Üldreiting!$H:$H,0)),"")</f>
        <v/>
      </c>
    </row>
    <row r="11" spans="1:42" x14ac:dyDescent="0.2">
      <c r="A11" s="616">
        <v>5</v>
      </c>
      <c r="B11" s="799" t="s">
        <v>844</v>
      </c>
      <c r="C11" s="618">
        <v>13</v>
      </c>
      <c r="D11" s="619" t="s">
        <v>615</v>
      </c>
      <c r="E11" s="620">
        <v>7</v>
      </c>
      <c r="F11" s="621" t="s">
        <v>825</v>
      </c>
      <c r="G11" s="618">
        <v>5</v>
      </c>
      <c r="H11" s="619" t="s">
        <v>615</v>
      </c>
      <c r="I11" s="620">
        <v>13</v>
      </c>
      <c r="J11" s="621" t="str">
        <f>B8</f>
        <v>Marek Kolk, Urmo Auväärt</v>
      </c>
      <c r="K11" s="618">
        <v>13</v>
      </c>
      <c r="L11" s="619" t="s">
        <v>615</v>
      </c>
      <c r="M11" s="620">
        <v>6</v>
      </c>
      <c r="N11" s="621" t="str">
        <f>B15</f>
        <v>Kalju Olmre, Marge Mägi</v>
      </c>
      <c r="O11" s="618">
        <v>10</v>
      </c>
      <c r="P11" s="619" t="s">
        <v>615</v>
      </c>
      <c r="Q11" s="620">
        <v>4</v>
      </c>
      <c r="R11" s="621" t="str">
        <f>B13</f>
        <v>Maive Sein, Varje Reede</v>
      </c>
      <c r="S11" s="618"/>
      <c r="T11" s="619" t="s">
        <v>615</v>
      </c>
      <c r="U11" s="620"/>
      <c r="V11" s="621"/>
      <c r="W11" s="618"/>
      <c r="X11" s="619" t="s">
        <v>615</v>
      </c>
      <c r="Y11" s="620"/>
      <c r="Z11" s="621"/>
      <c r="AA11" s="634">
        <f t="shared" si="0"/>
        <v>6</v>
      </c>
      <c r="AB11" s="635">
        <v>14</v>
      </c>
      <c r="AC11" s="629">
        <f t="shared" si="1"/>
        <v>41</v>
      </c>
      <c r="AD11" s="630" t="s">
        <v>615</v>
      </c>
      <c r="AE11" s="631">
        <f t="shared" si="2"/>
        <v>30</v>
      </c>
      <c r="AF11" s="804">
        <f t="shared" si="3"/>
        <v>11</v>
      </c>
      <c r="AH11" s="672">
        <f t="shared" ca="1" si="9"/>
        <v>2217</v>
      </c>
      <c r="AI11" s="674" t="str">
        <f t="shared" si="5"/>
        <v>Marek Kolk</v>
      </c>
      <c r="AJ11" s="675">
        <f ca="1">IFERROR(INDEX(Üldreiting!$M:$M,MATCH(AI11,Üldreiting!$H:$H,0)),"")</f>
        <v>1081</v>
      </c>
      <c r="AK11" s="674" t="str">
        <f t="shared" si="6"/>
        <v>Urmo Auväärt</v>
      </c>
      <c r="AL11" s="675">
        <f ca="1">IFERROR(INDEX(Üldreiting!$M:$M,MATCH(AK11,Üldreiting!$H:$H,0)),"")</f>
        <v>1136</v>
      </c>
      <c r="AM11" s="676" t="str">
        <f t="shared" si="7"/>
        <v/>
      </c>
      <c r="AN11" s="675" t="str">
        <f>IFERROR(INDEX(Üldreiting!$M:$M,MATCH(AM11,Üldreiting!$H:$H,0)),"")</f>
        <v/>
      </c>
      <c r="AO11" s="676" t="str">
        <f t="shared" si="8"/>
        <v/>
      </c>
      <c r="AP11" s="675" t="str">
        <f>IFERROR(INDEX(Üldreiting!$M:$M,MATCH(AO11,Üldreiting!$H:$H,0)),"")</f>
        <v/>
      </c>
    </row>
    <row r="12" spans="1:42" x14ac:dyDescent="0.2">
      <c r="A12" s="616">
        <v>6</v>
      </c>
      <c r="B12" s="799" t="s">
        <v>819</v>
      </c>
      <c r="C12" s="618">
        <v>13</v>
      </c>
      <c r="D12" s="619" t="s">
        <v>615</v>
      </c>
      <c r="E12" s="620">
        <v>4</v>
      </c>
      <c r="F12" s="621" t="str">
        <f>B16</f>
        <v>Mare Kingissepp, Silver Kingissepp</v>
      </c>
      <c r="G12" s="618">
        <v>10</v>
      </c>
      <c r="H12" s="619" t="s">
        <v>615</v>
      </c>
      <c r="I12" s="620">
        <v>13</v>
      </c>
      <c r="J12" s="621" t="str">
        <f>B7</f>
        <v>Tanel Vähk, Tõnis Neiland</v>
      </c>
      <c r="K12" s="618">
        <v>13</v>
      </c>
      <c r="L12" s="619" t="s">
        <v>615</v>
      </c>
      <c r="M12" s="620">
        <v>8</v>
      </c>
      <c r="N12" s="621" t="str">
        <f>B18</f>
        <v>Kenneth Muusikus, Peep Peenema</v>
      </c>
      <c r="O12" s="618">
        <v>7</v>
      </c>
      <c r="P12" s="619" t="s">
        <v>615</v>
      </c>
      <c r="Q12" s="620">
        <v>13</v>
      </c>
      <c r="R12" s="621" t="str">
        <f>B9</f>
        <v>Janek Kiisk, Ruudi Väärtnõu</v>
      </c>
      <c r="S12" s="618"/>
      <c r="T12" s="619" t="s">
        <v>615</v>
      </c>
      <c r="U12" s="620"/>
      <c r="V12" s="621"/>
      <c r="W12" s="618"/>
      <c r="X12" s="619" t="s">
        <v>615</v>
      </c>
      <c r="Y12" s="620"/>
      <c r="Z12" s="621"/>
      <c r="AA12" s="636">
        <f t="shared" si="0"/>
        <v>4</v>
      </c>
      <c r="AB12" s="637">
        <v>20</v>
      </c>
      <c r="AC12" s="638">
        <f t="shared" si="1"/>
        <v>43</v>
      </c>
      <c r="AD12" s="639" t="s">
        <v>615</v>
      </c>
      <c r="AE12" s="640">
        <f t="shared" si="2"/>
        <v>38</v>
      </c>
      <c r="AF12" s="805">
        <f t="shared" si="3"/>
        <v>5</v>
      </c>
      <c r="AH12" s="672">
        <f t="shared" ca="1" si="9"/>
        <v>510</v>
      </c>
      <c r="AI12" s="674" t="str">
        <f t="shared" si="5"/>
        <v>Alar Sinimäe</v>
      </c>
      <c r="AJ12" s="675">
        <f ca="1">IFERROR(INDEX(Üldreiting!$M:$M,MATCH(AI12,Üldreiting!$H:$H,0)),"")</f>
        <v>149</v>
      </c>
      <c r="AK12" s="674" t="str">
        <f t="shared" si="6"/>
        <v>Kadri Veljend</v>
      </c>
      <c r="AL12" s="675">
        <f ca="1">IFERROR(INDEX(Üldreiting!$M:$M,MATCH(AK12,Üldreiting!$H:$H,0)),"")</f>
        <v>361</v>
      </c>
      <c r="AM12" s="676" t="str">
        <f t="shared" si="7"/>
        <v/>
      </c>
      <c r="AN12" s="675" t="str">
        <f>IFERROR(INDEX(Üldreiting!$M:$M,MATCH(AM12,Üldreiting!$H:$H,0)),"")</f>
        <v/>
      </c>
      <c r="AO12" s="676" t="str">
        <f t="shared" si="8"/>
        <v/>
      </c>
      <c r="AP12" s="675" t="str">
        <f>IFERROR(INDEX(Üldreiting!$M:$M,MATCH(AO12,Üldreiting!$H:$H,0)),"")</f>
        <v/>
      </c>
    </row>
    <row r="13" spans="1:42" x14ac:dyDescent="0.2">
      <c r="A13" s="616">
        <v>7</v>
      </c>
      <c r="B13" s="799" t="s">
        <v>656</v>
      </c>
      <c r="C13" s="618">
        <v>5</v>
      </c>
      <c r="D13" s="619" t="s">
        <v>615</v>
      </c>
      <c r="E13" s="620">
        <v>13</v>
      </c>
      <c r="F13" s="621" t="str">
        <f>B7</f>
        <v>Tanel Vähk, Tõnis Neiland</v>
      </c>
      <c r="G13" s="618">
        <v>13</v>
      </c>
      <c r="H13" s="619" t="s">
        <v>615</v>
      </c>
      <c r="I13" s="620">
        <v>6</v>
      </c>
      <c r="J13" s="621" t="str">
        <f>B19</f>
        <v>Mihkel Palk, Tiit Palk</v>
      </c>
      <c r="K13" s="618">
        <v>13</v>
      </c>
      <c r="L13" s="619" t="s">
        <v>615</v>
      </c>
      <c r="M13" s="620">
        <v>11</v>
      </c>
      <c r="N13" s="621" t="str">
        <f>B14</f>
        <v>Kevin Sten Liik, Mait Metsla</v>
      </c>
      <c r="O13" s="618">
        <v>4</v>
      </c>
      <c r="P13" s="619" t="s">
        <v>615</v>
      </c>
      <c r="Q13" s="620">
        <v>10</v>
      </c>
      <c r="R13" s="621" t="str">
        <f>B11</f>
        <v>Alar Sinimäe, Kadri Veljend</v>
      </c>
      <c r="S13" s="618"/>
      <c r="T13" s="619" t="s">
        <v>615</v>
      </c>
      <c r="U13" s="620"/>
      <c r="V13" s="621"/>
      <c r="W13" s="618"/>
      <c r="X13" s="619" t="s">
        <v>615</v>
      </c>
      <c r="Y13" s="620"/>
      <c r="Z13" s="621"/>
      <c r="AA13" s="636">
        <f t="shared" si="0"/>
        <v>4</v>
      </c>
      <c r="AB13" s="637">
        <v>20</v>
      </c>
      <c r="AC13" s="638">
        <f t="shared" si="1"/>
        <v>35</v>
      </c>
      <c r="AD13" s="639" t="s">
        <v>615</v>
      </c>
      <c r="AE13" s="640">
        <f t="shared" si="2"/>
        <v>40</v>
      </c>
      <c r="AF13" s="805">
        <f t="shared" si="3"/>
        <v>-5</v>
      </c>
      <c r="AH13" s="672">
        <f t="shared" ca="1" si="9"/>
        <v>1217</v>
      </c>
      <c r="AI13" s="674" t="str">
        <f t="shared" si="5"/>
        <v>Kevin Sten Liik</v>
      </c>
      <c r="AJ13" s="675">
        <f ca="1">IFERROR(INDEX(Üldreiting!$M:$M,MATCH(AI13,Üldreiting!$H:$H,0)),"")</f>
        <v>715</v>
      </c>
      <c r="AK13" s="674" t="str">
        <f t="shared" si="6"/>
        <v>Mait Metsla</v>
      </c>
      <c r="AL13" s="675">
        <f ca="1">IFERROR(INDEX(Üldreiting!$M:$M,MATCH(AK13,Üldreiting!$H:$H,0)),"")</f>
        <v>502</v>
      </c>
      <c r="AM13" s="676" t="str">
        <f t="shared" si="7"/>
        <v/>
      </c>
      <c r="AN13" s="675" t="str">
        <f>IFERROR(INDEX(Üldreiting!$M:$M,MATCH(AM13,Üldreiting!$H:$H,0)),"")</f>
        <v/>
      </c>
      <c r="AO13" s="676" t="str">
        <f t="shared" si="8"/>
        <v/>
      </c>
      <c r="AP13" s="675" t="str">
        <f>IFERROR(INDEX(Üldreiting!$M:$M,MATCH(AO13,Üldreiting!$H:$H,0)),"")</f>
        <v/>
      </c>
    </row>
    <row r="14" spans="1:42" x14ac:dyDescent="0.2">
      <c r="A14" s="616">
        <v>8</v>
      </c>
      <c r="B14" s="799" t="s">
        <v>841</v>
      </c>
      <c r="C14" s="618">
        <v>13</v>
      </c>
      <c r="D14" s="619" t="s">
        <v>615</v>
      </c>
      <c r="E14" s="620">
        <v>3</v>
      </c>
      <c r="F14" s="621" t="str">
        <f>B17</f>
        <v>Brigitta Neiland, Johannes Neiland, Lemmit Toomra</v>
      </c>
      <c r="G14" s="618">
        <v>7</v>
      </c>
      <c r="H14" s="619" t="s">
        <v>615</v>
      </c>
      <c r="I14" s="620">
        <v>13</v>
      </c>
      <c r="J14" s="621" t="str">
        <f>B9</f>
        <v>Janek Kiisk, Ruudi Väärtnõu</v>
      </c>
      <c r="K14" s="618">
        <v>11</v>
      </c>
      <c r="L14" s="619" t="s">
        <v>615</v>
      </c>
      <c r="M14" s="620">
        <v>13</v>
      </c>
      <c r="N14" s="621" t="str">
        <f>B13</f>
        <v>Maive Sein, Varje Reede</v>
      </c>
      <c r="O14" s="618">
        <v>12</v>
      </c>
      <c r="P14" s="619" t="s">
        <v>615</v>
      </c>
      <c r="Q14" s="620">
        <v>9</v>
      </c>
      <c r="R14" s="621" t="str">
        <f>B18</f>
        <v>Kenneth Muusikus, Peep Peenema</v>
      </c>
      <c r="S14" s="618"/>
      <c r="T14" s="619" t="s">
        <v>615</v>
      </c>
      <c r="U14" s="620"/>
      <c r="V14" s="621"/>
      <c r="W14" s="618"/>
      <c r="X14" s="619" t="s">
        <v>615</v>
      </c>
      <c r="Y14" s="620"/>
      <c r="Z14" s="621"/>
      <c r="AA14" s="636">
        <f t="shared" si="0"/>
        <v>4</v>
      </c>
      <c r="AB14" s="637">
        <v>16</v>
      </c>
      <c r="AC14" s="800">
        <f t="shared" si="1"/>
        <v>43</v>
      </c>
      <c r="AD14" s="801" t="s">
        <v>615</v>
      </c>
      <c r="AE14" s="802">
        <f t="shared" si="2"/>
        <v>38</v>
      </c>
      <c r="AF14" s="806">
        <f t="shared" si="3"/>
        <v>5</v>
      </c>
      <c r="AH14" s="672">
        <f t="shared" ca="1" si="9"/>
        <v>1046</v>
      </c>
      <c r="AI14" s="674" t="str">
        <f t="shared" si="5"/>
        <v>Külli Kariste</v>
      </c>
      <c r="AJ14" s="675">
        <f ca="1">IFERROR(INDEX(Üldreiting!$M:$M,MATCH(AI14,Üldreiting!$H:$H,0)),"")</f>
        <v>593</v>
      </c>
      <c r="AK14" s="674" t="str">
        <f t="shared" si="6"/>
        <v>Marju Velga</v>
      </c>
      <c r="AL14" s="675">
        <f ca="1">IFERROR(INDEX(Üldreiting!$M:$M,MATCH(AK14,Üldreiting!$H:$H,0)),"")</f>
        <v>453</v>
      </c>
      <c r="AM14" s="676" t="str">
        <f t="shared" si="7"/>
        <v/>
      </c>
      <c r="AN14" s="675" t="str">
        <f>IFERROR(INDEX(Üldreiting!$M:$M,MATCH(AM14,Üldreiting!$H:$H,0)),"")</f>
        <v/>
      </c>
      <c r="AO14" s="676" t="str">
        <f t="shared" si="8"/>
        <v/>
      </c>
      <c r="AP14" s="675" t="str">
        <f>IFERROR(INDEX(Üldreiting!$M:$M,MATCH(AO14,Üldreiting!$H:$H,0)),"")</f>
        <v/>
      </c>
    </row>
    <row r="15" spans="1:42" x14ac:dyDescent="0.2">
      <c r="A15" s="616">
        <v>9</v>
      </c>
      <c r="B15" s="799" t="s">
        <v>845</v>
      </c>
      <c r="C15" s="618">
        <v>13</v>
      </c>
      <c r="D15" s="619" t="s">
        <v>615</v>
      </c>
      <c r="E15" s="620">
        <v>7</v>
      </c>
      <c r="F15" s="621" t="str">
        <f>B21</f>
        <v>Arti Lindvest, Veiko Mäekivi</v>
      </c>
      <c r="G15" s="618">
        <v>1</v>
      </c>
      <c r="H15" s="619" t="s">
        <v>615</v>
      </c>
      <c r="I15" s="620">
        <v>13</v>
      </c>
      <c r="J15" s="621" t="str">
        <f>B10</f>
        <v>Katri Aavekukk, Sebastien Schang</v>
      </c>
      <c r="K15" s="618">
        <v>6</v>
      </c>
      <c r="L15" s="619" t="s">
        <v>615</v>
      </c>
      <c r="M15" s="620">
        <v>13</v>
      </c>
      <c r="N15" s="621" t="str">
        <f>B11</f>
        <v>Alar Sinimäe, Kadri Veljend</v>
      </c>
      <c r="O15" s="618">
        <v>13</v>
      </c>
      <c r="P15" s="619" t="s">
        <v>615</v>
      </c>
      <c r="Q15" s="620">
        <v>1</v>
      </c>
      <c r="R15" s="621" t="str">
        <f>B20</f>
        <v>Indrek Vaho, Mihkel Filipenko</v>
      </c>
      <c r="S15" s="618"/>
      <c r="T15" s="619" t="s">
        <v>615</v>
      </c>
      <c r="U15" s="620"/>
      <c r="V15" s="621"/>
      <c r="W15" s="618"/>
      <c r="X15" s="619" t="s">
        <v>615</v>
      </c>
      <c r="Y15" s="620"/>
      <c r="Z15" s="621"/>
      <c r="AA15" s="636">
        <f t="shared" si="0"/>
        <v>4</v>
      </c>
      <c r="AB15" s="637">
        <v>16</v>
      </c>
      <c r="AC15" s="800">
        <f t="shared" si="1"/>
        <v>33</v>
      </c>
      <c r="AD15" s="801" t="s">
        <v>615</v>
      </c>
      <c r="AE15" s="802">
        <f t="shared" si="2"/>
        <v>34</v>
      </c>
      <c r="AF15" s="806">
        <f t="shared" si="3"/>
        <v>-1</v>
      </c>
      <c r="AH15" s="672">
        <f t="shared" ca="1" si="9"/>
        <v>1345</v>
      </c>
      <c r="AI15" s="674" t="str">
        <f t="shared" si="5"/>
        <v>Kalju Olmre</v>
      </c>
      <c r="AJ15" s="675">
        <f ca="1">IFERROR(INDEX(Üldreiting!$M:$M,MATCH(AI15,Üldreiting!$H:$H,0)),"")</f>
        <v>600</v>
      </c>
      <c r="AK15" s="674" t="str">
        <f t="shared" si="6"/>
        <v>Marge Mägi</v>
      </c>
      <c r="AL15" s="675">
        <f ca="1">IFERROR(INDEX(Üldreiting!$M:$M,MATCH(AK15,Üldreiting!$H:$H,0)),"")</f>
        <v>745</v>
      </c>
      <c r="AM15" s="676" t="str">
        <f t="shared" si="7"/>
        <v/>
      </c>
      <c r="AN15" s="675" t="str">
        <f>IFERROR(INDEX(Üldreiting!$M:$M,MATCH(AM15,Üldreiting!$H:$H,0)),"")</f>
        <v/>
      </c>
      <c r="AO15" s="676" t="str">
        <f t="shared" si="8"/>
        <v/>
      </c>
      <c r="AP15" s="675" t="str">
        <f>IFERROR(INDEX(Üldreiting!$M:$M,MATCH(AO15,Üldreiting!$H:$H,0)),"")</f>
        <v/>
      </c>
    </row>
    <row r="16" spans="1:42" x14ac:dyDescent="0.2">
      <c r="A16" s="616">
        <v>10</v>
      </c>
      <c r="B16" s="799" t="s">
        <v>842</v>
      </c>
      <c r="C16" s="618">
        <v>4</v>
      </c>
      <c r="D16" s="619" t="s">
        <v>615</v>
      </c>
      <c r="E16" s="620">
        <v>13</v>
      </c>
      <c r="F16" s="621" t="str">
        <f>B12</f>
        <v>Külli Kariste, Marju Velga</v>
      </c>
      <c r="G16" s="618">
        <v>13</v>
      </c>
      <c r="H16" s="619" t="s">
        <v>615</v>
      </c>
      <c r="I16" s="620">
        <v>7</v>
      </c>
      <c r="J16" s="621" t="str">
        <f>B17</f>
        <v>Brigitta Neiland, Johannes Neiland, Lemmit Toomra</v>
      </c>
      <c r="K16" s="618">
        <v>13</v>
      </c>
      <c r="L16" s="619" t="s">
        <v>615</v>
      </c>
      <c r="M16" s="620">
        <v>2</v>
      </c>
      <c r="N16" s="621" t="str">
        <f>B20</f>
        <v>Indrek Vaho, Mihkel Filipenko</v>
      </c>
      <c r="O16" s="618">
        <v>2</v>
      </c>
      <c r="P16" s="619" t="s">
        <v>615</v>
      </c>
      <c r="Q16" s="620">
        <v>13</v>
      </c>
      <c r="R16" s="621" t="str">
        <f>B10</f>
        <v>Katri Aavekukk, Sebastien Schang</v>
      </c>
      <c r="S16" s="618"/>
      <c r="T16" s="619" t="s">
        <v>615</v>
      </c>
      <c r="U16" s="620"/>
      <c r="V16" s="621"/>
      <c r="W16" s="618"/>
      <c r="X16" s="619" t="s">
        <v>615</v>
      </c>
      <c r="Y16" s="620"/>
      <c r="Z16" s="621"/>
      <c r="AA16" s="636">
        <f t="shared" si="0"/>
        <v>4</v>
      </c>
      <c r="AB16" s="637">
        <v>16</v>
      </c>
      <c r="AC16" s="800">
        <f t="shared" si="1"/>
        <v>32</v>
      </c>
      <c r="AD16" s="801" t="s">
        <v>615</v>
      </c>
      <c r="AE16" s="802">
        <f t="shared" si="2"/>
        <v>35</v>
      </c>
      <c r="AF16" s="806">
        <f t="shared" si="3"/>
        <v>-3</v>
      </c>
      <c r="AH16" s="672">
        <f t="shared" ca="1" si="9"/>
        <v>1552</v>
      </c>
      <c r="AI16" s="674" t="str">
        <f t="shared" si="5"/>
        <v>Mare Kingissepp</v>
      </c>
      <c r="AJ16" s="675">
        <f ca="1">IFERROR(INDEX(Üldreiting!$M:$M,MATCH(AI16,Üldreiting!$H:$H,0)),"")</f>
        <v>726</v>
      </c>
      <c r="AK16" s="674" t="str">
        <f t="shared" si="6"/>
        <v>Silver Kingissepp</v>
      </c>
      <c r="AL16" s="675">
        <f ca="1">IFERROR(INDEX(Üldreiting!$M:$M,MATCH(AK16,Üldreiting!$H:$H,0)),"")</f>
        <v>826</v>
      </c>
      <c r="AM16" s="676" t="str">
        <f t="shared" si="7"/>
        <v/>
      </c>
      <c r="AN16" s="675" t="str">
        <f>IFERROR(INDEX(Üldreiting!$M:$M,MATCH(AM16,Üldreiting!$H:$H,0)),"")</f>
        <v/>
      </c>
      <c r="AO16" s="676" t="str">
        <f t="shared" si="8"/>
        <v/>
      </c>
      <c r="AP16" s="675" t="str">
        <f>IFERROR(INDEX(Üldreiting!$M:$M,MATCH(AO16,Üldreiting!$H:$H,0)),"")</f>
        <v/>
      </c>
    </row>
    <row r="17" spans="1:42" x14ac:dyDescent="0.2">
      <c r="A17" s="616">
        <v>11</v>
      </c>
      <c r="B17" s="234" t="s">
        <v>843</v>
      </c>
      <c r="C17" s="618">
        <v>3</v>
      </c>
      <c r="D17" s="619" t="s">
        <v>615</v>
      </c>
      <c r="E17" s="620">
        <v>13</v>
      </c>
      <c r="F17" s="621" t="str">
        <f>B14</f>
        <v>Kevin Sten Liik, Mait Metsla</v>
      </c>
      <c r="G17" s="618">
        <v>7</v>
      </c>
      <c r="H17" s="619" t="s">
        <v>615</v>
      </c>
      <c r="I17" s="620">
        <v>13</v>
      </c>
      <c r="J17" s="621" t="str">
        <f>B16</f>
        <v>Mare Kingissepp, Silver Kingissepp</v>
      </c>
      <c r="K17" s="618">
        <v>13</v>
      </c>
      <c r="L17" s="619" t="s">
        <v>615</v>
      </c>
      <c r="M17" s="620">
        <v>6</v>
      </c>
      <c r="N17" s="621" t="str">
        <f>B19</f>
        <v>Mihkel Palk, Tiit Palk</v>
      </c>
      <c r="O17" s="618">
        <v>13</v>
      </c>
      <c r="P17" s="619" t="s">
        <v>615</v>
      </c>
      <c r="Q17" s="620">
        <v>3</v>
      </c>
      <c r="R17" s="621" t="str">
        <f>B21</f>
        <v>Arti Lindvest, Veiko Mäekivi</v>
      </c>
      <c r="S17" s="618"/>
      <c r="T17" s="619" t="s">
        <v>615</v>
      </c>
      <c r="U17" s="620"/>
      <c r="V17" s="621"/>
      <c r="W17" s="618"/>
      <c r="X17" s="619" t="s">
        <v>615</v>
      </c>
      <c r="Y17" s="620"/>
      <c r="Z17" s="621"/>
      <c r="AA17" s="636">
        <f t="shared" si="0"/>
        <v>4</v>
      </c>
      <c r="AB17" s="637">
        <v>12</v>
      </c>
      <c r="AC17" s="629">
        <f t="shared" si="1"/>
        <v>36</v>
      </c>
      <c r="AD17" s="630" t="s">
        <v>615</v>
      </c>
      <c r="AE17" s="631">
        <f t="shared" si="2"/>
        <v>35</v>
      </c>
      <c r="AF17" s="804">
        <f t="shared" si="3"/>
        <v>1</v>
      </c>
      <c r="AH17" s="672">
        <f t="shared" ca="1" si="9"/>
        <v>345</v>
      </c>
      <c r="AI17" s="674" t="str">
        <f t="shared" si="5"/>
        <v>Indrek Vaho</v>
      </c>
      <c r="AJ17" s="675">
        <f ca="1">IFERROR(INDEX(Üldreiting!$M:$M,MATCH(AI17,Üldreiting!$H:$H,0)),"")</f>
        <v>100</v>
      </c>
      <c r="AK17" s="674" t="str">
        <f t="shared" si="6"/>
        <v>Mihkel Filipenko</v>
      </c>
      <c r="AL17" s="675">
        <f ca="1">IFERROR(INDEX(Üldreiting!$M:$M,MATCH(AK17,Üldreiting!$H:$H,0)),"")</f>
        <v>245</v>
      </c>
      <c r="AM17" s="676" t="str">
        <f t="shared" si="7"/>
        <v/>
      </c>
      <c r="AN17" s="675" t="str">
        <f>IFERROR(INDEX(Üldreiting!$M:$M,MATCH(AM17,Üldreiting!$H:$H,0)),"")</f>
        <v/>
      </c>
      <c r="AO17" s="676" t="str">
        <f t="shared" si="8"/>
        <v/>
      </c>
      <c r="AP17" s="675" t="str">
        <f>IFERROR(INDEX(Üldreiting!$M:$M,MATCH(AO17,Üldreiting!$H:$H,0)),"")</f>
        <v/>
      </c>
    </row>
    <row r="18" spans="1:42" x14ac:dyDescent="0.2">
      <c r="A18" s="616">
        <v>12</v>
      </c>
      <c r="B18" s="52" t="s">
        <v>1069</v>
      </c>
      <c r="C18" s="618">
        <v>12</v>
      </c>
      <c r="D18" s="619" t="s">
        <v>615</v>
      </c>
      <c r="E18" s="620">
        <v>13</v>
      </c>
      <c r="F18" s="621" t="str">
        <f>B8</f>
        <v>Marek Kolk, Urmo Auväärt</v>
      </c>
      <c r="G18" s="618">
        <v>13</v>
      </c>
      <c r="H18" s="619" t="s">
        <v>615</v>
      </c>
      <c r="I18" s="620">
        <v>2</v>
      </c>
      <c r="J18" s="621" t="str">
        <f>B21</f>
        <v>Arti Lindvest, Veiko Mäekivi</v>
      </c>
      <c r="K18" s="618">
        <v>8</v>
      </c>
      <c r="L18" s="619" t="s">
        <v>615</v>
      </c>
      <c r="M18" s="620">
        <v>13</v>
      </c>
      <c r="N18" s="621" t="str">
        <f>B12</f>
        <v>Külli Kariste, Marju Velga</v>
      </c>
      <c r="O18" s="618">
        <v>9</v>
      </c>
      <c r="P18" s="619" t="s">
        <v>615</v>
      </c>
      <c r="Q18" s="620">
        <v>12</v>
      </c>
      <c r="R18" s="621" t="str">
        <f>B14</f>
        <v>Kevin Sten Liik, Mait Metsla</v>
      </c>
      <c r="S18" s="618"/>
      <c r="T18" s="619" t="s">
        <v>615</v>
      </c>
      <c r="U18" s="620"/>
      <c r="V18" s="621"/>
      <c r="W18" s="618"/>
      <c r="X18" s="619" t="s">
        <v>615</v>
      </c>
      <c r="Y18" s="620"/>
      <c r="Z18" s="621"/>
      <c r="AA18" s="634">
        <f t="shared" si="0"/>
        <v>2</v>
      </c>
      <c r="AB18" s="635">
        <v>16</v>
      </c>
      <c r="AC18" s="629">
        <f t="shared" si="1"/>
        <v>42</v>
      </c>
      <c r="AD18" s="630" t="s">
        <v>615</v>
      </c>
      <c r="AE18" s="631">
        <f t="shared" si="2"/>
        <v>40</v>
      </c>
      <c r="AF18" s="804">
        <f t="shared" si="3"/>
        <v>2</v>
      </c>
      <c r="AH18" s="672">
        <f t="shared" ca="1" si="9"/>
        <v>665</v>
      </c>
      <c r="AI18" s="674" t="str">
        <f t="shared" si="5"/>
        <v>Kenneth Muusikus</v>
      </c>
      <c r="AJ18" s="675">
        <f ca="1">IFERROR(INDEX(Üldreiting!$M:$M,MATCH(AI18,Üldreiting!$H:$H,0)),"")</f>
        <v>555</v>
      </c>
      <c r="AK18" s="674" t="str">
        <f t="shared" si="6"/>
        <v>Peep Peenema</v>
      </c>
      <c r="AL18" s="675">
        <f ca="1">IFERROR(INDEX(Üldreiting!$M:$M,MATCH(AK18,Üldreiting!$H:$H,0)),"")</f>
        <v>110</v>
      </c>
      <c r="AM18" s="676" t="str">
        <f t="shared" si="7"/>
        <v/>
      </c>
      <c r="AN18" s="675" t="str">
        <f>IFERROR(INDEX(Üldreiting!$M:$M,MATCH(AM18,Üldreiting!$H:$H,0)),"")</f>
        <v/>
      </c>
      <c r="AO18" s="676" t="str">
        <f t="shared" si="8"/>
        <v/>
      </c>
      <c r="AP18" s="675" t="str">
        <f>IFERROR(INDEX(Üldreiting!$M:$M,MATCH(AO18,Üldreiting!$H:$H,0)),"")</f>
        <v/>
      </c>
    </row>
    <row r="19" spans="1:42" x14ac:dyDescent="0.2">
      <c r="A19" s="616">
        <v>13</v>
      </c>
      <c r="B19" s="52" t="s">
        <v>846</v>
      </c>
      <c r="C19" s="618">
        <v>6</v>
      </c>
      <c r="D19" s="619" t="s">
        <v>615</v>
      </c>
      <c r="E19" s="620">
        <v>13</v>
      </c>
      <c r="F19" s="621" t="str">
        <f>B10</f>
        <v>Katri Aavekukk, Sebastien Schang</v>
      </c>
      <c r="G19" s="618">
        <v>6</v>
      </c>
      <c r="H19" s="619" t="s">
        <v>615</v>
      </c>
      <c r="I19" s="620">
        <v>13</v>
      </c>
      <c r="J19" s="621" t="str">
        <f>B13</f>
        <v>Maive Sein, Varje Reede</v>
      </c>
      <c r="K19" s="618">
        <v>6</v>
      </c>
      <c r="L19" s="619" t="s">
        <v>615</v>
      </c>
      <c r="M19" s="620">
        <v>13</v>
      </c>
      <c r="N19" s="621" t="str">
        <f>B17</f>
        <v>Brigitta Neiland, Johannes Neiland, Lemmit Toomra</v>
      </c>
      <c r="O19" s="618">
        <v>13</v>
      </c>
      <c r="P19" s="619" t="s">
        <v>615</v>
      </c>
      <c r="Q19" s="620">
        <v>7</v>
      </c>
      <c r="R19" s="621" t="s">
        <v>825</v>
      </c>
      <c r="S19" s="618"/>
      <c r="T19" s="619" t="s">
        <v>615</v>
      </c>
      <c r="U19" s="620"/>
      <c r="V19" s="621"/>
      <c r="W19" s="618"/>
      <c r="X19" s="619" t="s">
        <v>615</v>
      </c>
      <c r="Y19" s="620"/>
      <c r="Z19" s="621"/>
      <c r="AA19" s="634">
        <f t="shared" si="0"/>
        <v>2</v>
      </c>
      <c r="AB19" s="635">
        <v>14</v>
      </c>
      <c r="AC19" s="638">
        <f t="shared" si="1"/>
        <v>31</v>
      </c>
      <c r="AD19" s="639" t="s">
        <v>615</v>
      </c>
      <c r="AE19" s="640">
        <f t="shared" si="2"/>
        <v>46</v>
      </c>
      <c r="AF19" s="805">
        <f t="shared" si="3"/>
        <v>-15</v>
      </c>
      <c r="AH19" s="672">
        <f t="shared" ca="1" si="9"/>
        <v>551</v>
      </c>
      <c r="AI19" s="674" t="str">
        <f t="shared" si="5"/>
        <v>Brigitta Neiland</v>
      </c>
      <c r="AJ19" s="675">
        <f ca="1">IFERROR(INDEX(Üldreiting!$M:$M,MATCH(AI19,Üldreiting!$H:$H,0)),"")</f>
        <v>49</v>
      </c>
      <c r="AK19" s="674" t="str">
        <f t="shared" si="6"/>
        <v>Johannes Neiland, Lemmit Toomra</v>
      </c>
      <c r="AL19" s="675" t="str">
        <f>IFERROR(INDEX(Üldreiting!$M:$M,MATCH(AK19,Üldreiting!$H:$H,0)),"")</f>
        <v/>
      </c>
      <c r="AM19" s="676" t="str">
        <f t="shared" si="7"/>
        <v>Johannes Neiland</v>
      </c>
      <c r="AN19" s="675">
        <f ca="1">IFERROR(INDEX(Üldreiting!$M:$M,MATCH(AM19,Üldreiting!$H:$H,0)),"")</f>
        <v>397</v>
      </c>
      <c r="AO19" s="676" t="str">
        <f t="shared" si="8"/>
        <v>Lemmit Toomra</v>
      </c>
      <c r="AP19" s="675">
        <f ca="1">IFERROR(INDEX(Üldreiting!$M:$M,MATCH(AO19,Üldreiting!$H:$H,0)),"")</f>
        <v>105</v>
      </c>
    </row>
    <row r="20" spans="1:42" x14ac:dyDescent="0.2">
      <c r="A20" s="616">
        <v>14</v>
      </c>
      <c r="B20" s="799" t="s">
        <v>847</v>
      </c>
      <c r="C20" s="618">
        <v>2</v>
      </c>
      <c r="D20" s="619" t="s">
        <v>615</v>
      </c>
      <c r="E20" s="620">
        <v>13</v>
      </c>
      <c r="F20" s="621" t="str">
        <f>B9</f>
        <v>Janek Kiisk, Ruudi Väärtnõu</v>
      </c>
      <c r="G20" s="618">
        <v>13</v>
      </c>
      <c r="H20" s="619" t="s">
        <v>615</v>
      </c>
      <c r="I20" s="620">
        <v>7</v>
      </c>
      <c r="J20" s="621" t="s">
        <v>825</v>
      </c>
      <c r="K20" s="618">
        <v>2</v>
      </c>
      <c r="L20" s="619" t="s">
        <v>615</v>
      </c>
      <c r="M20" s="620">
        <v>13</v>
      </c>
      <c r="N20" s="621" t="str">
        <f>B16</f>
        <v>Mare Kingissepp, Silver Kingissepp</v>
      </c>
      <c r="O20" s="618">
        <v>1</v>
      </c>
      <c r="P20" s="619" t="s">
        <v>615</v>
      </c>
      <c r="Q20" s="620">
        <v>13</v>
      </c>
      <c r="R20" s="621" t="str">
        <f>B15</f>
        <v>Kalju Olmre, Marge Mägi</v>
      </c>
      <c r="S20" s="618"/>
      <c r="T20" s="619" t="s">
        <v>615</v>
      </c>
      <c r="U20" s="620"/>
      <c r="V20" s="621"/>
      <c r="W20" s="618"/>
      <c r="X20" s="619" t="s">
        <v>615</v>
      </c>
      <c r="Y20" s="620"/>
      <c r="Z20" s="621"/>
      <c r="AA20" s="634">
        <f t="shared" si="0"/>
        <v>2</v>
      </c>
      <c r="AB20" s="635">
        <v>14</v>
      </c>
      <c r="AC20" s="638">
        <f t="shared" si="1"/>
        <v>18</v>
      </c>
      <c r="AD20" s="639" t="s">
        <v>615</v>
      </c>
      <c r="AE20" s="640">
        <f t="shared" si="2"/>
        <v>46</v>
      </c>
      <c r="AF20" s="805">
        <f t="shared" si="3"/>
        <v>-28</v>
      </c>
      <c r="AH20" s="672">
        <f t="shared" ca="1" si="9"/>
        <v>198</v>
      </c>
      <c r="AI20" s="674" t="str">
        <f t="shared" si="5"/>
        <v>Mihkel Palk</v>
      </c>
      <c r="AJ20" s="675">
        <f ca="1">IFERROR(INDEX(Üldreiting!$M:$M,MATCH(AI20,Üldreiting!$H:$H,0)),"")</f>
        <v>151</v>
      </c>
      <c r="AK20" s="674" t="str">
        <f t="shared" si="6"/>
        <v>Tiit Palk</v>
      </c>
      <c r="AL20" s="675">
        <f ca="1">IFERROR(INDEX(Üldreiting!$M:$M,MATCH(AK20,Üldreiting!$H:$H,0)),"")</f>
        <v>47</v>
      </c>
      <c r="AM20" s="676" t="str">
        <f t="shared" si="7"/>
        <v/>
      </c>
      <c r="AN20" s="675" t="str">
        <f>IFERROR(INDEX(Üldreiting!$M:$M,MATCH(AM20,Üldreiting!$H:$H,0)),"")</f>
        <v/>
      </c>
      <c r="AO20" s="676" t="str">
        <f t="shared" si="8"/>
        <v/>
      </c>
      <c r="AP20" s="675" t="str">
        <f>IFERROR(INDEX(Üldreiting!$M:$M,MATCH(AO20,Üldreiting!$H:$H,0)),"")</f>
        <v/>
      </c>
    </row>
    <row r="21" spans="1:42" x14ac:dyDescent="0.2">
      <c r="A21" s="616">
        <v>15</v>
      </c>
      <c r="B21" s="799" t="s">
        <v>848</v>
      </c>
      <c r="C21" s="618">
        <v>7</v>
      </c>
      <c r="D21" s="619" t="s">
        <v>615</v>
      </c>
      <c r="E21" s="620">
        <v>13</v>
      </c>
      <c r="F21" s="621" t="str">
        <f>B15</f>
        <v>Kalju Olmre, Marge Mägi</v>
      </c>
      <c r="G21" s="618">
        <v>2</v>
      </c>
      <c r="H21" s="619" t="s">
        <v>615</v>
      </c>
      <c r="I21" s="620">
        <v>13</v>
      </c>
      <c r="J21" s="621" t="str">
        <f>B18</f>
        <v>Kenneth Muusikus, Peep Peenema</v>
      </c>
      <c r="K21" s="618">
        <v>13</v>
      </c>
      <c r="L21" s="619" t="s">
        <v>615</v>
      </c>
      <c r="M21" s="620">
        <v>7</v>
      </c>
      <c r="N21" s="621" t="s">
        <v>825</v>
      </c>
      <c r="O21" s="618">
        <v>3</v>
      </c>
      <c r="P21" s="619" t="s">
        <v>615</v>
      </c>
      <c r="Q21" s="620">
        <v>13</v>
      </c>
      <c r="R21" s="621" t="str">
        <f>B17</f>
        <v>Brigitta Neiland, Johannes Neiland, Lemmit Toomra</v>
      </c>
      <c r="S21" s="618"/>
      <c r="T21" s="619" t="s">
        <v>615</v>
      </c>
      <c r="U21" s="620"/>
      <c r="V21" s="621"/>
      <c r="W21" s="618"/>
      <c r="X21" s="619" t="s">
        <v>615</v>
      </c>
      <c r="Y21" s="620"/>
      <c r="Z21" s="621"/>
      <c r="AA21" s="634">
        <f t="shared" si="0"/>
        <v>2</v>
      </c>
      <c r="AB21" s="635">
        <v>10</v>
      </c>
      <c r="AC21" s="629">
        <f t="shared" si="1"/>
        <v>25</v>
      </c>
      <c r="AD21" s="630" t="s">
        <v>615</v>
      </c>
      <c r="AE21" s="631">
        <f t="shared" si="2"/>
        <v>46</v>
      </c>
      <c r="AF21" s="804">
        <f t="shared" si="3"/>
        <v>-21</v>
      </c>
      <c r="AH21" s="672">
        <f t="shared" ca="1" si="9"/>
        <v>161</v>
      </c>
      <c r="AI21" s="674" t="str">
        <f t="shared" si="5"/>
        <v>Arti Lindvest</v>
      </c>
      <c r="AJ21" s="675">
        <f ca="1">IFERROR(INDEX(Üldreiting!$M:$M,MATCH(AI21,Üldreiting!$H:$H,0)),"")</f>
        <v>118</v>
      </c>
      <c r="AK21" s="674" t="str">
        <f t="shared" si="6"/>
        <v>Veiko Mäekivi</v>
      </c>
      <c r="AL21" s="675">
        <f ca="1">IFERROR(INDEX(Üldreiting!$M:$M,MATCH(AK21,Üldreiting!$H:$H,0)),"")</f>
        <v>43</v>
      </c>
      <c r="AM21" s="676" t="str">
        <f t="shared" si="7"/>
        <v/>
      </c>
      <c r="AN21" s="675" t="str">
        <f>IFERROR(INDEX(Üldreiting!$M:$M,MATCH(AM21,Üldreiting!$H:$H,0)),"")</f>
        <v/>
      </c>
      <c r="AO21" s="676" t="str">
        <f t="shared" si="8"/>
        <v/>
      </c>
      <c r="AP21" s="675" t="str">
        <f>IFERROR(INDEX(Üldreiting!$M:$M,MATCH(AO21,Üldreiting!$H:$H,0)),"")</f>
        <v/>
      </c>
    </row>
    <row r="22" spans="1:42" hidden="1" x14ac:dyDescent="0.2">
      <c r="K22" s="69"/>
      <c r="L22" s="69"/>
      <c r="M22" s="69"/>
      <c r="S22" s="69"/>
      <c r="T22" s="69"/>
      <c r="U22" s="69"/>
      <c r="V22" s="69"/>
      <c r="W22" s="69"/>
      <c r="X22" s="69"/>
      <c r="Y22" s="69"/>
      <c r="Z22" s="69"/>
      <c r="AG22" s="69"/>
    </row>
    <row r="23" spans="1:42" hidden="1" x14ac:dyDescent="0.2">
      <c r="K23" s="69"/>
      <c r="L23" s="69"/>
      <c r="M23" s="69"/>
      <c r="S23" s="69"/>
      <c r="T23" s="69"/>
      <c r="U23" s="69"/>
      <c r="V23" s="69"/>
      <c r="W23" s="69"/>
      <c r="X23" s="69"/>
      <c r="Y23" s="69"/>
      <c r="Z23" s="69"/>
      <c r="AG23" s="69"/>
    </row>
    <row r="24" spans="1:42" hidden="1" x14ac:dyDescent="0.2">
      <c r="K24" s="69"/>
      <c r="L24" s="69"/>
      <c r="M24" s="69"/>
      <c r="S24" s="69"/>
      <c r="T24" s="69"/>
      <c r="U24" s="69"/>
      <c r="V24" s="69"/>
      <c r="W24" s="69"/>
      <c r="X24" s="69"/>
      <c r="Y24" s="69"/>
      <c r="Z24" s="69"/>
      <c r="AG24" s="69"/>
    </row>
    <row r="25" spans="1:42" hidden="1" x14ac:dyDescent="0.2">
      <c r="A25" s="606"/>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row>
    <row r="26" spans="1:42"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row>
    <row r="27" spans="1:42"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row>
    <row r="28" spans="1:42"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row>
    <row r="29" spans="1:42"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row>
    <row r="30" spans="1:42"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row>
    <row r="31" spans="1:42"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row>
    <row r="32" spans="1:42"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row>
    <row r="33" spans="1:27"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1:27"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row>
    <row r="35" spans="1:27"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row>
    <row r="36" spans="1:27"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row>
    <row r="38" spans="1:27"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row>
    <row r="39" spans="1:27"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row>
    <row r="40" spans="1:27"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row>
    <row r="41" spans="1:27"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row>
    <row r="42" spans="1:27"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row>
    <row r="43" spans="1:27"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row>
    <row r="44" spans="1:27"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row>
    <row r="45" spans="1:27"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row>
    <row r="46" spans="1:27"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row>
    <row r="47" spans="1:27"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row>
    <row r="48" spans="1:27"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row>
    <row r="49" spans="1:27"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row>
    <row r="50" spans="1:27"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row>
    <row r="51" spans="1:27"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row>
    <row r="52" spans="1:27"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row>
    <row r="53" spans="1:27"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row>
    <row r="54" spans="1:27"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row>
    <row r="55" spans="1:27"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row>
    <row r="56" spans="1:27"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row>
    <row r="57" spans="1:27"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row>
    <row r="58" spans="1:27"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row>
    <row r="59" spans="1:27"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row>
    <row r="60" spans="1:27"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row>
    <row r="61" spans="1:27"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row>
    <row r="62" spans="1:27"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row>
    <row r="63" spans="1:27"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row>
    <row r="64" spans="1:27"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row>
    <row r="65" spans="1:27"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row>
    <row r="66" spans="1:27"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row>
    <row r="67" spans="1:27"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row>
    <row r="68" spans="1:27"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row>
    <row r="69" spans="1:27"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row>
    <row r="70" spans="1:27"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row>
    <row r="71" spans="1:27"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row>
    <row r="72" spans="1:27"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row>
    <row r="73" spans="1:27"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row>
    <row r="74" spans="1:27"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row>
    <row r="75" spans="1:27"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row>
    <row r="76" spans="1:27"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row>
    <row r="77" spans="1:27"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row>
    <row r="78" spans="1:27"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row>
    <row r="79" spans="1:27"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row>
    <row r="80" spans="1:27"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row>
    <row r="81" spans="1:27"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row>
    <row r="82" spans="1:27"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row>
    <row r="83" spans="1:27"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row>
    <row r="84" spans="1:27"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row>
    <row r="85" spans="1:27"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row>
    <row r="86" spans="1:27"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row>
    <row r="87" spans="1:27"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row>
    <row r="88" spans="1:27"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row>
    <row r="89" spans="1:27"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row>
    <row r="90" spans="1:27"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row>
    <row r="91" spans="1:27"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row>
    <row r="92" spans="1:27"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row>
    <row r="93" spans="1:27"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row>
    <row r="94" spans="1:27"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row>
    <row r="95" spans="1:27"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row>
    <row r="96" spans="1:27"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row>
    <row r="97" spans="1:27"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row>
    <row r="98" spans="1:27"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row>
    <row r="99" spans="1:27" x14ac:dyDescent="0.2">
      <c r="A99" s="606"/>
      <c r="B99" s="811"/>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row>
    <row r="100" spans="1:27"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row>
    <row r="101" spans="1:27"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27" x14ac:dyDescent="0.2">
      <c r="A102" s="240">
        <v>1</v>
      </c>
      <c r="B102" s="641" t="str">
        <f>IFERROR(INDEX(B$1:B$99,MATCH(A102,A$1:A$99,0)),"")</f>
        <v>Tanel Vähk, Tõnis Neiland</v>
      </c>
      <c r="C102" s="74">
        <v>13</v>
      </c>
      <c r="D102" s="74"/>
      <c r="E102" s="74"/>
      <c r="F102" s="74"/>
      <c r="G102" s="74"/>
      <c r="H102" s="130"/>
      <c r="I102" s="70"/>
      <c r="J102" s="130"/>
      <c r="O102" s="606"/>
      <c r="P102" s="606"/>
      <c r="Q102" s="606"/>
      <c r="R102" s="606"/>
      <c r="S102" s="606"/>
      <c r="T102" s="606"/>
      <c r="U102" s="606"/>
      <c r="V102" s="606"/>
      <c r="W102" s="606"/>
      <c r="X102" s="606"/>
      <c r="Y102" s="606"/>
      <c r="Z102" s="606"/>
      <c r="AA102" s="606"/>
    </row>
    <row r="103" spans="1:27" x14ac:dyDescent="0.2">
      <c r="A103" s="242"/>
      <c r="B103" s="649"/>
      <c r="C103" s="74" t="str">
        <f>IF(COUNT(C102,C104)=2,IF(C102&gt;C104,B102,B104),"")</f>
        <v>Tanel Vähk, Tõnis Neiland</v>
      </c>
      <c r="G103" s="419">
        <v>13</v>
      </c>
      <c r="H103" s="74"/>
      <c r="I103" s="74"/>
      <c r="J103" s="74"/>
      <c r="K103" s="74"/>
      <c r="L103" s="70"/>
      <c r="M103" s="130"/>
      <c r="O103" s="606"/>
      <c r="P103" s="606"/>
      <c r="Q103" s="606"/>
      <c r="R103" s="606"/>
      <c r="S103" s="606"/>
      <c r="T103" s="606"/>
      <c r="U103" s="606"/>
      <c r="V103" s="606"/>
      <c r="W103" s="606"/>
      <c r="X103" s="606"/>
      <c r="Y103" s="606"/>
      <c r="Z103" s="606"/>
      <c r="AA103" s="606"/>
    </row>
    <row r="104" spans="1:27" x14ac:dyDescent="0.2">
      <c r="A104" s="242">
        <v>8</v>
      </c>
      <c r="B104" s="644" t="str">
        <f>IFERROR(INDEX(B$1:B$99,MATCH(A104,A$1:A$99,0)),"")</f>
        <v>Kevin Sten Liik, Mait Metsla</v>
      </c>
      <c r="C104" s="646">
        <v>1</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27" x14ac:dyDescent="0.2">
      <c r="A105" s="242"/>
      <c r="B105" s="645"/>
      <c r="C105" s="49"/>
      <c r="D105" s="262"/>
      <c r="E105" s="262"/>
      <c r="F105" s="653"/>
      <c r="G105" s="417" t="str">
        <f>IF(COUNT(G103,G107)=2,IF(G103&gt;G107,C103,C107),"")</f>
        <v>Tanel Vähk, Tõnis Neiland</v>
      </c>
      <c r="H105" s="74"/>
      <c r="K105" s="241">
        <v>13</v>
      </c>
      <c r="L105" s="74"/>
      <c r="M105" s="74"/>
      <c r="N105" s="262"/>
      <c r="O105" s="606"/>
      <c r="P105" s="606"/>
      <c r="Q105" s="606"/>
      <c r="R105" s="606"/>
      <c r="S105" s="606"/>
      <c r="T105" s="606"/>
      <c r="U105" s="606"/>
      <c r="V105" s="606"/>
      <c r="W105" s="606"/>
      <c r="X105" s="606"/>
      <c r="Y105" s="606"/>
      <c r="Z105" s="606"/>
      <c r="AA105" s="606"/>
    </row>
    <row r="106" spans="1:27" x14ac:dyDescent="0.2">
      <c r="A106" s="242">
        <v>4</v>
      </c>
      <c r="B106" s="641" t="str">
        <f>IFERROR(INDEX(B$1:B$99,MATCH(A106,A$1:A$99,0)),"")</f>
        <v>Katri Aavekukk, Sebastien Schang</v>
      </c>
      <c r="C106" s="74">
        <v>13</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27" x14ac:dyDescent="0.2">
      <c r="A107" s="242"/>
      <c r="B107" s="649"/>
      <c r="C107" s="74" t="str">
        <f>IF(COUNT(C106,C108)=2,IF(C106&gt;C108,B106,B108),"")</f>
        <v>Katri Aavekukk, Sebastien Schang</v>
      </c>
      <c r="D107" s="654"/>
      <c r="E107" s="654"/>
      <c r="F107" s="655"/>
      <c r="G107" s="247">
        <v>9</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27" x14ac:dyDescent="0.2">
      <c r="A108" s="242">
        <v>5</v>
      </c>
      <c r="B108" s="644" t="str">
        <f>IFERROR(INDEX(B$1:B$99,MATCH(A108,A$1:A$99,0)),"")</f>
        <v>Alar Sinimäe, Kadri Veljend</v>
      </c>
      <c r="C108" s="646">
        <v>7</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27" ht="13.5" thickBot="1" x14ac:dyDescent="0.25">
      <c r="A109" s="41"/>
      <c r="B109" s="645"/>
      <c r="C109" s="74"/>
      <c r="G109" s="49"/>
      <c r="H109" s="49"/>
      <c r="I109" s="262"/>
      <c r="J109" s="653"/>
      <c r="K109" s="74"/>
      <c r="M109" s="425" t="str">
        <f>IF(COUNT(K105,K113)=2,IF(K105&gt;K113,G105,G113),"")</f>
        <v>Tanel Vähk, Tõnis Neiland</v>
      </c>
      <c r="N109" s="74"/>
      <c r="O109" s="262"/>
      <c r="P109" s="606"/>
      <c r="Q109" s="606"/>
      <c r="R109" s="606"/>
      <c r="S109" s="606"/>
      <c r="T109" s="606"/>
      <c r="U109" s="606"/>
      <c r="V109" s="606"/>
      <c r="W109" s="606"/>
      <c r="X109" s="606"/>
      <c r="Y109" s="606"/>
      <c r="Z109" s="606"/>
      <c r="AA109" s="606"/>
    </row>
    <row r="110" spans="1:27" x14ac:dyDescent="0.2">
      <c r="A110" s="240">
        <v>3</v>
      </c>
      <c r="B110" s="641" t="str">
        <f>IFERROR(INDEX(B$1:B$99,MATCH(A110,A$1:A$99,0)),"")</f>
        <v>Janek Kiisk, Ruudi Väärtnõu</v>
      </c>
      <c r="C110" s="74">
        <v>13</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27" x14ac:dyDescent="0.2">
      <c r="A111" s="242"/>
      <c r="B111" s="649"/>
      <c r="C111" s="74" t="str">
        <f>IF(COUNT(C110,C112)=2,IF(C110&gt;C112,B110,B112),"")</f>
        <v>Janek Kiisk, Ruudi Väärtnõu</v>
      </c>
      <c r="G111" s="247">
        <v>12</v>
      </c>
      <c r="H111" s="49"/>
      <c r="I111" s="262"/>
      <c r="J111" s="653"/>
      <c r="K111" s="49"/>
      <c r="M111" s="74"/>
      <c r="N111" s="74"/>
      <c r="O111" s="262"/>
      <c r="P111" s="606"/>
      <c r="Q111" s="606"/>
      <c r="R111" s="606"/>
      <c r="S111" s="606"/>
      <c r="T111" s="606"/>
      <c r="U111" s="606"/>
      <c r="V111" s="606"/>
      <c r="W111" s="606"/>
      <c r="X111" s="606"/>
      <c r="Y111" s="606"/>
      <c r="Z111" s="606"/>
      <c r="AA111" s="606"/>
    </row>
    <row r="112" spans="1:27" x14ac:dyDescent="0.2">
      <c r="A112" s="242">
        <v>6</v>
      </c>
      <c r="B112" s="644" t="str">
        <f>IFERROR(INDEX(B$1:B$99,MATCH(A112,A$1:A$99,0)),"")</f>
        <v>Külli Kariste, Marju Velga</v>
      </c>
      <c r="C112" s="646">
        <v>6</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Maive Sein, Varje Reede</v>
      </c>
      <c r="H113" s="243"/>
      <c r="I113" s="654"/>
      <c r="J113" s="655"/>
      <c r="K113" s="247">
        <v>4</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Marek Kolk, Urmo Auväärt</v>
      </c>
      <c r="C114" s="74">
        <v>9</v>
      </c>
      <c r="D114" s="262"/>
      <c r="E114" s="262"/>
      <c r="F114" s="653"/>
      <c r="G114" s="49"/>
      <c r="H114" s="49"/>
      <c r="K114" s="49"/>
      <c r="M114" s="425" t="str">
        <f>IF(COUNT(K105,K113)=2,IF(K105&lt;K113,G105,G113),"")</f>
        <v>Maive Sein, Varje Reede</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Maive Sein, Varje Reede</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Maive Sein, Varje Reede</v>
      </c>
      <c r="C116" s="646">
        <v>13</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Katri Aavekukk, Sebastien Schang</v>
      </c>
      <c r="H117" s="74"/>
      <c r="K117" s="247">
        <v>13</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Katri Aavekukk, Sebastien Schang</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Janek Kiisk, Ruudi Väärtnõu</v>
      </c>
      <c r="H119" s="243"/>
      <c r="I119" s="654"/>
      <c r="J119" s="655"/>
      <c r="K119" s="247">
        <v>9</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Janek Kiisk, Ruudi Väärtnõu</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Kevin Sten Liik, Mait Metsla</v>
      </c>
      <c r="G123" s="241">
        <v>5</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Alar Sinimäe, Kadri Veljend</v>
      </c>
      <c r="H124" s="74"/>
      <c r="K124" s="648">
        <v>3</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Alar Sinimäe, Kadri Veljend</v>
      </c>
      <c r="D125" s="654"/>
      <c r="E125" s="654"/>
      <c r="F125" s="655"/>
      <c r="G125" s="244">
        <v>13</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Marek Kolk, Urmo Auväärt</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Külli Kariste, Marju Velga</v>
      </c>
      <c r="G127" s="241">
        <v>6</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Marek Kolk, Urmo Auväärt</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Marek Kolk, Urmo Auväärt</v>
      </c>
      <c r="D129" s="654"/>
      <c r="E129" s="654"/>
      <c r="F129" s="655"/>
      <c r="G129" s="244">
        <v>13</v>
      </c>
      <c r="H129" s="241"/>
      <c r="K129" s="247"/>
      <c r="M129" s="425" t="str">
        <f>IF(COUNT(K124,K128)=2,IF(K124&lt;K128,G124,G128),"")</f>
        <v>Alar Sinimäe, Kadri Veljend</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Kevin Sten Liik, Mait Metsla</v>
      </c>
      <c r="H131" s="74"/>
      <c r="K131" s="247">
        <v>13</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Kevin Sten Liik, Mait Metsla</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Külli Kariste, Marju Velga</v>
      </c>
      <c r="H133" s="243"/>
      <c r="I133" s="654"/>
      <c r="J133" s="655"/>
      <c r="K133" s="247">
        <v>6</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Külli Kariste, Marju Velga</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Kalju Olmre, Marge Mägi</v>
      </c>
      <c r="C140" s="74">
        <v>13</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Kalju Olmre, Marge Mägi</v>
      </c>
      <c r="G141" s="419">
        <v>13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
        <v>573</v>
      </c>
      <c r="C142" s="646">
        <v>0</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Kalju Olmre, Marge Mägi</v>
      </c>
      <c r="H143" s="74"/>
      <c r="K143" s="241">
        <v>13</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Kenneth Muusikus, Peep Peenema</v>
      </c>
      <c r="C144" s="74">
        <v>13</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Kenneth Muusikus, Peep Peenema</v>
      </c>
      <c r="D145" s="654"/>
      <c r="E145" s="654"/>
      <c r="F145" s="655"/>
      <c r="G145" s="247">
        <v>5</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Mihkel Palk, Tiit Palk</v>
      </c>
      <c r="C146" s="642">
        <v>5</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Kalju Olmre, Marge Mägi</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Brigitta Neiland, Johannes Neiland, Lemmit Toomra</v>
      </c>
      <c r="C148" s="74">
        <v>10</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Indrek Vaho, Mihkel Filipenko</v>
      </c>
      <c r="G149" s="247">
        <v>7</v>
      </c>
      <c r="H149" s="49">
        <v>7</v>
      </c>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Indrek Vaho, Mihkel Filipenko</v>
      </c>
      <c r="C150" s="646">
        <v>13</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Mare Kingissepp, Silver Kingissepp</v>
      </c>
      <c r="H151" s="243"/>
      <c r="I151" s="654"/>
      <c r="J151" s="655"/>
      <c r="K151" s="247">
        <v>1</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Mare Kingissepp, Silver Kingissepp</v>
      </c>
      <c r="C152" s="74">
        <v>13</v>
      </c>
      <c r="D152" s="262"/>
      <c r="E152" s="262"/>
      <c r="F152" s="653"/>
      <c r="G152" s="49"/>
      <c r="H152" s="49"/>
      <c r="K152" s="49"/>
      <c r="M152" s="425" t="str">
        <f>IF(COUNT(K143,K151)=2,IF(K143&lt;K151,G143,G151),"")</f>
        <v>Mare Kingissepp, Silver Kingissepp</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Mare Kingissepp, Silver Kingissepp</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Arti Lindvest, Veiko Mäekivi</v>
      </c>
      <c r="C154" s="646">
        <v>9</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Kenneth Muusikus, Peep Peenema</v>
      </c>
      <c r="H155" s="74"/>
      <c r="K155" s="247">
        <v>7</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Indrek Vaho, Mihkel Filipenko</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Indrek Vaho, Mihkel Filipenko</v>
      </c>
      <c r="H157" s="243"/>
      <c r="I157" s="654"/>
      <c r="J157" s="655"/>
      <c r="K157" s="247">
        <v>13</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Kenneth Muusikus, Peep Peenema</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v>
      </c>
      <c r="G161" s="241">
        <v>0</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Mihkel Palk, Tiit Palk</v>
      </c>
      <c r="H162" s="74"/>
      <c r="K162" s="648">
        <v>1</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Mihkel Palk, Tiit Palk</v>
      </c>
      <c r="D163" s="654"/>
      <c r="E163" s="654"/>
      <c r="F163" s="655"/>
      <c r="G163" s="244">
        <v>13</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Brigitta Neiland, Johannes Neiland, Lemmit Toomra</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Brigitta Neiland, Johannes Neiland, Lemmit Toomra</v>
      </c>
      <c r="G165" s="241">
        <v>13</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Brigitta Neiland, Johannes Neiland, Lemmit Toomra</v>
      </c>
      <c r="H166" s="243"/>
      <c r="I166" s="654"/>
      <c r="J166" s="655"/>
      <c r="K166" s="247">
        <v>13</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Arti Lindvest, Veiko Mäekivi</v>
      </c>
      <c r="D167" s="654"/>
      <c r="E167" s="654"/>
      <c r="F167" s="655"/>
      <c r="G167" s="244">
        <v>9</v>
      </c>
      <c r="H167" s="241"/>
      <c r="K167" s="247"/>
      <c r="M167" s="425" t="str">
        <f>IF(COUNT(K162,K166)=2,IF(K162&lt;K166,G162,G166),"")</f>
        <v>Mihkel Palk, Tiit Palk</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v>
      </c>
      <c r="H169" s="74"/>
      <c r="K169" s="247">
        <v>0</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Arti Lindvest, Veiko Mäekivi</v>
      </c>
      <c r="N170" s="252"/>
      <c r="O170" s="262"/>
      <c r="S170" s="69"/>
      <c r="T170" s="69"/>
      <c r="U170" s="69"/>
      <c r="V170" s="69"/>
      <c r="W170" s="69"/>
      <c r="X170" s="69"/>
      <c r="Y170" s="69"/>
      <c r="Z170" s="69"/>
    </row>
    <row r="171" spans="1:27" x14ac:dyDescent="0.2">
      <c r="A171" s="74"/>
      <c r="B171" s="74"/>
      <c r="C171" s="247"/>
      <c r="G171" s="417" t="str">
        <f>IF(COUNT(G165,G167)=2,IF(G165&lt;G167,C165,C167),"")</f>
        <v>Arti Lindvest, Veiko Mäekivi</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v>
      </c>
      <c r="N173" s="252"/>
      <c r="O173" s="262"/>
    </row>
    <row r="174" spans="1:27" x14ac:dyDescent="0.2">
      <c r="A174" s="202"/>
      <c r="B174" s="260"/>
      <c r="C174" s="204"/>
      <c r="G174" s="204"/>
      <c r="H174" s="204"/>
      <c r="K174" s="259"/>
      <c r="M174" s="250" t="s">
        <v>543</v>
      </c>
      <c r="N174" s="238"/>
      <c r="O174" s="262"/>
    </row>
    <row r="175" spans="1:27" hidden="1" x14ac:dyDescent="0.2"/>
    <row r="176" spans="1:27" hidden="1" x14ac:dyDescent="0.2">
      <c r="A176" s="415"/>
      <c r="B176" s="415"/>
      <c r="C176" s="415"/>
      <c r="D176" s="415"/>
      <c r="E176" s="415"/>
      <c r="F176" s="415"/>
      <c r="G176" s="415"/>
      <c r="H176" s="415"/>
      <c r="I176" s="415"/>
      <c r="J176" s="415"/>
      <c r="K176" s="415"/>
      <c r="L176" s="415"/>
      <c r="M176" s="415"/>
      <c r="N176" s="415"/>
      <c r="O176" s="415"/>
    </row>
    <row r="177" spans="1:15" hidden="1" x14ac:dyDescent="0.2">
      <c r="A177" s="415"/>
      <c r="B177" s="415"/>
      <c r="C177" s="415"/>
      <c r="D177" s="415"/>
      <c r="E177" s="415"/>
      <c r="F177" s="415"/>
      <c r="G177" s="415"/>
      <c r="H177" s="415"/>
      <c r="I177" s="415"/>
      <c r="J177" s="415"/>
      <c r="K177" s="415"/>
      <c r="L177" s="415"/>
      <c r="M177" s="415"/>
      <c r="N177" s="415"/>
      <c r="O177" s="415"/>
    </row>
    <row r="178" spans="1:15" hidden="1" x14ac:dyDescent="0.2">
      <c r="A178" s="415"/>
      <c r="B178" s="415"/>
      <c r="C178" s="415"/>
      <c r="D178" s="415"/>
      <c r="E178" s="415"/>
      <c r="F178" s="415"/>
      <c r="G178" s="415"/>
      <c r="H178" s="415"/>
      <c r="I178" s="415"/>
      <c r="J178" s="415"/>
      <c r="K178" s="415"/>
      <c r="L178" s="415"/>
      <c r="M178" s="415"/>
      <c r="N178" s="415"/>
      <c r="O178" s="415"/>
    </row>
    <row r="179" spans="1:15" hidden="1" x14ac:dyDescent="0.2">
      <c r="A179" s="415"/>
      <c r="B179" s="415"/>
      <c r="C179" s="415"/>
      <c r="D179" s="415"/>
      <c r="E179" s="415"/>
      <c r="F179" s="415"/>
      <c r="G179" s="415"/>
      <c r="H179" s="415"/>
      <c r="I179" s="415"/>
      <c r="J179" s="415"/>
      <c r="K179" s="415"/>
      <c r="L179" s="415"/>
      <c r="M179" s="415"/>
      <c r="N179" s="415"/>
      <c r="O179" s="415"/>
    </row>
    <row r="180" spans="1:15" hidden="1" x14ac:dyDescent="0.2">
      <c r="A180" s="415"/>
      <c r="B180" s="415"/>
      <c r="C180" s="415"/>
      <c r="D180" s="415"/>
      <c r="E180" s="415"/>
      <c r="F180" s="415"/>
      <c r="G180" s="415"/>
      <c r="H180" s="415"/>
      <c r="I180" s="415"/>
      <c r="J180" s="415"/>
      <c r="K180" s="415"/>
      <c r="L180" s="415"/>
      <c r="M180" s="415"/>
      <c r="N180" s="415"/>
      <c r="O180" s="415"/>
    </row>
    <row r="181" spans="1:15" hidden="1" x14ac:dyDescent="0.2">
      <c r="A181" s="415"/>
      <c r="B181" s="415"/>
      <c r="C181" s="415"/>
      <c r="D181" s="415"/>
      <c r="E181" s="415"/>
      <c r="F181" s="415"/>
      <c r="G181" s="415"/>
      <c r="H181" s="415"/>
      <c r="I181" s="415"/>
      <c r="J181" s="415"/>
      <c r="K181" s="415"/>
      <c r="L181" s="415"/>
      <c r="M181" s="415"/>
      <c r="N181" s="415"/>
      <c r="O181" s="415"/>
    </row>
    <row r="182" spans="1:15" hidden="1" x14ac:dyDescent="0.2">
      <c r="A182" s="415"/>
      <c r="B182" s="415"/>
      <c r="C182" s="415"/>
      <c r="D182" s="415"/>
      <c r="E182" s="415"/>
      <c r="F182" s="415"/>
      <c r="G182" s="415"/>
      <c r="H182" s="415"/>
      <c r="I182" s="415"/>
      <c r="J182" s="415"/>
      <c r="K182" s="415"/>
      <c r="L182" s="415"/>
      <c r="M182" s="415"/>
      <c r="N182" s="415"/>
      <c r="O182" s="415"/>
    </row>
    <row r="183" spans="1:15" hidden="1" x14ac:dyDescent="0.2">
      <c r="A183" s="415"/>
      <c r="B183" s="415"/>
      <c r="C183" s="415"/>
      <c r="D183" s="415"/>
      <c r="E183" s="415"/>
      <c r="F183" s="415"/>
      <c r="G183" s="415"/>
      <c r="H183" s="415"/>
      <c r="I183" s="415"/>
      <c r="J183" s="415"/>
      <c r="K183" s="415"/>
      <c r="L183" s="415"/>
      <c r="M183" s="415"/>
      <c r="N183" s="415"/>
      <c r="O183" s="415"/>
    </row>
    <row r="184" spans="1:15" hidden="1" x14ac:dyDescent="0.2">
      <c r="K184" s="69"/>
      <c r="M184" s="69"/>
    </row>
    <row r="185" spans="1:15" hidden="1" x14ac:dyDescent="0.2">
      <c r="K185" s="69"/>
      <c r="M185" s="69"/>
    </row>
    <row r="186" spans="1:15" hidden="1" x14ac:dyDescent="0.2">
      <c r="K186" s="69"/>
      <c r="L186" s="69"/>
      <c r="M186" s="69"/>
    </row>
    <row r="187" spans="1:15" hidden="1" x14ac:dyDescent="0.2">
      <c r="K187" s="69"/>
      <c r="L187" s="69"/>
      <c r="M187" s="69"/>
    </row>
    <row r="188" spans="1:15" hidden="1" x14ac:dyDescent="0.2">
      <c r="K188" s="69"/>
      <c r="L188" s="69"/>
      <c r="M188" s="69"/>
    </row>
    <row r="189" spans="1:15" hidden="1" x14ac:dyDescent="0.2">
      <c r="K189" s="69"/>
      <c r="L189" s="69"/>
      <c r="M189" s="69"/>
    </row>
    <row r="190" spans="1:15" hidden="1" x14ac:dyDescent="0.2">
      <c r="K190" s="69"/>
      <c r="L190" s="69"/>
      <c r="M190" s="69"/>
    </row>
    <row r="191" spans="1:15" hidden="1" x14ac:dyDescent="0.2">
      <c r="K191" s="69"/>
      <c r="L191" s="69"/>
      <c r="M191" s="69"/>
    </row>
    <row r="192" spans="1:15" hidden="1" x14ac:dyDescent="0.2">
      <c r="K192" s="69"/>
      <c r="L192" s="69"/>
      <c r="M192" s="69"/>
    </row>
    <row r="193" spans="11:13" hidden="1" x14ac:dyDescent="0.2">
      <c r="K193" s="69"/>
      <c r="L193" s="69"/>
      <c r="M193" s="69"/>
    </row>
    <row r="194" spans="11:13" hidden="1" x14ac:dyDescent="0.2">
      <c r="K194" s="69"/>
      <c r="L194" s="69"/>
      <c r="M194" s="69"/>
    </row>
    <row r="195" spans="11:13" hidden="1" x14ac:dyDescent="0.2">
      <c r="K195" s="69"/>
      <c r="L195" s="69"/>
      <c r="M195" s="69"/>
    </row>
    <row r="196" spans="11:13" hidden="1" x14ac:dyDescent="0.2">
      <c r="K196" s="69"/>
      <c r="L196" s="69"/>
      <c r="M196" s="69"/>
    </row>
    <row r="197" spans="11:13" hidden="1" x14ac:dyDescent="0.2">
      <c r="K197" s="69"/>
      <c r="L197" s="69"/>
      <c r="M197" s="69"/>
    </row>
    <row r="198" spans="11:13" hidden="1" x14ac:dyDescent="0.2">
      <c r="K198" s="69"/>
      <c r="L198" s="69"/>
      <c r="M198" s="69"/>
    </row>
    <row r="199" spans="11:13" hidden="1" x14ac:dyDescent="0.2">
      <c r="K199" s="69"/>
      <c r="L199" s="69"/>
      <c r="M199" s="69"/>
    </row>
    <row r="200" spans="11:13" hidden="1" x14ac:dyDescent="0.2">
      <c r="K200" s="69"/>
      <c r="L200" s="69"/>
      <c r="M200" s="69"/>
    </row>
    <row r="201" spans="11:13" hidden="1" x14ac:dyDescent="0.2">
      <c r="K201" s="69"/>
      <c r="L201" s="69"/>
      <c r="M201" s="69"/>
    </row>
    <row r="202" spans="11:13" hidden="1" x14ac:dyDescent="0.2">
      <c r="K202" s="69"/>
      <c r="L202" s="69"/>
      <c r="M202" s="69"/>
    </row>
    <row r="203" spans="11:13" hidden="1" x14ac:dyDescent="0.2">
      <c r="K203" s="69"/>
      <c r="L203" s="69"/>
      <c r="M203" s="69"/>
    </row>
    <row r="204" spans="11:13" hidden="1" x14ac:dyDescent="0.2">
      <c r="K204" s="69"/>
      <c r="L204" s="69"/>
      <c r="M204" s="69"/>
    </row>
    <row r="205" spans="11:13" hidden="1" x14ac:dyDescent="0.2">
      <c r="K205" s="69"/>
      <c r="L205" s="69"/>
      <c r="M205" s="69"/>
    </row>
    <row r="206" spans="11:13" hidden="1" x14ac:dyDescent="0.2">
      <c r="K206" s="69"/>
      <c r="L206" s="69"/>
      <c r="M206" s="69"/>
    </row>
    <row r="207" spans="11:13" hidden="1" x14ac:dyDescent="0.2">
      <c r="K207" s="69"/>
      <c r="L207" s="69"/>
      <c r="M207" s="69"/>
    </row>
    <row r="208" spans="11:13" hidden="1" x14ac:dyDescent="0.2">
      <c r="K208" s="69"/>
      <c r="L208" s="69"/>
      <c r="M208" s="69"/>
    </row>
    <row r="209" spans="11:13" hidden="1" x14ac:dyDescent="0.2">
      <c r="K209" s="69"/>
      <c r="L209" s="69"/>
      <c r="M209" s="69"/>
    </row>
    <row r="210" spans="11:13" hidden="1" x14ac:dyDescent="0.2">
      <c r="K210" s="69"/>
      <c r="L210" s="69"/>
      <c r="M210" s="69"/>
    </row>
    <row r="211" spans="11:13" hidden="1" x14ac:dyDescent="0.2">
      <c r="K211" s="69"/>
      <c r="L211" s="69"/>
      <c r="M211" s="69"/>
    </row>
    <row r="212" spans="11:13" hidden="1" x14ac:dyDescent="0.2">
      <c r="K212" s="69"/>
      <c r="L212" s="69"/>
      <c r="M212" s="69"/>
    </row>
    <row r="213" spans="11:13" hidden="1" x14ac:dyDescent="0.2">
      <c r="K213" s="69"/>
      <c r="L213" s="69"/>
      <c r="M213" s="69"/>
    </row>
    <row r="214" spans="11:13" hidden="1" x14ac:dyDescent="0.2"/>
    <row r="215" spans="11:13" hidden="1" x14ac:dyDescent="0.2"/>
    <row r="216" spans="11:13" hidden="1" x14ac:dyDescent="0.2"/>
    <row r="217" spans="11:13" hidden="1" x14ac:dyDescent="0.2"/>
    <row r="218" spans="11:13" hidden="1" x14ac:dyDescent="0.2"/>
    <row r="219" spans="11:13" hidden="1" x14ac:dyDescent="0.2"/>
    <row r="220" spans="11:13" hidden="1" x14ac:dyDescent="0.2"/>
    <row r="221" spans="11:13" hidden="1" x14ac:dyDescent="0.2"/>
    <row r="222" spans="11:13" hidden="1" x14ac:dyDescent="0.2"/>
    <row r="223" spans="11:13" hidden="1" x14ac:dyDescent="0.2"/>
    <row r="224" spans="1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Q298" s="262"/>
      <c r="AR298" s="262"/>
      <c r="AS298" s="262"/>
      <c r="AT298" s="262"/>
    </row>
    <row r="299" spans="1:46" x14ac:dyDescent="0.2">
      <c r="A299" s="623"/>
      <c r="B299" s="623"/>
      <c r="C299" s="264" t="s">
        <v>220</v>
      </c>
      <c r="D299" s="611"/>
      <c r="E299" s="611"/>
      <c r="AQ299" s="262"/>
      <c r="AR299" s="262"/>
      <c r="AS299" s="262"/>
      <c r="AT299" s="262"/>
    </row>
    <row r="300" spans="1:46" x14ac:dyDescent="0.2">
      <c r="A300" s="624">
        <v>1</v>
      </c>
      <c r="B300" s="790" t="str">
        <f t="shared" ref="B300:B314" si="10">IFERROR(INDEX(M$100:M$298,MATCH(A300&amp;". koht",M$101:M$299,0)),"")</f>
        <v>Tanel Vähk, Tõnis Neiland</v>
      </c>
      <c r="C300" s="74">
        <v>115</v>
      </c>
      <c r="D300" s="74"/>
      <c r="E300" s="74"/>
      <c r="AQ300" s="262"/>
      <c r="AR300" s="262"/>
      <c r="AS300" s="262"/>
      <c r="AT300" s="262"/>
    </row>
    <row r="301" spans="1:46" x14ac:dyDescent="0.2">
      <c r="A301" s="624">
        <v>2</v>
      </c>
      <c r="B301" s="261" t="str">
        <f t="shared" si="10"/>
        <v>Maive Sein, Varje Reede</v>
      </c>
      <c r="C301" s="606">
        <v>105</v>
      </c>
      <c r="D301" s="606"/>
      <c r="E301" s="606"/>
      <c r="AQ301" s="262"/>
      <c r="AR301" s="262"/>
      <c r="AS301" s="262"/>
      <c r="AT301" s="262"/>
    </row>
    <row r="302" spans="1:46" x14ac:dyDescent="0.2">
      <c r="A302" s="624">
        <v>3</v>
      </c>
      <c r="B302" s="261" t="str">
        <f t="shared" si="10"/>
        <v>Katri Aavekukk, Sebastien Schang</v>
      </c>
      <c r="C302" s="606">
        <v>97</v>
      </c>
      <c r="D302" s="606"/>
      <c r="E302" s="606"/>
      <c r="AQ302" s="262"/>
      <c r="AR302" s="262"/>
      <c r="AS302" s="262"/>
      <c r="AT302" s="262"/>
    </row>
    <row r="303" spans="1:46" x14ac:dyDescent="0.2">
      <c r="A303" s="624">
        <v>4</v>
      </c>
      <c r="B303" s="261" t="str">
        <f t="shared" si="10"/>
        <v>Janek Kiisk, Ruudi Väärtnõu</v>
      </c>
      <c r="C303" s="606">
        <v>90</v>
      </c>
      <c r="D303" s="606"/>
      <c r="E303" s="606"/>
      <c r="AQ303" s="262"/>
      <c r="AR303" s="262"/>
      <c r="AS303" s="262"/>
      <c r="AT303" s="262"/>
    </row>
    <row r="304" spans="1:46" x14ac:dyDescent="0.2">
      <c r="A304" s="624">
        <v>5</v>
      </c>
      <c r="B304" s="261" t="str">
        <f t="shared" si="10"/>
        <v>Marek Kolk, Urmo Auväärt</v>
      </c>
      <c r="C304" s="606">
        <v>84</v>
      </c>
      <c r="D304" s="606"/>
      <c r="E304" s="606"/>
      <c r="AQ304" s="262"/>
      <c r="AR304" s="262"/>
      <c r="AS304" s="262"/>
      <c r="AT304" s="262"/>
    </row>
    <row r="305" spans="1:46" x14ac:dyDescent="0.2">
      <c r="A305" s="624">
        <v>6</v>
      </c>
      <c r="B305" s="261" t="str">
        <f t="shared" si="10"/>
        <v>Alar Sinimäe, Kadri Veljend</v>
      </c>
      <c r="C305" s="606">
        <v>79</v>
      </c>
      <c r="D305" s="606"/>
      <c r="E305" s="606"/>
      <c r="AQ305" s="262"/>
      <c r="AR305" s="262"/>
      <c r="AS305" s="262"/>
      <c r="AT305" s="262"/>
    </row>
    <row r="306" spans="1:46" x14ac:dyDescent="0.2">
      <c r="A306" s="624">
        <v>7</v>
      </c>
      <c r="B306" s="261" t="str">
        <f t="shared" si="10"/>
        <v>Kevin Sten Liik, Mait Metsla</v>
      </c>
      <c r="C306" s="606">
        <v>74</v>
      </c>
      <c r="D306" s="606"/>
      <c r="E306" s="606"/>
      <c r="AQ306" s="262"/>
      <c r="AR306" s="262"/>
      <c r="AS306" s="262"/>
      <c r="AT306" s="262"/>
    </row>
    <row r="307" spans="1:46" x14ac:dyDescent="0.2">
      <c r="A307" s="624">
        <v>8</v>
      </c>
      <c r="B307" s="261" t="str">
        <f t="shared" si="10"/>
        <v>Külli Kariste, Marju Velga</v>
      </c>
      <c r="C307" s="606">
        <v>69</v>
      </c>
      <c r="D307" s="606"/>
      <c r="E307" s="606"/>
      <c r="AQ307" s="262"/>
      <c r="AR307" s="262"/>
      <c r="AS307" s="262"/>
      <c r="AT307" s="262"/>
    </row>
    <row r="308" spans="1:46" x14ac:dyDescent="0.2">
      <c r="A308" s="624">
        <v>9</v>
      </c>
      <c r="B308" s="261" t="str">
        <f t="shared" si="10"/>
        <v>Kalju Olmre, Marge Mägi</v>
      </c>
      <c r="C308" s="606">
        <v>64</v>
      </c>
      <c r="D308" s="606"/>
      <c r="E308" s="606"/>
      <c r="AQ308" s="262"/>
      <c r="AR308" s="262"/>
      <c r="AS308" s="262"/>
      <c r="AT308" s="262"/>
    </row>
    <row r="309" spans="1:46" x14ac:dyDescent="0.2">
      <c r="A309" s="624">
        <v>10</v>
      </c>
      <c r="B309" s="261" t="str">
        <f t="shared" si="10"/>
        <v>Mare Kingissepp, Silver Kingissepp</v>
      </c>
      <c r="C309" s="606">
        <v>60</v>
      </c>
      <c r="D309" s="606"/>
      <c r="E309" s="606"/>
      <c r="AQ309" s="262"/>
      <c r="AR309" s="262"/>
      <c r="AS309" s="262"/>
      <c r="AT309" s="262"/>
    </row>
    <row r="310" spans="1:46" x14ac:dyDescent="0.2">
      <c r="A310" s="624">
        <v>11</v>
      </c>
      <c r="B310" s="261" t="str">
        <f t="shared" si="10"/>
        <v>Indrek Vaho, Mihkel Filipenko</v>
      </c>
      <c r="C310" s="606">
        <v>56</v>
      </c>
      <c r="D310" s="606"/>
      <c r="E310" s="606"/>
      <c r="AQ310" s="262"/>
      <c r="AR310" s="262"/>
      <c r="AS310" s="262"/>
      <c r="AT310" s="262"/>
    </row>
    <row r="311" spans="1:46" x14ac:dyDescent="0.2">
      <c r="A311" s="624">
        <v>12</v>
      </c>
      <c r="B311" s="261" t="str">
        <f t="shared" si="10"/>
        <v>Kenneth Muusikus, Peep Peenema</v>
      </c>
      <c r="C311" s="69">
        <v>52</v>
      </c>
      <c r="AQ311" s="262"/>
      <c r="AR311" s="262"/>
      <c r="AS311" s="262"/>
      <c r="AT311" s="262"/>
    </row>
    <row r="312" spans="1:46" x14ac:dyDescent="0.2">
      <c r="A312" s="624">
        <v>13</v>
      </c>
      <c r="B312" s="261" t="str">
        <f t="shared" si="10"/>
        <v>Brigitta Neiland, Johannes Neiland, Lemmit Toomra</v>
      </c>
      <c r="C312" s="69">
        <v>49</v>
      </c>
      <c r="AQ312" s="262"/>
      <c r="AR312" s="262"/>
      <c r="AS312" s="262"/>
      <c r="AT312" s="262"/>
    </row>
    <row r="313" spans="1:46" x14ac:dyDescent="0.2">
      <c r="A313" s="624">
        <v>14</v>
      </c>
      <c r="B313" s="261" t="str">
        <f t="shared" si="10"/>
        <v>Mihkel Palk, Tiit Palk</v>
      </c>
      <c r="C313" s="69">
        <v>46</v>
      </c>
      <c r="AQ313" s="262"/>
      <c r="AR313" s="262"/>
      <c r="AS313" s="262"/>
      <c r="AT313" s="262"/>
    </row>
    <row r="314" spans="1:46" x14ac:dyDescent="0.2">
      <c r="A314" s="624">
        <v>15</v>
      </c>
      <c r="B314" s="261" t="str">
        <f t="shared" si="10"/>
        <v>Arti Lindvest, Veiko Mäekivi</v>
      </c>
      <c r="C314" s="69">
        <v>43</v>
      </c>
      <c r="AQ314" s="262"/>
      <c r="AR314" s="262"/>
      <c r="AS314" s="262"/>
      <c r="AT314" s="262"/>
    </row>
    <row r="315" spans="1:46" hidden="1" x14ac:dyDescent="0.2">
      <c r="C315" s="69">
        <v>40</v>
      </c>
      <c r="AG315" s="69"/>
    </row>
    <row r="316" spans="1:46" hidden="1" x14ac:dyDescent="0.2">
      <c r="C316" s="69">
        <v>37</v>
      </c>
      <c r="AG316" s="69"/>
    </row>
    <row r="317" spans="1:46" hidden="1" x14ac:dyDescent="0.2">
      <c r="C317" s="69">
        <v>34</v>
      </c>
      <c r="AG317" s="69"/>
    </row>
    <row r="318" spans="1:46" hidden="1" x14ac:dyDescent="0.2">
      <c r="C318" s="69">
        <v>31</v>
      </c>
      <c r="AG318" s="69"/>
    </row>
    <row r="319" spans="1:46" hidden="1" x14ac:dyDescent="0.2">
      <c r="C319" s="69">
        <v>28</v>
      </c>
      <c r="AG319" s="69"/>
    </row>
    <row r="320" spans="1:46" hidden="1" x14ac:dyDescent="0.2">
      <c r="C320" s="69">
        <v>25</v>
      </c>
      <c r="AG320" s="69"/>
    </row>
    <row r="321" spans="3:33" hidden="1" x14ac:dyDescent="0.2">
      <c r="C321" s="69">
        <v>22</v>
      </c>
      <c r="AG321" s="69"/>
    </row>
    <row r="322" spans="3:33" hidden="1" x14ac:dyDescent="0.2">
      <c r="C322" s="69">
        <v>19</v>
      </c>
      <c r="AG322" s="69"/>
    </row>
    <row r="323" spans="3:33" hidden="1" x14ac:dyDescent="0.2">
      <c r="C323" s="69">
        <v>16</v>
      </c>
      <c r="AG323" s="69"/>
    </row>
    <row r="324" spans="3:33" hidden="1" x14ac:dyDescent="0.2">
      <c r="C324" s="69">
        <v>14</v>
      </c>
      <c r="AG324" s="69"/>
    </row>
    <row r="325" spans="3:33" hidden="1" x14ac:dyDescent="0.2">
      <c r="C325" s="69">
        <v>12</v>
      </c>
      <c r="AG325" s="69"/>
    </row>
    <row r="326" spans="3:33" hidden="1" x14ac:dyDescent="0.2">
      <c r="C326" s="69">
        <v>10</v>
      </c>
      <c r="AG326" s="69"/>
    </row>
    <row r="327" spans="3:33" hidden="1" x14ac:dyDescent="0.2">
      <c r="C327" s="69">
        <v>8</v>
      </c>
      <c r="AG327" s="69"/>
    </row>
    <row r="328" spans="3:33" hidden="1" x14ac:dyDescent="0.2">
      <c r="C328" s="69">
        <v>6</v>
      </c>
      <c r="AG328" s="69"/>
    </row>
    <row r="329" spans="3:33" hidden="1" x14ac:dyDescent="0.2">
      <c r="C329" s="69">
        <v>5</v>
      </c>
      <c r="AG329" s="69"/>
    </row>
    <row r="330" spans="3:33" hidden="1" x14ac:dyDescent="0.2">
      <c r="C330" s="69">
        <v>4</v>
      </c>
      <c r="M330" s="69"/>
      <c r="S330" s="675" t="str">
        <f>IFERROR(INDEX([1]Üldreiting!$K:$K,MATCH(AM322,[1]Üldreiting!$L:$L,0)),"")</f>
        <v/>
      </c>
      <c r="T330" s="676" t="str">
        <f t="shared" ref="T330:T333" si="11">IFERROR(MID($B330,FIND(", ",$B330,FIND(", ",$B330,FIND(", ",$B330))+1)+2,30000),"")</f>
        <v/>
      </c>
      <c r="U330" s="675" t="str">
        <f>IFERROR(INDEX([1]Üldreiting!$K:$K,MATCH(T330,[1]Üldreiting!$L:$L,0)),"")</f>
        <v/>
      </c>
      <c r="AG330" s="69"/>
    </row>
    <row r="331" spans="3:33" hidden="1" x14ac:dyDescent="0.2">
      <c r="C331" s="69">
        <v>3</v>
      </c>
      <c r="M331" s="69"/>
      <c r="S331" s="673"/>
      <c r="T331" s="673"/>
      <c r="U331" s="673"/>
      <c r="AG331" s="69"/>
    </row>
    <row r="332" spans="3:33" hidden="1" x14ac:dyDescent="0.2">
      <c r="C332" s="69">
        <v>1</v>
      </c>
      <c r="M332" s="69"/>
      <c r="S332" s="673"/>
      <c r="T332" s="673"/>
      <c r="U332" s="673"/>
      <c r="AG332" s="69"/>
    </row>
    <row r="333" spans="3:33" hidden="1" x14ac:dyDescent="0.2">
      <c r="C333" s="69">
        <v>0</v>
      </c>
      <c r="M333" s="69"/>
      <c r="S333" s="675" t="str">
        <f>IFERROR(INDEX([1]Üldreiting!$K:$K,MATCH(AM323,[1]Üldreiting!$L:$L,0)),"")</f>
        <v/>
      </c>
      <c r="T333" s="676" t="str">
        <f t="shared" si="11"/>
        <v/>
      </c>
      <c r="U333" s="675" t="str">
        <f>IFERROR(INDEX([1]Üldreiting!$K:$K,MATCH(T333,[1]Üldreiting!$L:$L,0)),"")</f>
        <v/>
      </c>
      <c r="AG333" s="69"/>
    </row>
    <row r="334" spans="3:33" x14ac:dyDescent="0.2">
      <c r="M334" s="238"/>
      <c r="N334" s="238"/>
      <c r="O334" s="238"/>
      <c r="P334" s="238"/>
      <c r="Q334" s="238"/>
      <c r="R334" s="238"/>
      <c r="S334" s="238"/>
      <c r="T334" s="238"/>
      <c r="U334" s="238"/>
      <c r="AG334" s="69"/>
    </row>
  </sheetData>
  <conditionalFormatting sqref="A300:A314">
    <cfRule type="duplicateValues" dxfId="1182" priority="83"/>
  </conditionalFormatting>
  <conditionalFormatting sqref="B300:B314">
    <cfRule type="duplicateValues" dxfId="1181" priority="60"/>
  </conditionalFormatting>
  <conditionalFormatting sqref="C7:F21">
    <cfRule type="expression" dxfId="1180" priority="81">
      <formula>IF($C7&gt;$E7,TRUE)</formula>
    </cfRule>
    <cfRule type="expression" dxfId="1179" priority="82">
      <formula>IF($C7&lt;$E7,TRUE)</formula>
    </cfRule>
  </conditionalFormatting>
  <conditionalFormatting sqref="C7:C21">
    <cfRule type="expression" dxfId="1178" priority="80">
      <formula>IF($C7&gt;$E7,TRUE)</formula>
    </cfRule>
  </conditionalFormatting>
  <conditionalFormatting sqref="E7:E21">
    <cfRule type="expression" dxfId="1177" priority="79">
      <formula>IF($C7&lt;$E7,TRUE)</formula>
    </cfRule>
  </conditionalFormatting>
  <conditionalFormatting sqref="G7:J21">
    <cfRule type="expression" dxfId="1176" priority="77">
      <formula>IF($G7&gt;$I7,TRUE)</formula>
    </cfRule>
    <cfRule type="expression" dxfId="1175" priority="78">
      <formula>IF($G7&lt;$I7,TRUE)</formula>
    </cfRule>
  </conditionalFormatting>
  <conditionalFormatting sqref="G7:G21">
    <cfRule type="expression" dxfId="1174" priority="76">
      <formula>IF($G7&gt;$I7,TRUE)</formula>
    </cfRule>
  </conditionalFormatting>
  <conditionalFormatting sqref="I7:I21">
    <cfRule type="expression" dxfId="1173" priority="75">
      <formula>IF($G7&lt;$I7,TRUE)</formula>
    </cfRule>
  </conditionalFormatting>
  <conditionalFormatting sqref="K7:N21">
    <cfRule type="expression" dxfId="1172" priority="73">
      <formula>IF($K7&gt;$M7,TRUE)</formula>
    </cfRule>
    <cfRule type="expression" dxfId="1171" priority="74">
      <formula>IF($K7&lt;$M7,TRUE)</formula>
    </cfRule>
  </conditionalFormatting>
  <conditionalFormatting sqref="K7:K21">
    <cfRule type="expression" dxfId="1170" priority="72">
      <formula>IF($K7&gt;$M7,TRUE)</formula>
    </cfRule>
  </conditionalFormatting>
  <conditionalFormatting sqref="M7:M21">
    <cfRule type="expression" dxfId="1169" priority="71">
      <formula>IF($K7&lt;$M7,TRUE)</formula>
    </cfRule>
  </conditionalFormatting>
  <conditionalFormatting sqref="O7:R21">
    <cfRule type="expression" dxfId="1168" priority="69">
      <formula>IF($O7&gt;$Q7,TRUE)</formula>
    </cfRule>
    <cfRule type="expression" dxfId="1167" priority="70">
      <formula>IF($O7&lt;$Q7,TRUE)</formula>
    </cfRule>
  </conditionalFormatting>
  <conditionalFormatting sqref="O7:O21">
    <cfRule type="expression" dxfId="1166" priority="68">
      <formula>IF($O7&gt;$Q7,TRUE)</formula>
    </cfRule>
  </conditionalFormatting>
  <conditionalFormatting sqref="Q7:Q21">
    <cfRule type="expression" dxfId="1165" priority="67">
      <formula>IF($O7&lt;$Q7,TRUE)</formula>
    </cfRule>
  </conditionalFormatting>
  <conditionalFormatting sqref="S7:Z21">
    <cfRule type="expression" dxfId="1164" priority="65">
      <formula>IF($S7&gt;$U7,TRUE)</formula>
    </cfRule>
    <cfRule type="expression" dxfId="1163" priority="66">
      <formula>IF($S7&lt;$U7,TRUE)</formula>
    </cfRule>
  </conditionalFormatting>
  <conditionalFormatting sqref="S7:S21 W7:W21">
    <cfRule type="expression" dxfId="1162" priority="64">
      <formula>IF($S7&gt;$U7,TRUE)</formula>
    </cfRule>
  </conditionalFormatting>
  <conditionalFormatting sqref="U7:U21 Y7:Y21">
    <cfRule type="expression" dxfId="1161" priority="63">
      <formula>IF($S7&lt;$U7,TRUE)</formula>
    </cfRule>
  </conditionalFormatting>
  <conditionalFormatting sqref="A102:A116">
    <cfRule type="cellIs" dxfId="1160" priority="61" operator="equal">
      <formula>"-"</formula>
    </cfRule>
    <cfRule type="duplicateValues" dxfId="1159" priority="62"/>
  </conditionalFormatting>
  <conditionalFormatting sqref="K131 K133">
    <cfRule type="containsBlanks" dxfId="1158" priority="58">
      <formula>LEN(TRIM(K131))=0</formula>
    </cfRule>
    <cfRule type="aboveAverage" dxfId="1157" priority="59"/>
  </conditionalFormatting>
  <conditionalFormatting sqref="G123 G125">
    <cfRule type="containsBlanks" dxfId="1156" priority="56">
      <formula>LEN(TRIM(G123))=0</formula>
    </cfRule>
    <cfRule type="aboveAverage" dxfId="1155" priority="57"/>
  </conditionalFormatting>
  <conditionalFormatting sqref="K117 K119">
    <cfRule type="aboveAverage" dxfId="1154" priority="55"/>
  </conditionalFormatting>
  <conditionalFormatting sqref="K117 K119">
    <cfRule type="containsBlanks" dxfId="1153" priority="54">
      <formula>LEN(TRIM(K117))=0</formula>
    </cfRule>
  </conditionalFormatting>
  <conditionalFormatting sqref="G103 G107">
    <cfRule type="containsBlanks" dxfId="1152" priority="52">
      <formula>LEN(TRIM(G103))=0</formula>
    </cfRule>
    <cfRule type="aboveAverage" dxfId="1151" priority="53"/>
  </conditionalFormatting>
  <conditionalFormatting sqref="G111 G115">
    <cfRule type="containsBlanks" dxfId="1150" priority="50">
      <formula>LEN(TRIM(G111))=0</formula>
    </cfRule>
    <cfRule type="aboveAverage" dxfId="1149" priority="51"/>
  </conditionalFormatting>
  <conditionalFormatting sqref="K105 K113">
    <cfRule type="containsBlanks" dxfId="1148" priority="46">
      <formula>LEN(TRIM(K105))=0</formula>
    </cfRule>
    <cfRule type="aboveAverage" dxfId="1147" priority="49"/>
  </conditionalFormatting>
  <conditionalFormatting sqref="A140:A154">
    <cfRule type="cellIs" dxfId="1146" priority="47" operator="equal">
      <formula>"-"</formula>
    </cfRule>
    <cfRule type="duplicateValues" dxfId="1145" priority="48"/>
  </conditionalFormatting>
  <conditionalFormatting sqref="G127 G129">
    <cfRule type="containsBlanks" dxfId="1144" priority="44">
      <formula>LEN(TRIM(G127))=0</formula>
    </cfRule>
    <cfRule type="aboveAverage" dxfId="1143" priority="45"/>
  </conditionalFormatting>
  <conditionalFormatting sqref="C114 C116">
    <cfRule type="containsBlanks" dxfId="1142" priority="34">
      <formula>LEN(TRIM(C114))=0</formula>
    </cfRule>
    <cfRule type="aboveAverage" dxfId="1141" priority="35"/>
  </conditionalFormatting>
  <conditionalFormatting sqref="C110 C112">
    <cfRule type="containsBlanks" dxfId="1140" priority="36">
      <formula>LEN(TRIM(C110))=0</formula>
    </cfRule>
    <cfRule type="aboveAverage" dxfId="1139" priority="37"/>
  </conditionalFormatting>
  <conditionalFormatting sqref="C106 C108">
    <cfRule type="containsBlanks" dxfId="1138" priority="38">
      <formula>LEN(TRIM(C106))=0</formula>
    </cfRule>
    <cfRule type="aboveAverage" dxfId="1137" priority="39"/>
  </conditionalFormatting>
  <conditionalFormatting sqref="C102 C104">
    <cfRule type="containsBlanks" dxfId="1136" priority="40">
      <formula>LEN(TRIM(C102))=0</formula>
    </cfRule>
    <cfRule type="aboveAverage" dxfId="1135" priority="41"/>
  </conditionalFormatting>
  <conditionalFormatting sqref="K124 K128">
    <cfRule type="containsBlanks" dxfId="1134" priority="42">
      <formula>LEN(TRIM(K124))=0</formula>
    </cfRule>
    <cfRule type="aboveAverage" dxfId="1133" priority="43"/>
  </conditionalFormatting>
  <conditionalFormatting sqref="K169 K171">
    <cfRule type="containsBlanks" dxfId="1132" priority="32">
      <formula>LEN(TRIM(K169))=0</formula>
    </cfRule>
    <cfRule type="aboveAverage" dxfId="1131" priority="33"/>
  </conditionalFormatting>
  <conditionalFormatting sqref="G161 G163">
    <cfRule type="containsBlanks" dxfId="1130" priority="30">
      <formula>LEN(TRIM(G161))=0</formula>
    </cfRule>
    <cfRule type="aboveAverage" dxfId="1129" priority="31"/>
  </conditionalFormatting>
  <conditionalFormatting sqref="K155 K157">
    <cfRule type="aboveAverage" dxfId="1128" priority="29"/>
  </conditionalFormatting>
  <conditionalFormatting sqref="K155 K157">
    <cfRule type="containsBlanks" dxfId="1127" priority="28">
      <formula>LEN(TRIM(K155))=0</formula>
    </cfRule>
  </conditionalFormatting>
  <conditionalFormatting sqref="G141 G145">
    <cfRule type="containsBlanks" dxfId="1126" priority="26">
      <formula>LEN(TRIM(G141))=0</formula>
    </cfRule>
    <cfRule type="aboveAverage" dxfId="1125" priority="27"/>
  </conditionalFormatting>
  <conditionalFormatting sqref="G149 G153">
    <cfRule type="containsBlanks" dxfId="1124" priority="24">
      <formula>LEN(TRIM(G149))=0</formula>
    </cfRule>
    <cfRule type="aboveAverage" dxfId="1123" priority="25"/>
  </conditionalFormatting>
  <conditionalFormatting sqref="K143 K151">
    <cfRule type="containsBlanks" dxfId="1122" priority="22">
      <formula>LEN(TRIM(K143))=0</formula>
    </cfRule>
    <cfRule type="aboveAverage" dxfId="1121" priority="23"/>
  </conditionalFormatting>
  <conditionalFormatting sqref="G165 G167">
    <cfRule type="containsBlanks" dxfId="1120" priority="20">
      <formula>LEN(TRIM(G165))=0</formula>
    </cfRule>
    <cfRule type="aboveAverage" dxfId="1119" priority="21"/>
  </conditionalFormatting>
  <conditionalFormatting sqref="C152 C154">
    <cfRule type="containsBlanks" dxfId="1118" priority="10">
      <formula>LEN(TRIM(C152))=0</formula>
    </cfRule>
    <cfRule type="aboveAverage" dxfId="1117" priority="11"/>
  </conditionalFormatting>
  <conditionalFormatting sqref="C148 C150">
    <cfRule type="containsBlanks" dxfId="1116" priority="12">
      <formula>LEN(TRIM(C148))=0</formula>
    </cfRule>
    <cfRule type="aboveAverage" dxfId="1115" priority="13"/>
  </conditionalFormatting>
  <conditionalFormatting sqref="C144 C146">
    <cfRule type="containsBlanks" dxfId="1114" priority="14">
      <formula>LEN(TRIM(C144))=0</formula>
    </cfRule>
    <cfRule type="aboveAverage" dxfId="1113" priority="15"/>
  </conditionalFormatting>
  <conditionalFormatting sqref="C140 C142">
    <cfRule type="containsBlanks" dxfId="1112" priority="16">
      <formula>LEN(TRIM(C140))=0</formula>
    </cfRule>
    <cfRule type="aboveAverage" dxfId="1111" priority="17"/>
  </conditionalFormatting>
  <conditionalFormatting sqref="K162 K166">
    <cfRule type="containsBlanks" dxfId="1110" priority="18">
      <formula>LEN(TRIM(K162))=0</formula>
    </cfRule>
    <cfRule type="aboveAverage" dxfId="1109" priority="19"/>
  </conditionalFormatting>
  <conditionalFormatting sqref="B300">
    <cfRule type="expression" dxfId="1108" priority="7">
      <formula>$A$300=1</formula>
    </cfRule>
  </conditionalFormatting>
  <conditionalFormatting sqref="B301">
    <cfRule type="expression" dxfId="1107" priority="6">
      <formula>$A$301=2</formula>
    </cfRule>
  </conditionalFormatting>
  <conditionalFormatting sqref="B302">
    <cfRule type="expression" dxfId="1106" priority="5">
      <formula>$A$302=3</formula>
    </cfRule>
  </conditionalFormatting>
  <conditionalFormatting sqref="T330 T333 AO7:AO21 AM7:AM21 AI7:AI21">
    <cfRule type="expression" dxfId="1105" priority="4">
      <formula>AND(U7="",COUNTIF(T7,"*,*")=0)</formula>
    </cfRule>
  </conditionalFormatting>
  <conditionalFormatting sqref="AK7:AK21">
    <cfRule type="expression" dxfId="1104" priority="2">
      <formula>AND(AL7="",FIND(",",AK7))</formula>
    </cfRule>
    <cfRule type="expression" dxfId="1103" priority="3">
      <formula>AND(AL7="",COUNTIF(AK7,"*,*")=0)</formula>
    </cfRule>
  </conditionalFormatting>
  <conditionalFormatting sqref="C7:Z21">
    <cfRule type="containsText" dxfId="1102" priority="1" operator="containsText" text="vaba voor">
      <formula>NOT(ISERROR(SEARCH("vaba voor",C7)))</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6" max="16383" man="1"/>
    <brk id="17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L53"/>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130" customWidth="1"/>
    <col min="2" max="2" width="34.85546875" style="130" customWidth="1"/>
    <col min="3" max="6" width="4.7109375" style="130" customWidth="1"/>
    <col min="7" max="7" width="2.7109375" style="130" customWidth="1"/>
    <col min="8" max="9" width="7.7109375" style="130" bestFit="1" customWidth="1"/>
    <col min="10" max="10" width="2.7109375" style="130" bestFit="1" customWidth="1"/>
    <col min="11" max="11" width="6.5703125" style="130" bestFit="1" customWidth="1"/>
    <col min="12" max="12" width="7" style="130" bestFit="1" customWidth="1"/>
    <col min="13" max="16384" width="9.140625" style="130"/>
  </cols>
  <sheetData>
    <row r="1" spans="1:12" x14ac:dyDescent="0.2">
      <c r="A1" s="68" t="str">
        <f>UPPER((Kalend!E15)&amp;" - "&amp;(Kalend!C15)&amp;" - "&amp;(Kalend!D15))</f>
        <v xml:space="preserve"> - EM, MM KATSEVÕISTLUSED - TRIO</v>
      </c>
      <c r="F1" s="46" t="str">
        <f>HYPERLINK("#Üldreiting!I1","Reiting")</f>
        <v>Reiting</v>
      </c>
    </row>
    <row r="2" spans="1:12" x14ac:dyDescent="0.2">
      <c r="A2" s="67" t="str">
        <f>"Toimumisaeg: "&amp;(Kalend!A15)&amp;" kell "&amp;(Kalend!B15)</f>
        <v xml:space="preserve">Toimumisaeg: L, 16.06.2018 kell </v>
      </c>
    </row>
    <row r="3" spans="1:12" x14ac:dyDescent="0.2">
      <c r="A3" s="67" t="str">
        <f>"Toimumiskoht: "&amp;(Kalend!H15)</f>
        <v>Toimumiskoht: Tallinn</v>
      </c>
    </row>
    <row r="4" spans="1:12" x14ac:dyDescent="0.2">
      <c r="A4" s="67" t="str">
        <f>"Korraldaja: "&amp;(Kalend!I15)</f>
        <v>Korraldaja: EPKL</v>
      </c>
    </row>
    <row r="5" spans="1:12" s="74" customFormat="1" x14ac:dyDescent="0.2"/>
    <row r="6" spans="1:12" x14ac:dyDescent="0.2">
      <c r="A6" s="144" t="s">
        <v>165</v>
      </c>
    </row>
    <row r="7" spans="1:12" x14ac:dyDescent="0.2">
      <c r="H7" s="225" t="s">
        <v>671</v>
      </c>
      <c r="I7" s="225" t="s">
        <v>670</v>
      </c>
      <c r="K7" s="226" t="s">
        <v>27</v>
      </c>
    </row>
    <row r="8" spans="1:12" x14ac:dyDescent="0.2">
      <c r="A8" s="52"/>
      <c r="B8" s="52"/>
      <c r="C8" s="223">
        <v>1</v>
      </c>
      <c r="D8" s="223">
        <v>2</v>
      </c>
      <c r="E8" s="223">
        <v>3</v>
      </c>
      <c r="F8" s="223">
        <v>4</v>
      </c>
      <c r="G8" s="223">
        <v>5</v>
      </c>
      <c r="H8" s="224" t="s">
        <v>498</v>
      </c>
      <c r="I8" s="486"/>
      <c r="K8" s="131"/>
    </row>
    <row r="9" spans="1:12" ht="25.5" x14ac:dyDescent="0.2">
      <c r="A9" s="232">
        <v>1</v>
      </c>
      <c r="B9" s="227" t="s">
        <v>665</v>
      </c>
      <c r="C9" s="229"/>
      <c r="D9" s="481">
        <v>13</v>
      </c>
      <c r="E9" s="481">
        <v>13</v>
      </c>
      <c r="F9" s="481">
        <v>13</v>
      </c>
      <c r="G9" s="481">
        <v>13</v>
      </c>
      <c r="H9" s="482" t="s">
        <v>513</v>
      </c>
      <c r="I9" s="487" t="s">
        <v>513</v>
      </c>
      <c r="K9" s="490" t="s">
        <v>680</v>
      </c>
      <c r="L9" s="493" t="s">
        <v>683</v>
      </c>
    </row>
    <row r="10" spans="1:12" ht="25.5" x14ac:dyDescent="0.2">
      <c r="A10" s="232">
        <v>2</v>
      </c>
      <c r="B10" s="227" t="s">
        <v>666</v>
      </c>
      <c r="C10" s="481">
        <v>1</v>
      </c>
      <c r="D10" s="229"/>
      <c r="E10" s="481">
        <v>12</v>
      </c>
      <c r="F10" s="481">
        <v>11</v>
      </c>
      <c r="G10" s="481">
        <v>13</v>
      </c>
      <c r="H10" s="483" t="s">
        <v>530</v>
      </c>
      <c r="I10" s="487" t="s">
        <v>510</v>
      </c>
      <c r="K10" s="489" t="s">
        <v>675</v>
      </c>
    </row>
    <row r="11" spans="1:12" ht="25.5" x14ac:dyDescent="0.2">
      <c r="A11" s="232">
        <v>3</v>
      </c>
      <c r="B11" s="227" t="s">
        <v>667</v>
      </c>
      <c r="C11" s="481">
        <v>4</v>
      </c>
      <c r="D11" s="230">
        <v>13</v>
      </c>
      <c r="E11" s="229"/>
      <c r="F11" s="230">
        <v>10</v>
      </c>
      <c r="G11" s="230">
        <v>13</v>
      </c>
      <c r="H11" s="482" t="s">
        <v>510</v>
      </c>
      <c r="I11" s="487" t="s">
        <v>510</v>
      </c>
      <c r="K11" s="489" t="s">
        <v>674</v>
      </c>
    </row>
    <row r="12" spans="1:12" ht="25.5" x14ac:dyDescent="0.2">
      <c r="A12" s="232">
        <v>4</v>
      </c>
      <c r="B12" s="227" t="s">
        <v>668</v>
      </c>
      <c r="C12" s="481">
        <v>6</v>
      </c>
      <c r="D12" s="481">
        <v>13</v>
      </c>
      <c r="E12" s="230">
        <v>13</v>
      </c>
      <c r="F12" s="229"/>
      <c r="G12" s="230">
        <v>13</v>
      </c>
      <c r="H12" s="483" t="s">
        <v>531</v>
      </c>
      <c r="I12" s="487" t="s">
        <v>510</v>
      </c>
      <c r="K12" s="495" t="s">
        <v>681</v>
      </c>
      <c r="L12" s="493" t="s">
        <v>683</v>
      </c>
    </row>
    <row r="13" spans="1:12" ht="25.5" customHeight="1" x14ac:dyDescent="0.2">
      <c r="A13" s="233">
        <v>5</v>
      </c>
      <c r="B13" s="491" t="s">
        <v>682</v>
      </c>
      <c r="C13" s="230">
        <v>1</v>
      </c>
      <c r="D13" s="230">
        <v>1</v>
      </c>
      <c r="E13" s="230">
        <v>2</v>
      </c>
      <c r="F13" s="230">
        <v>5</v>
      </c>
      <c r="G13" s="229"/>
      <c r="H13" s="482" t="s">
        <v>511</v>
      </c>
      <c r="I13" s="487" t="s">
        <v>511</v>
      </c>
      <c r="K13" s="488" t="s">
        <v>684</v>
      </c>
    </row>
    <row r="14" spans="1:12" x14ac:dyDescent="0.2">
      <c r="B14" s="54"/>
    </row>
    <row r="15" spans="1:12" x14ac:dyDescent="0.2">
      <c r="B15" s="228" t="s">
        <v>514</v>
      </c>
      <c r="C15" s="485" t="s">
        <v>526</v>
      </c>
      <c r="D15" s="485" t="s">
        <v>519</v>
      </c>
      <c r="E15" s="225"/>
    </row>
    <row r="16" spans="1:12" x14ac:dyDescent="0.2">
      <c r="B16" s="228" t="s">
        <v>517</v>
      </c>
      <c r="C16" s="485" t="s">
        <v>527</v>
      </c>
      <c r="D16" s="485" t="s">
        <v>524</v>
      </c>
      <c r="E16" s="225"/>
    </row>
    <row r="17" spans="1:12" x14ac:dyDescent="0.2">
      <c r="B17" s="228" t="s">
        <v>520</v>
      </c>
      <c r="C17" s="485" t="s">
        <v>521</v>
      </c>
      <c r="D17" s="485" t="s">
        <v>522</v>
      </c>
      <c r="E17" s="225"/>
    </row>
    <row r="18" spans="1:12" x14ac:dyDescent="0.2">
      <c r="B18" s="228" t="s">
        <v>523</v>
      </c>
      <c r="C18" s="485" t="s">
        <v>518</v>
      </c>
      <c r="D18" s="485" t="s">
        <v>515</v>
      </c>
      <c r="E18" s="225"/>
    </row>
    <row r="19" spans="1:12" x14ac:dyDescent="0.2">
      <c r="B19" s="228" t="s">
        <v>525</v>
      </c>
      <c r="C19" s="485" t="s">
        <v>532</v>
      </c>
      <c r="D19" s="485" t="s">
        <v>516</v>
      </c>
      <c r="E19" s="225"/>
    </row>
    <row r="20" spans="1:12" x14ac:dyDescent="0.2">
      <c r="B20" s="54"/>
      <c r="C20" s="484"/>
      <c r="D20" s="484"/>
    </row>
    <row r="21" spans="1:12" x14ac:dyDescent="0.2">
      <c r="A21" s="45" t="s">
        <v>166</v>
      </c>
      <c r="B21" s="54"/>
    </row>
    <row r="22" spans="1:12" x14ac:dyDescent="0.2">
      <c r="B22" s="54"/>
    </row>
    <row r="23" spans="1:12" x14ac:dyDescent="0.2">
      <c r="A23" s="52"/>
      <c r="B23" s="227"/>
      <c r="C23" s="223">
        <v>1</v>
      </c>
      <c r="D23" s="223">
        <v>2</v>
      </c>
      <c r="E23" s="223">
        <v>3</v>
      </c>
      <c r="F23" s="224" t="s">
        <v>498</v>
      </c>
    </row>
    <row r="24" spans="1:12" ht="25.5" customHeight="1" x14ac:dyDescent="0.2">
      <c r="A24" s="222">
        <v>1</v>
      </c>
      <c r="B24" s="491" t="s">
        <v>529</v>
      </c>
      <c r="C24" s="229"/>
      <c r="D24" s="230">
        <v>13</v>
      </c>
      <c r="E24" s="230">
        <v>9</v>
      </c>
      <c r="F24" s="231" t="s">
        <v>501</v>
      </c>
    </row>
    <row r="25" spans="1:12" ht="25.5" customHeight="1" x14ac:dyDescent="0.2">
      <c r="A25" s="222">
        <v>2</v>
      </c>
      <c r="B25" s="491" t="s">
        <v>669</v>
      </c>
      <c r="C25" s="230">
        <v>0</v>
      </c>
      <c r="D25" s="229"/>
      <c r="E25" s="230">
        <v>12</v>
      </c>
      <c r="F25" s="231" t="s">
        <v>500</v>
      </c>
    </row>
    <row r="26" spans="1:12" ht="25.5" customHeight="1" x14ac:dyDescent="0.2">
      <c r="A26" s="222">
        <v>3</v>
      </c>
      <c r="B26" s="491" t="s">
        <v>528</v>
      </c>
      <c r="C26" s="230">
        <v>13</v>
      </c>
      <c r="D26" s="230">
        <v>13</v>
      </c>
      <c r="E26" s="229"/>
      <c r="F26" s="231" t="s">
        <v>499</v>
      </c>
    </row>
    <row r="27" spans="1:12" x14ac:dyDescent="0.2">
      <c r="B27" s="54"/>
    </row>
    <row r="28" spans="1:12" x14ac:dyDescent="0.2">
      <c r="B28" s="54"/>
    </row>
    <row r="29" spans="1:12" x14ac:dyDescent="0.2">
      <c r="A29" s="52"/>
      <c r="B29" s="227"/>
      <c r="C29" s="223">
        <v>1</v>
      </c>
      <c r="D29" s="223">
        <v>2</v>
      </c>
      <c r="E29" s="223">
        <v>3</v>
      </c>
      <c r="F29" s="224" t="s">
        <v>498</v>
      </c>
      <c r="H29" s="225" t="s">
        <v>671</v>
      </c>
      <c r="I29" s="225" t="s">
        <v>670</v>
      </c>
      <c r="K29" s="226" t="s">
        <v>27</v>
      </c>
    </row>
    <row r="30" spans="1:12" ht="25.5" customHeight="1" x14ac:dyDescent="0.2">
      <c r="A30" s="222">
        <v>1</v>
      </c>
      <c r="B30" s="536" t="s">
        <v>529</v>
      </c>
      <c r="C30" s="229"/>
      <c r="D30" s="230">
        <v>13</v>
      </c>
      <c r="E30" s="230">
        <v>13</v>
      </c>
      <c r="F30" s="231" t="s">
        <v>499</v>
      </c>
      <c r="H30" s="492" t="s">
        <v>531</v>
      </c>
      <c r="I30" s="492" t="s">
        <v>531</v>
      </c>
      <c r="J30" s="533" t="s">
        <v>494</v>
      </c>
      <c r="K30" s="496" t="s">
        <v>672</v>
      </c>
      <c r="L30" s="531" t="s">
        <v>688</v>
      </c>
    </row>
    <row r="31" spans="1:12" ht="25.5" customHeight="1" x14ac:dyDescent="0.2">
      <c r="A31" s="222">
        <v>2</v>
      </c>
      <c r="B31" s="491" t="s">
        <v>669</v>
      </c>
      <c r="C31" s="230">
        <v>3</v>
      </c>
      <c r="D31" s="229"/>
      <c r="E31" s="230">
        <v>13</v>
      </c>
      <c r="F31" s="231" t="s">
        <v>501</v>
      </c>
      <c r="H31" s="492" t="s">
        <v>530</v>
      </c>
      <c r="I31" s="492" t="s">
        <v>510</v>
      </c>
      <c r="J31" s="533" t="s">
        <v>495</v>
      </c>
      <c r="K31" s="497" t="s">
        <v>675</v>
      </c>
      <c r="L31" s="493"/>
    </row>
    <row r="32" spans="1:12" ht="25.5" customHeight="1" x14ac:dyDescent="0.2">
      <c r="A32" s="222">
        <v>3</v>
      </c>
      <c r="B32" s="491" t="s">
        <v>528</v>
      </c>
      <c r="C32" s="230">
        <v>2</v>
      </c>
      <c r="D32" s="230">
        <v>7</v>
      </c>
      <c r="E32" s="229"/>
      <c r="F32" s="231" t="s">
        <v>500</v>
      </c>
      <c r="H32" s="492" t="s">
        <v>510</v>
      </c>
      <c r="I32" s="492" t="s">
        <v>530</v>
      </c>
      <c r="J32" s="533" t="s">
        <v>496</v>
      </c>
      <c r="K32" s="494" t="s">
        <v>675</v>
      </c>
      <c r="L32" s="493"/>
    </row>
    <row r="33" spans="1:12" x14ac:dyDescent="0.2">
      <c r="B33" s="54"/>
    </row>
    <row r="34" spans="1:12" x14ac:dyDescent="0.2">
      <c r="B34" s="228" t="s">
        <v>514</v>
      </c>
      <c r="C34" s="225" t="s">
        <v>526</v>
      </c>
    </row>
    <row r="35" spans="1:12" x14ac:dyDescent="0.2">
      <c r="B35" s="228" t="s">
        <v>517</v>
      </c>
      <c r="C35" s="225" t="s">
        <v>518</v>
      </c>
    </row>
    <row r="36" spans="1:12" x14ac:dyDescent="0.2">
      <c r="B36" s="228" t="s">
        <v>520</v>
      </c>
      <c r="C36" s="225" t="s">
        <v>532</v>
      </c>
    </row>
    <row r="37" spans="1:12" x14ac:dyDescent="0.2">
      <c r="B37" s="54"/>
    </row>
    <row r="38" spans="1:12" x14ac:dyDescent="0.2">
      <c r="A38" s="35" t="s">
        <v>533</v>
      </c>
      <c r="B38" s="54"/>
    </row>
    <row r="39" spans="1:12" x14ac:dyDescent="0.2">
      <c r="B39" s="54"/>
    </row>
    <row r="40" spans="1:12" x14ac:dyDescent="0.2">
      <c r="A40" s="52"/>
      <c r="B40" s="234"/>
      <c r="C40" s="223">
        <v>1</v>
      </c>
      <c r="D40" s="223">
        <v>2</v>
      </c>
      <c r="E40" s="223">
        <v>3</v>
      </c>
      <c r="F40" s="224" t="s">
        <v>498</v>
      </c>
    </row>
    <row r="41" spans="1:12" ht="25.5" customHeight="1" x14ac:dyDescent="0.2">
      <c r="A41" s="232">
        <v>1</v>
      </c>
      <c r="B41" s="491" t="s">
        <v>676</v>
      </c>
      <c r="C41" s="229"/>
      <c r="D41" s="230">
        <v>13</v>
      </c>
      <c r="E41" s="230">
        <v>13</v>
      </c>
      <c r="F41" s="231" t="s">
        <v>499</v>
      </c>
    </row>
    <row r="42" spans="1:12" ht="25.5" customHeight="1" x14ac:dyDescent="0.2">
      <c r="A42" s="232">
        <v>2</v>
      </c>
      <c r="B42" s="491" t="s">
        <v>677</v>
      </c>
      <c r="C42" s="230">
        <v>2</v>
      </c>
      <c r="D42" s="229"/>
      <c r="E42" s="481">
        <v>9</v>
      </c>
      <c r="F42" s="231" t="s">
        <v>500</v>
      </c>
    </row>
    <row r="43" spans="1:12" ht="25.5" customHeight="1" x14ac:dyDescent="0.2">
      <c r="A43" s="232">
        <v>3</v>
      </c>
      <c r="B43" s="491" t="s">
        <v>678</v>
      </c>
      <c r="C43" s="230">
        <v>3</v>
      </c>
      <c r="D43" s="230">
        <v>13</v>
      </c>
      <c r="E43" s="229"/>
      <c r="F43" s="231" t="s">
        <v>501</v>
      </c>
    </row>
    <row r="44" spans="1:12" x14ac:dyDescent="0.2">
      <c r="B44" s="190"/>
    </row>
    <row r="45" spans="1:12" x14ac:dyDescent="0.2">
      <c r="B45" s="190"/>
    </row>
    <row r="46" spans="1:12" x14ac:dyDescent="0.2">
      <c r="A46" s="52"/>
      <c r="B46" s="234"/>
      <c r="C46" s="223">
        <v>1</v>
      </c>
      <c r="D46" s="223">
        <v>2</v>
      </c>
      <c r="E46" s="223">
        <v>3</v>
      </c>
      <c r="F46" s="224" t="s">
        <v>498</v>
      </c>
      <c r="H46" s="225" t="s">
        <v>671</v>
      </c>
      <c r="I46" s="225" t="s">
        <v>670</v>
      </c>
      <c r="K46" s="226" t="s">
        <v>27</v>
      </c>
    </row>
    <row r="47" spans="1:12" ht="25.5" customHeight="1" x14ac:dyDescent="0.2">
      <c r="A47" s="232">
        <v>1</v>
      </c>
      <c r="B47" s="536" t="s">
        <v>676</v>
      </c>
      <c r="C47" s="229"/>
      <c r="D47" s="230">
        <v>13</v>
      </c>
      <c r="E47" s="230">
        <v>13</v>
      </c>
      <c r="F47" s="231" t="s">
        <v>499</v>
      </c>
      <c r="H47" s="498" t="s">
        <v>513</v>
      </c>
      <c r="I47" s="498" t="s">
        <v>531</v>
      </c>
      <c r="K47" s="496" t="s">
        <v>679</v>
      </c>
      <c r="L47" s="530" t="s">
        <v>688</v>
      </c>
    </row>
    <row r="48" spans="1:12" ht="25.5" customHeight="1" x14ac:dyDescent="0.2">
      <c r="A48" s="232">
        <v>2</v>
      </c>
      <c r="B48" s="491" t="s">
        <v>677</v>
      </c>
      <c r="C48" s="230">
        <v>10</v>
      </c>
      <c r="D48" s="229"/>
      <c r="E48" s="230">
        <v>13</v>
      </c>
      <c r="F48" s="231" t="s">
        <v>501</v>
      </c>
      <c r="H48" s="492" t="s">
        <v>530</v>
      </c>
      <c r="I48" s="498" t="s">
        <v>510</v>
      </c>
      <c r="K48" s="494" t="s">
        <v>675</v>
      </c>
    </row>
    <row r="49" spans="1:11" ht="25.5" customHeight="1" x14ac:dyDescent="0.2">
      <c r="A49" s="232">
        <v>3</v>
      </c>
      <c r="B49" s="491" t="s">
        <v>678</v>
      </c>
      <c r="C49" s="230">
        <v>2</v>
      </c>
      <c r="D49" s="230">
        <v>12</v>
      </c>
      <c r="E49" s="229"/>
      <c r="F49" s="231" t="s">
        <v>500</v>
      </c>
      <c r="H49" s="492" t="s">
        <v>530</v>
      </c>
      <c r="I49" s="498" t="s">
        <v>530</v>
      </c>
      <c r="K49" s="494" t="s">
        <v>673</v>
      </c>
    </row>
    <row r="51" spans="1:11" x14ac:dyDescent="0.2">
      <c r="B51" s="132" t="s">
        <v>514</v>
      </c>
      <c r="C51" s="225" t="s">
        <v>526</v>
      </c>
    </row>
    <row r="52" spans="1:11" x14ac:dyDescent="0.2">
      <c r="B52" s="132" t="s">
        <v>517</v>
      </c>
      <c r="C52" s="225" t="s">
        <v>518</v>
      </c>
    </row>
    <row r="53" spans="1:11" x14ac:dyDescent="0.2">
      <c r="B53" s="132" t="s">
        <v>520</v>
      </c>
      <c r="C53" s="225" t="s">
        <v>532</v>
      </c>
    </row>
  </sheetData>
  <conditionalFormatting sqref="C9:G49">
    <cfRule type="cellIs" dxfId="1101" priority="2"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rowBreaks count="1" manualBreakCount="1">
    <brk id="36"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7"/>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130" customWidth="1"/>
    <col min="2" max="2" width="41.5703125" style="130" bestFit="1" customWidth="1"/>
    <col min="3" max="8" width="6.5703125" style="130" customWidth="1"/>
    <col min="9" max="9" width="6.5703125" style="130" bestFit="1" customWidth="1"/>
    <col min="10" max="16384" width="9.140625" style="130"/>
  </cols>
  <sheetData>
    <row r="1" spans="1:10" x14ac:dyDescent="0.2">
      <c r="A1" s="68" t="str">
        <f>UPPER((Kalend!E16)&amp;" - "&amp;(Kalend!C16)&amp;" - "&amp;(Kalend!D16))</f>
        <v xml:space="preserve"> - EM, MM KATSEVÕISTLUSED - TRIO</v>
      </c>
      <c r="F1" s="46" t="str">
        <f>HYPERLINK("#Üldreiting!I1","Reiting")</f>
        <v>Reiting</v>
      </c>
    </row>
    <row r="2" spans="1:10" x14ac:dyDescent="0.2">
      <c r="A2" s="67" t="str">
        <f>"Toimumisaeg: "&amp;(Kalend!A16)&amp;" kell "&amp;(Kalend!B16)</f>
        <v xml:space="preserve">Toimumisaeg: P, 17.06.2018 kell </v>
      </c>
    </row>
    <row r="3" spans="1:10" x14ac:dyDescent="0.2">
      <c r="A3" s="67" t="str">
        <f>"Toimumiskoht: "&amp;(Kalend!H16)</f>
        <v>Toimumiskoht: Tallinn</v>
      </c>
    </row>
    <row r="4" spans="1:10" x14ac:dyDescent="0.2">
      <c r="A4" s="67" t="str">
        <f>"Korraldaja: "&amp;(Kalend!I16)</f>
        <v>Korraldaja: EPKL</v>
      </c>
    </row>
    <row r="5" spans="1:10" s="74" customFormat="1" x14ac:dyDescent="0.2">
      <c r="H5" s="499" t="s">
        <v>685</v>
      </c>
    </row>
    <row r="6" spans="1:10" s="74" customFormat="1" x14ac:dyDescent="0.2">
      <c r="A6" s="267" t="s">
        <v>165</v>
      </c>
    </row>
    <row r="8" spans="1:10" x14ac:dyDescent="0.2">
      <c r="A8" s="52"/>
      <c r="B8" s="52"/>
      <c r="C8" s="223">
        <v>1</v>
      </c>
      <c r="D8" s="223">
        <v>2</v>
      </c>
      <c r="E8" s="223">
        <v>3</v>
      </c>
      <c r="F8" s="223">
        <v>4</v>
      </c>
      <c r="G8" s="223">
        <v>5</v>
      </c>
      <c r="H8" s="224" t="s">
        <v>498</v>
      </c>
    </row>
    <row r="9" spans="1:10" ht="25.5" x14ac:dyDescent="0.2">
      <c r="A9" s="232"/>
      <c r="B9" s="537" t="s">
        <v>665</v>
      </c>
      <c r="C9" s="482">
        <v>13</v>
      </c>
      <c r="D9" s="481">
        <v>13</v>
      </c>
      <c r="E9" s="481">
        <v>13</v>
      </c>
      <c r="F9" s="481" t="s">
        <v>573</v>
      </c>
      <c r="G9" s="481" t="s">
        <v>573</v>
      </c>
      <c r="H9" s="500" t="s">
        <v>594</v>
      </c>
      <c r="I9" s="532" t="s">
        <v>689</v>
      </c>
      <c r="J9" s="131"/>
    </row>
    <row r="10" spans="1:10" ht="25.5" x14ac:dyDescent="0.2">
      <c r="A10" s="232"/>
      <c r="B10" s="227" t="s">
        <v>668</v>
      </c>
      <c r="C10" s="481">
        <v>4</v>
      </c>
      <c r="D10" s="481">
        <v>4</v>
      </c>
      <c r="E10" s="481">
        <v>9</v>
      </c>
      <c r="F10" s="482" t="s">
        <v>573</v>
      </c>
      <c r="G10" s="481" t="s">
        <v>573</v>
      </c>
      <c r="H10" s="483" t="s">
        <v>595</v>
      </c>
    </row>
    <row r="12" spans="1:10" x14ac:dyDescent="0.2">
      <c r="A12" s="45" t="s">
        <v>166</v>
      </c>
    </row>
    <row r="14" spans="1:10" x14ac:dyDescent="0.2">
      <c r="A14" s="130" t="s">
        <v>692</v>
      </c>
    </row>
    <row r="16" spans="1:10" x14ac:dyDescent="0.2">
      <c r="A16" s="35" t="s">
        <v>533</v>
      </c>
    </row>
    <row r="18" spans="1:1" x14ac:dyDescent="0.2">
      <c r="A18" s="130" t="s">
        <v>693</v>
      </c>
    </row>
    <row r="21" spans="1:1" x14ac:dyDescent="0.2">
      <c r="A21" s="44" t="s">
        <v>694</v>
      </c>
    </row>
    <row r="22" spans="1:1" x14ac:dyDescent="0.2">
      <c r="A22" s="35" t="s">
        <v>261</v>
      </c>
    </row>
    <row r="23" spans="1:1" x14ac:dyDescent="0.2">
      <c r="A23" s="130" t="s">
        <v>262</v>
      </c>
    </row>
    <row r="24" spans="1:1" x14ac:dyDescent="0.2">
      <c r="A24" s="130" t="s">
        <v>690</v>
      </c>
    </row>
    <row r="25" spans="1:1" x14ac:dyDescent="0.2">
      <c r="A25" s="130" t="s">
        <v>691</v>
      </c>
    </row>
    <row r="27" spans="1:1" x14ac:dyDescent="0.2">
      <c r="A27" s="535" t="s">
        <v>695</v>
      </c>
    </row>
  </sheetData>
  <conditionalFormatting sqref="C9:G10 I9">
    <cfRule type="cellIs" dxfId="1100"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R336"/>
  <sheetViews>
    <sheetView showGridLines="0" showRowColHeaders="0" zoomScaleNormal="100" workbookViewId="0">
      <pane ySplit="2" topLeftCell="A3" activePane="bottomLeft" state="frozen"/>
      <selection activeCell="B1" sqref="B1"/>
      <selection pane="bottomLeft" activeCell="K1" sqref="K1"/>
    </sheetView>
  </sheetViews>
  <sheetFormatPr defaultRowHeight="12.75" x14ac:dyDescent="0.2"/>
  <cols>
    <col min="1" max="1" width="3.28515625" style="130" customWidth="1"/>
    <col min="2" max="2" width="18.7109375" style="130" bestFit="1" customWidth="1"/>
    <col min="3" max="4" width="7.42578125" style="130" bestFit="1" customWidth="1"/>
    <col min="5" max="5" width="9.28515625" style="130" bestFit="1" customWidth="1"/>
    <col min="6" max="6" width="6.7109375" style="130" bestFit="1" customWidth="1"/>
    <col min="7" max="7" width="7" style="130" bestFit="1" customWidth="1"/>
    <col min="8" max="8" width="9.140625" style="130"/>
    <col min="9" max="9" width="3.28515625" style="130" customWidth="1"/>
    <col min="10" max="10" width="16.5703125" style="130" bestFit="1" customWidth="1"/>
    <col min="11" max="11" width="8" style="130" bestFit="1" customWidth="1"/>
    <col min="12" max="12" width="9.140625" style="130"/>
    <col min="13" max="13" width="6.7109375" style="130" bestFit="1" customWidth="1"/>
    <col min="14" max="14" width="5.140625" style="130" bestFit="1" customWidth="1"/>
    <col min="15" max="16" width="9.140625" style="130"/>
    <col min="17" max="17" width="9.140625" style="130" hidden="1" customWidth="1"/>
    <col min="18" max="18" width="16.5703125" style="130" hidden="1" customWidth="1"/>
    <col min="19" max="19" width="6" style="130" hidden="1" customWidth="1"/>
    <col min="20" max="16384" width="9.140625" style="130"/>
  </cols>
  <sheetData>
    <row r="1" spans="1:19" x14ac:dyDescent="0.2">
      <c r="A1" s="605" t="str">
        <f>UPPER((Kalend!E23)&amp;" - "&amp;(Kalend!C23)&amp;" - "&amp;(Kalend!D23))</f>
        <v>8M - 28. EESTI MV - ÜKSIK</v>
      </c>
      <c r="E1" s="144" t="s">
        <v>165</v>
      </c>
      <c r="I1" s="46" t="str">
        <f>HYPERLINK("#Üldreiting!I1","Reiting")</f>
        <v>Reiting</v>
      </c>
      <c r="Q1" s="683" t="s">
        <v>774</v>
      </c>
      <c r="R1" s="679"/>
      <c r="S1" s="679"/>
    </row>
    <row r="2" spans="1:19" x14ac:dyDescent="0.2">
      <c r="A2" s="67" t="str">
        <f>"Toimumisaeg: "&amp;(Kalend!A23)&amp;" kell "&amp;(Kalend!B23)</f>
        <v>Toimumisaeg: L, 04.08.2018 kell 10:30</v>
      </c>
    </row>
    <row r="3" spans="1:19" x14ac:dyDescent="0.2">
      <c r="A3" s="67" t="str">
        <f>"Toimumiskoht: "&amp;(Kalend!H23)</f>
        <v>Toimumiskoht: Jõhvi, Neptun</v>
      </c>
      <c r="Q3" s="681" t="s">
        <v>771</v>
      </c>
      <c r="R3" s="69"/>
      <c r="S3" s="69"/>
    </row>
    <row r="4" spans="1:19" x14ac:dyDescent="0.2">
      <c r="A4" s="67" t="str">
        <f>"Korraldaja: "&amp;(Kalend!I23)</f>
        <v>Korraldaja: Kohtla-Järve SHK, Ivar Viljaste</v>
      </c>
      <c r="Q4" s="667" t="s">
        <v>865</v>
      </c>
      <c r="R4" s="625"/>
      <c r="S4" s="625"/>
    </row>
    <row r="5" spans="1:19" x14ac:dyDescent="0.2">
      <c r="Q5" s="667" t="s">
        <v>764</v>
      </c>
      <c r="R5" s="670" t="s">
        <v>765</v>
      </c>
      <c r="S5" s="670"/>
    </row>
    <row r="6" spans="1:19" x14ac:dyDescent="0.2">
      <c r="A6" s="371" t="s">
        <v>563</v>
      </c>
      <c r="B6" s="816"/>
      <c r="C6" s="416" t="s">
        <v>572</v>
      </c>
      <c r="D6" s="371" t="s">
        <v>367</v>
      </c>
      <c r="E6" s="371" t="s">
        <v>368</v>
      </c>
      <c r="F6" s="416" t="s">
        <v>369</v>
      </c>
      <c r="G6" s="416" t="s">
        <v>25</v>
      </c>
      <c r="Q6" s="667" t="s">
        <v>769</v>
      </c>
      <c r="R6" s="625"/>
      <c r="S6" s="625"/>
    </row>
    <row r="7" spans="1:19" x14ac:dyDescent="0.2">
      <c r="A7" s="371">
        <v>1</v>
      </c>
      <c r="B7" s="258" t="s">
        <v>64</v>
      </c>
      <c r="C7" s="817">
        <f>IF(B10="-",13,"")</f>
        <v>13</v>
      </c>
      <c r="D7" s="817">
        <v>13</v>
      </c>
      <c r="E7" s="200"/>
      <c r="F7" s="660"/>
      <c r="G7" s="200" t="str">
        <f>IF(AND(COUNT(F7:F10)=2,F7=MAX(F7:F10),COUNT(C7:F7)=3),A6&amp;"2",IF(AND(COUNT(E7:E10)=2,ISNUMBER(E7),E7=MIN(E7:E10),D7="",F7=""),A6&amp;"4",IF(AND(COUNT(D7:D10)=2,D7=MAX(D7:D10),E7="",F7=""),A6&amp;"1",IF(COUNT(F7:F10)=2,A6&amp;"3",""))))</f>
        <v>A1</v>
      </c>
      <c r="Q7" s="672">
        <f t="shared" ref="Q7:Q31" si="0">SUM(S300:AQ300)</f>
        <v>0</v>
      </c>
      <c r="R7" s="676" t="str">
        <f t="shared" ref="R7:R31" si="1">B300</f>
        <v>Veiko Proos</v>
      </c>
      <c r="S7" s="675">
        <f ca="1">IFERROR(INDEX(Üldreiting!$M:$M,MATCH(R7,Üldreiting!$H:$H,0)),"")</f>
        <v>554.5</v>
      </c>
    </row>
    <row r="8" spans="1:19" x14ac:dyDescent="0.2">
      <c r="A8" s="371">
        <v>2</v>
      </c>
      <c r="B8" s="208" t="s">
        <v>57</v>
      </c>
      <c r="C8" s="818">
        <v>13</v>
      </c>
      <c r="D8" s="817">
        <v>0</v>
      </c>
      <c r="E8" s="200" t="str">
        <f>IF(AND(B10="-",ISNUMBER(C8),C8&lt;C9),13,"")</f>
        <v/>
      </c>
      <c r="F8" s="660">
        <v>13</v>
      </c>
      <c r="G8" s="200" t="str">
        <f>IF(AND(COUNT(F7:F10)=2,F8=MAX(F7:F10),COUNT(C8:F8)=3),A6&amp;"2",IF(AND(COUNT(E7:E10)=2,ISNUMBER(E8),E8=MIN(E7:E10),D8="",F8=""),A6&amp;"4",IF(AND(COUNT(D7:D10)=2,D8=MAX(D7:D10),E8="",F8=""),A6&amp;"1",IF(COUNT(F7:F10)=2,A6&amp;"3",""))))</f>
        <v>A2</v>
      </c>
      <c r="Q8" s="672">
        <f t="shared" si="0"/>
        <v>0</v>
      </c>
      <c r="R8" s="676" t="str">
        <f t="shared" si="1"/>
        <v>Margo Peebo</v>
      </c>
      <c r="S8" s="675">
        <f ca="1">IFERROR(INDEX(Üldreiting!$M:$M,MATCH(R8,Üldreiting!$H:$H,0)),"")</f>
        <v>658</v>
      </c>
    </row>
    <row r="9" spans="1:19" x14ac:dyDescent="0.2">
      <c r="A9" s="371">
        <v>3</v>
      </c>
      <c r="B9" s="208" t="s">
        <v>172</v>
      </c>
      <c r="C9" s="818">
        <v>12</v>
      </c>
      <c r="D9" s="200"/>
      <c r="E9" s="200">
        <f>IF(AND(B10="-",ISNUMBER(C9),C9&lt;C8),13,"")</f>
        <v>13</v>
      </c>
      <c r="F9" s="660">
        <v>12</v>
      </c>
      <c r="G9" s="200" t="str">
        <f>IF(AND(COUNT(F7:F10)=2,F9=MAX(F7:F10),COUNT(C9:F9)=3),A6&amp;"2",IF(AND(COUNT(E7:E10)=2,ISNUMBER(E9),E9=MIN(E7:E10),D9="",F9=""),A6&amp;"4",IF(AND(COUNT(D7:D10)=2,D9=MAX(D7:D10),E9="",F9=""),A6&amp;"1",IF(COUNT(F7:F10)=2,A6&amp;"3",""))))</f>
        <v>A3</v>
      </c>
      <c r="Q9" s="672">
        <f t="shared" si="0"/>
        <v>0</v>
      </c>
      <c r="R9" s="676" t="str">
        <f t="shared" si="1"/>
        <v>Ivar Viljaste</v>
      </c>
      <c r="S9" s="675">
        <f ca="1">IFERROR(INDEX(Üldreiting!$M:$M,MATCH(R9,Üldreiting!$H:$H,0)),"")</f>
        <v>695</v>
      </c>
    </row>
    <row r="10" spans="1:19" x14ac:dyDescent="0.2">
      <c r="A10" s="371">
        <v>4</v>
      </c>
      <c r="B10" s="207" t="s">
        <v>573</v>
      </c>
      <c r="C10" s="817">
        <f>IF(B10="-",0,"")</f>
        <v>0</v>
      </c>
      <c r="D10" s="817"/>
      <c r="E10" s="200">
        <f>IF(B10="-",0,"")</f>
        <v>0</v>
      </c>
      <c r="F10" s="660"/>
      <c r="G10" s="200" t="str">
        <f>IF(AND(COUNT(F7:F10)=2,F10=MAX(F7:F10),COUNT(C10:F10)=3),A6&amp;"2",IF(AND(COUNT(E7:E10)=2,ISNUMBER(E10),E10=MIN(E7:E10),D10="",F10=""),A6&amp;"4",IF(AND(COUNT(D7:D10)=2,D10=MAX(D7:D10),E10="",F10=""),A6&amp;"1",IF(COUNT(F7:F10)=2,A6&amp;"3",""))))</f>
        <v>A4</v>
      </c>
      <c r="Q10" s="672">
        <f t="shared" si="0"/>
        <v>0</v>
      </c>
      <c r="R10" s="676" t="str">
        <f t="shared" si="1"/>
        <v>Aarne Välja</v>
      </c>
      <c r="S10" s="675">
        <f ca="1">IFERROR(INDEX(Üldreiting!$M:$M,MATCH(R10,Üldreiting!$H:$H,0)),"")</f>
        <v>205</v>
      </c>
    </row>
    <row r="11" spans="1:19" x14ac:dyDescent="0.2">
      <c r="A11" s="69"/>
      <c r="B11" s="819"/>
      <c r="C11" s="69"/>
      <c r="D11" s="69"/>
      <c r="E11" s="69"/>
      <c r="F11" s="69"/>
      <c r="G11" s="819" t="s">
        <v>573</v>
      </c>
      <c r="Q11" s="672">
        <f t="shared" si="0"/>
        <v>0</v>
      </c>
      <c r="R11" s="676" t="str">
        <f t="shared" si="1"/>
        <v>Marek Kolk</v>
      </c>
      <c r="S11" s="675">
        <f ca="1">IFERROR(INDEX(Üldreiting!$M:$M,MATCH(R11,Üldreiting!$H:$H,0)),"")</f>
        <v>1081</v>
      </c>
    </row>
    <row r="12" spans="1:19" x14ac:dyDescent="0.2">
      <c r="A12" s="371" t="s">
        <v>853</v>
      </c>
      <c r="B12" s="816"/>
      <c r="C12" s="416" t="s">
        <v>572</v>
      </c>
      <c r="D12" s="371" t="s">
        <v>367</v>
      </c>
      <c r="E12" s="371" t="s">
        <v>368</v>
      </c>
      <c r="F12" s="416" t="s">
        <v>369</v>
      </c>
      <c r="G12" s="416" t="s">
        <v>25</v>
      </c>
      <c r="Q12" s="672">
        <f t="shared" si="0"/>
        <v>0</v>
      </c>
      <c r="R12" s="676" t="str">
        <f t="shared" si="1"/>
        <v>Urmo Auväärt</v>
      </c>
      <c r="S12" s="675">
        <f ca="1">IFERROR(INDEX(Üldreiting!$M:$M,MATCH(R12,Üldreiting!$H:$H,0)),"")</f>
        <v>1136</v>
      </c>
    </row>
    <row r="13" spans="1:19" x14ac:dyDescent="0.2">
      <c r="A13" s="371">
        <v>1</v>
      </c>
      <c r="B13" s="258" t="s">
        <v>146</v>
      </c>
      <c r="C13" s="817">
        <f>IF(B16="-",13,"")</f>
        <v>13</v>
      </c>
      <c r="D13" s="817">
        <v>13</v>
      </c>
      <c r="E13" s="200"/>
      <c r="F13" s="660"/>
      <c r="G13" s="200" t="str">
        <f>IF(AND(COUNT(F13:F16)=2,F13=MAX(F13:F16),COUNT(C13:F13)=3),A12&amp;"2",IF(AND(COUNT(E13:E16)=2,ISNUMBER(E13),E13=MIN(E13:E16),D13="",F13=""),A12&amp;"4",IF(AND(COUNT(D13:D16)=2,D13=MAX(D13:D16),E13="",F13=""),A12&amp;"1",IF(COUNT(F13:F16)=2,A12&amp;"3",""))))</f>
        <v>B1</v>
      </c>
      <c r="Q13" s="672">
        <f t="shared" si="0"/>
        <v>0</v>
      </c>
      <c r="R13" s="676" t="str">
        <f t="shared" si="1"/>
        <v>Kevin Sten Liik</v>
      </c>
      <c r="S13" s="675">
        <f ca="1">IFERROR(INDEX(Üldreiting!$M:$M,MATCH(R13,Üldreiting!$H:$H,0)),"")</f>
        <v>715</v>
      </c>
    </row>
    <row r="14" spans="1:19" x14ac:dyDescent="0.2">
      <c r="A14" s="371">
        <v>2</v>
      </c>
      <c r="B14" s="208" t="s">
        <v>75</v>
      </c>
      <c r="C14" s="818">
        <v>13</v>
      </c>
      <c r="D14" s="817">
        <v>5</v>
      </c>
      <c r="E14" s="200" t="str">
        <f>IF(AND(B16="-",ISNUMBER(C14),C14&lt;C15),13,"")</f>
        <v/>
      </c>
      <c r="F14" s="660">
        <v>13</v>
      </c>
      <c r="G14" s="200" t="str">
        <f>IF(AND(COUNT(F13:F16)=2,F14=MAX(F13:F16),COUNT(C14:F14)=3),A12&amp;"2",IF(AND(COUNT(E13:E16)=2,ISNUMBER(E14),E14=MIN(E13:E16),D14="",F14=""),A12&amp;"4",IF(AND(COUNT(D13:D16)=2,D14=MAX(D13:D16),E14="",F14=""),A12&amp;"1",IF(COUNT(F13:F16)=2,A12&amp;"3",""))))</f>
        <v>B2</v>
      </c>
      <c r="Q14" s="672">
        <f t="shared" si="0"/>
        <v>0</v>
      </c>
      <c r="R14" s="676" t="str">
        <f t="shared" si="1"/>
        <v>Kenneth Muusikus</v>
      </c>
      <c r="S14" s="675">
        <f ca="1">IFERROR(INDEX(Üldreiting!$M:$M,MATCH(R14,Üldreiting!$H:$H,0)),"")</f>
        <v>555</v>
      </c>
    </row>
    <row r="15" spans="1:19" x14ac:dyDescent="0.2">
      <c r="A15" s="371">
        <v>3</v>
      </c>
      <c r="B15" s="208" t="s">
        <v>44</v>
      </c>
      <c r="C15" s="818">
        <v>6</v>
      </c>
      <c r="D15" s="200"/>
      <c r="E15" s="200">
        <f>IF(AND(B16="-",ISNUMBER(C15),C15&lt;C14),13,"")</f>
        <v>13</v>
      </c>
      <c r="F15" s="660">
        <v>10</v>
      </c>
      <c r="G15" s="200" t="str">
        <f>IF(AND(COUNT(F13:F16)=2,F15=MAX(F13:F16),COUNT(C15:F15)=3),A12&amp;"2",IF(AND(COUNT(E13:E16)=2,ISNUMBER(E15),E15=MIN(E13:E16),D15="",F15=""),A12&amp;"4",IF(AND(COUNT(D13:D16)=2,D15=MAX(D13:D16),E15="",F15=""),A12&amp;"1",IF(COUNT(F13:F16)=2,A12&amp;"3",""))))</f>
        <v>B3</v>
      </c>
      <c r="Q15" s="672">
        <f t="shared" si="0"/>
        <v>0</v>
      </c>
      <c r="R15" s="676" t="str">
        <f t="shared" si="1"/>
        <v>Jaan Sepp</v>
      </c>
      <c r="S15" s="675">
        <f ca="1">IFERROR(INDEX(Üldreiting!$M:$M,MATCH(R15,Üldreiting!$H:$H,0)),"")</f>
        <v>386</v>
      </c>
    </row>
    <row r="16" spans="1:19" x14ac:dyDescent="0.2">
      <c r="A16" s="371">
        <v>4</v>
      </c>
      <c r="B16" s="207" t="s">
        <v>573</v>
      </c>
      <c r="C16" s="817">
        <f>IF(B16="-",0,"")</f>
        <v>0</v>
      </c>
      <c r="D16" s="817"/>
      <c r="E16" s="200">
        <f>IF(B16="-",0,"")</f>
        <v>0</v>
      </c>
      <c r="F16" s="660"/>
      <c r="G16" s="200" t="str">
        <f>IF(AND(COUNT(F13:F16)=2,F16=MAX(F13:F16),COUNT(C16:F16)=3),A12&amp;"2",IF(AND(COUNT(E13:E16)=2,ISNUMBER(E16),E16=MIN(E13:E16),D16="",F16=""),A12&amp;"4",IF(AND(COUNT(D13:D16)=2,D16=MAX(D13:D16),E16="",F16=""),A12&amp;"1",IF(COUNT(F13:F16)=2,A12&amp;"3",""))))</f>
        <v>B4</v>
      </c>
      <c r="Q16" s="672">
        <f t="shared" si="0"/>
        <v>0</v>
      </c>
      <c r="R16" s="676" t="str">
        <f t="shared" si="1"/>
        <v>Elmo Lageda</v>
      </c>
      <c r="S16" s="675">
        <f ca="1">IFERROR(INDEX(Üldreiting!$M:$M,MATCH(R16,Üldreiting!$H:$H,0)),"")</f>
        <v>606</v>
      </c>
    </row>
    <row r="17" spans="1:19" x14ac:dyDescent="0.2">
      <c r="A17" s="69"/>
      <c r="B17" s="69"/>
      <c r="C17" s="69"/>
      <c r="D17" s="69"/>
      <c r="E17" s="69"/>
      <c r="F17" s="69"/>
      <c r="G17" s="69"/>
      <c r="Q17" s="672">
        <f t="shared" si="0"/>
        <v>0</v>
      </c>
      <c r="R17" s="676" t="str">
        <f t="shared" si="1"/>
        <v>Janek Kiisk</v>
      </c>
      <c r="S17" s="675">
        <f ca="1">IFERROR(INDEX(Üldreiting!$M:$M,MATCH(R17,Üldreiting!$H:$H,0)),"")</f>
        <v>863.5</v>
      </c>
    </row>
    <row r="18" spans="1:19" x14ac:dyDescent="0.2">
      <c r="A18" s="371" t="s">
        <v>854</v>
      </c>
      <c r="B18" s="816"/>
      <c r="C18" s="416" t="s">
        <v>572</v>
      </c>
      <c r="D18" s="371" t="s">
        <v>367</v>
      </c>
      <c r="E18" s="371" t="s">
        <v>368</v>
      </c>
      <c r="F18" s="416" t="s">
        <v>369</v>
      </c>
      <c r="G18" s="416" t="s">
        <v>25</v>
      </c>
      <c r="Q18" s="672">
        <f t="shared" si="0"/>
        <v>0</v>
      </c>
      <c r="R18" s="676" t="str">
        <f t="shared" si="1"/>
        <v>Aigar Lusbo</v>
      </c>
      <c r="S18" s="675">
        <f ca="1">IFERROR(INDEX(Üldreiting!$M:$M,MATCH(R18,Üldreiting!$H:$H,0)),"")</f>
        <v>250</v>
      </c>
    </row>
    <row r="19" spans="1:19" x14ac:dyDescent="0.2">
      <c r="A19" s="371">
        <v>1</v>
      </c>
      <c r="B19" s="258" t="s">
        <v>152</v>
      </c>
      <c r="C19" s="817">
        <f>IF(B22="-",13,"")</f>
        <v>13</v>
      </c>
      <c r="D19" s="817">
        <v>13</v>
      </c>
      <c r="E19" s="200"/>
      <c r="F19" s="660"/>
      <c r="G19" s="200" t="str">
        <f>IF(AND(COUNT(F19:F22)=2,F19=MAX(F19:F22),COUNT(C19:F19)=3),A18&amp;"2",IF(AND(COUNT(E19:E22)=2,ISNUMBER(E19),E19=MIN(E19:E22),D19="",F19=""),A18&amp;"4",IF(AND(COUNT(D19:D22)=2,D19=MAX(D19:D22),E19="",F19=""),A18&amp;"1",IF(COUNT(F19:F22)=2,A18&amp;"3",""))))</f>
        <v>C1</v>
      </c>
      <c r="Q19" s="672">
        <f t="shared" si="0"/>
        <v>0</v>
      </c>
      <c r="R19" s="676" t="str">
        <f t="shared" si="1"/>
        <v>Ruudi Väärtnõu</v>
      </c>
      <c r="S19" s="675">
        <f ca="1">IFERROR(INDEX(Üldreiting!$M:$M,MATCH(R19,Üldreiting!$H:$H,0)),"")</f>
        <v>972</v>
      </c>
    </row>
    <row r="20" spans="1:19" x14ac:dyDescent="0.2">
      <c r="A20" s="371">
        <v>2</v>
      </c>
      <c r="B20" s="208" t="s">
        <v>534</v>
      </c>
      <c r="C20" s="818">
        <v>9</v>
      </c>
      <c r="D20" s="817"/>
      <c r="E20" s="200">
        <f>IF(AND(B22="-",ISNUMBER(C20),C20&lt;C21),13,"")</f>
        <v>13</v>
      </c>
      <c r="F20" s="660">
        <v>10</v>
      </c>
      <c r="G20" s="200" t="str">
        <f>IF(AND(COUNT(F19:F22)=2,F20=MAX(F19:F22),COUNT(C20:F20)=3),A18&amp;"2",IF(AND(COUNT(E19:E22)=2,ISNUMBER(E20),E20=MIN(E19:E22),D20="",F20=""),A18&amp;"4",IF(AND(COUNT(D19:D22)=2,D20=MAX(D19:D22),E20="",F20=""),A18&amp;"1",IF(COUNT(F19:F22)=2,A18&amp;"3",""))))</f>
        <v>C3</v>
      </c>
      <c r="Q20" s="672">
        <f t="shared" si="0"/>
        <v>0</v>
      </c>
      <c r="R20" s="676" t="str">
        <f t="shared" si="1"/>
        <v>Toomas Hoole</v>
      </c>
      <c r="S20" s="675">
        <f ca="1">IFERROR(INDEX(Üldreiting!$M:$M,MATCH(R20,Üldreiting!$H:$H,0)),"")</f>
        <v>468</v>
      </c>
    </row>
    <row r="21" spans="1:19" x14ac:dyDescent="0.2">
      <c r="A21" s="371">
        <v>3</v>
      </c>
      <c r="B21" s="208" t="s">
        <v>59</v>
      </c>
      <c r="C21" s="818">
        <v>13</v>
      </c>
      <c r="D21" s="200">
        <v>11</v>
      </c>
      <c r="E21" s="200" t="str">
        <f>IF(AND(B22="-",ISNUMBER(C21),C21&lt;C20),13,"")</f>
        <v/>
      </c>
      <c r="F21" s="660">
        <v>13</v>
      </c>
      <c r="G21" s="200" t="str">
        <f>IF(AND(COUNT(F19:F22)=2,F21=MAX(F19:F22),COUNT(C21:F21)=3),A18&amp;"2",IF(AND(COUNT(E19:E22)=2,ISNUMBER(E21),E21=MIN(E19:E22),D21="",F21=""),A18&amp;"4",IF(AND(COUNT(D19:D22)=2,D21=MAX(D19:D22),E21="",F21=""),A18&amp;"1",IF(COUNT(F19:F22)=2,A18&amp;"3",""))))</f>
        <v>C2</v>
      </c>
      <c r="Q21" s="672">
        <f t="shared" si="0"/>
        <v>0</v>
      </c>
      <c r="R21" s="676" t="str">
        <f t="shared" si="1"/>
        <v>Kalle Orro</v>
      </c>
      <c r="S21" s="675">
        <f ca="1">IFERROR(INDEX(Üldreiting!$M:$M,MATCH(R21,Üldreiting!$H:$H,0)),"")</f>
        <v>918.5</v>
      </c>
    </row>
    <row r="22" spans="1:19" x14ac:dyDescent="0.2">
      <c r="A22" s="371">
        <v>4</v>
      </c>
      <c r="B22" s="207" t="s">
        <v>573</v>
      </c>
      <c r="C22" s="817">
        <f>IF(B22="-",0,"")</f>
        <v>0</v>
      </c>
      <c r="D22" s="817"/>
      <c r="E22" s="200">
        <f>IF(B22="-",0,"")</f>
        <v>0</v>
      </c>
      <c r="F22" s="660"/>
      <c r="G22" s="200" t="str">
        <f>IF(AND(COUNT(F19:F22)=2,F22=MAX(F19:F22),COUNT(C22:F22)=3),A18&amp;"2",IF(AND(COUNT(E19:E22)=2,ISNUMBER(E22),E22=MIN(E19:E22),D22="",F22=""),A18&amp;"4",IF(AND(COUNT(D19:D22)=2,D22=MAX(D19:D22),E22="",F22=""),A18&amp;"1",IF(COUNT(F19:F22)=2,A18&amp;"3",""))))</f>
        <v>C4</v>
      </c>
      <c r="Q22" s="672">
        <f t="shared" si="0"/>
        <v>0</v>
      </c>
      <c r="R22" s="676" t="str">
        <f t="shared" si="1"/>
        <v>Silver Kingissepp</v>
      </c>
      <c r="S22" s="675">
        <f ca="1">IFERROR(INDEX(Üldreiting!$M:$M,MATCH(R22,Üldreiting!$H:$H,0)),"")</f>
        <v>826</v>
      </c>
    </row>
    <row r="23" spans="1:19" x14ac:dyDescent="0.2">
      <c r="A23" s="238"/>
      <c r="B23" s="238"/>
      <c r="C23" s="238"/>
      <c r="D23" s="238"/>
      <c r="E23" s="238"/>
      <c r="F23" s="238"/>
      <c r="G23" s="238"/>
      <c r="Q23" s="672">
        <f t="shared" si="0"/>
        <v>0</v>
      </c>
      <c r="R23" s="676" t="str">
        <f t="shared" si="1"/>
        <v>Toomas Reede</v>
      </c>
      <c r="S23" s="675">
        <f ca="1">IFERROR(INDEX(Üldreiting!$M:$M,MATCH(R23,Üldreiting!$H:$H,0)),"")</f>
        <v>287</v>
      </c>
    </row>
    <row r="24" spans="1:19" x14ac:dyDescent="0.2">
      <c r="A24" s="371" t="s">
        <v>855</v>
      </c>
      <c r="B24" s="816"/>
      <c r="C24" s="416" t="s">
        <v>572</v>
      </c>
      <c r="D24" s="371" t="s">
        <v>367</v>
      </c>
      <c r="E24" s="371" t="s">
        <v>368</v>
      </c>
      <c r="F24" s="416" t="s">
        <v>369</v>
      </c>
      <c r="G24" s="416" t="s">
        <v>25</v>
      </c>
      <c r="Q24" s="672">
        <f t="shared" si="0"/>
        <v>0</v>
      </c>
      <c r="R24" s="676" t="str">
        <f t="shared" si="1"/>
        <v>Marek Lehis</v>
      </c>
      <c r="S24" s="675">
        <f ca="1">IFERROR(INDEX(Üldreiting!$M:$M,MATCH(R24,Üldreiting!$H:$H,0)),"")</f>
        <v>332.5</v>
      </c>
    </row>
    <row r="25" spans="1:19" x14ac:dyDescent="0.2">
      <c r="A25" s="371">
        <v>1</v>
      </c>
      <c r="B25" s="258" t="s">
        <v>30</v>
      </c>
      <c r="C25" s="817">
        <v>13</v>
      </c>
      <c r="D25" s="817">
        <v>1</v>
      </c>
      <c r="E25" s="200"/>
      <c r="F25" s="660">
        <v>13</v>
      </c>
      <c r="G25" s="200" t="str">
        <f>IF(AND(COUNT(F25:F28)=2,F25=MAX(F25:F28),COUNT(C25:F25)=3),A24&amp;"2",IF(AND(COUNT(E25:E28)=2,ISNUMBER(E25),E25=MIN(E25:E28),D25="",F25=""),A24&amp;"4",IF(AND(COUNT(D25:D28)=2,D25=MAX(D25:D28),E25="",F25=""),A24&amp;"1",IF(COUNT(F25:F28)=2,A24&amp;"3",""))))</f>
        <v>D2</v>
      </c>
      <c r="Q25" s="672">
        <f t="shared" si="0"/>
        <v>0</v>
      </c>
      <c r="R25" s="676" t="str">
        <f t="shared" si="1"/>
        <v>Alari Keedus</v>
      </c>
      <c r="S25" s="675">
        <f ca="1">IFERROR(INDEX(Üldreiting!$M:$M,MATCH(R25,Üldreiting!$H:$H,0)),"")</f>
        <v>320</v>
      </c>
    </row>
    <row r="26" spans="1:19" x14ac:dyDescent="0.2">
      <c r="A26" s="371">
        <v>2</v>
      </c>
      <c r="B26" s="208" t="s">
        <v>294</v>
      </c>
      <c r="C26" s="818">
        <v>13</v>
      </c>
      <c r="D26" s="817">
        <v>13</v>
      </c>
      <c r="E26" s="200" t="str">
        <f>IF(AND(B28="-",ISNUMBER(C26),C26&lt;C27),13,"")</f>
        <v/>
      </c>
      <c r="F26" s="660"/>
      <c r="G26" s="200" t="str">
        <f>IF(AND(COUNT(F25:F28)=2,F26=MAX(F25:F28),COUNT(C26:F26)=3),A24&amp;"2",IF(AND(COUNT(E25:E28)=2,ISNUMBER(E26),E26=MIN(E25:E28),D26="",F26=""),A24&amp;"4",IF(AND(COUNT(D25:D28)=2,D26=MAX(D25:D28),E26="",F26=""),A24&amp;"1",IF(COUNT(F25:F28)=2,A24&amp;"3",""))))</f>
        <v>D1</v>
      </c>
      <c r="Q26" s="672">
        <f t="shared" si="0"/>
        <v>0</v>
      </c>
      <c r="R26" s="676" t="str">
        <f t="shared" si="1"/>
        <v>Ülo Piik</v>
      </c>
      <c r="S26" s="675">
        <f ca="1">IFERROR(INDEX(Üldreiting!$M:$M,MATCH(R26,Üldreiting!$H:$H,0)),"")</f>
        <v>489</v>
      </c>
    </row>
    <row r="27" spans="1:19" x14ac:dyDescent="0.2">
      <c r="A27" s="371">
        <v>3</v>
      </c>
      <c r="B27" s="208" t="s">
        <v>67</v>
      </c>
      <c r="C27" s="818">
        <v>10</v>
      </c>
      <c r="D27" s="200"/>
      <c r="E27" s="200">
        <v>13</v>
      </c>
      <c r="F27" s="660">
        <v>5</v>
      </c>
      <c r="G27" s="200" t="str">
        <f>IF(AND(COUNT(F25:F28)=2,F27=MAX(F25:F28),COUNT(C27:F27)=3),A24&amp;"2",IF(AND(COUNT(E25:E28)=2,ISNUMBER(E27),E27=MIN(E25:E28),D27="",F27=""),A24&amp;"4",IF(AND(COUNT(D25:D28)=2,D27=MAX(D25:D28),E27="",F27=""),A24&amp;"1",IF(COUNT(F25:F28)=2,A24&amp;"3",""))))</f>
        <v>D3</v>
      </c>
      <c r="Q27" s="672">
        <f t="shared" si="0"/>
        <v>0</v>
      </c>
      <c r="R27" s="676" t="str">
        <f t="shared" si="1"/>
        <v>Jaan Joonas</v>
      </c>
      <c r="S27" s="675">
        <f ca="1">IFERROR(INDEX(Üldreiting!$M:$M,MATCH(R27,Üldreiting!$H:$H,0)),"")</f>
        <v>612</v>
      </c>
    </row>
    <row r="28" spans="1:19" x14ac:dyDescent="0.2">
      <c r="A28" s="371">
        <v>4</v>
      </c>
      <c r="B28" s="207" t="s">
        <v>861</v>
      </c>
      <c r="C28" s="817">
        <v>3</v>
      </c>
      <c r="D28" s="817"/>
      <c r="E28" s="200">
        <v>6</v>
      </c>
      <c r="F28" s="660"/>
      <c r="G28" s="200" t="str">
        <f>IF(AND(COUNT(F25:F28)=2,F28=MAX(F25:F28),COUNT(C28:F28)=3),A24&amp;"2",IF(AND(COUNT(E25:E28)=2,ISNUMBER(E28),E28=MIN(E25:E28),D28="",F28=""),A24&amp;"4",IF(AND(COUNT(D25:D28)=2,D28=MAX(D25:D28),E28="",F28=""),A24&amp;"1",IF(COUNT(F25:F28)=2,A24&amp;"3",""))))</f>
        <v>D4</v>
      </c>
      <c r="Q28" s="672">
        <f t="shared" si="0"/>
        <v>0</v>
      </c>
      <c r="R28" s="676" t="str">
        <f t="shared" si="1"/>
        <v>Oskar Sepp</v>
      </c>
      <c r="S28" s="675">
        <f ca="1">IFERROR(INDEX(Üldreiting!$M:$M,MATCH(R28,Üldreiting!$H:$H,0)),"")</f>
        <v>241</v>
      </c>
    </row>
    <row r="29" spans="1:19" x14ac:dyDescent="0.2">
      <c r="Q29" s="672">
        <f t="shared" si="0"/>
        <v>0</v>
      </c>
      <c r="R29" s="676" t="str">
        <f t="shared" si="1"/>
        <v>Peep Peenema</v>
      </c>
      <c r="S29" s="675">
        <f ca="1">IFERROR(INDEX(Üldreiting!$M:$M,MATCH(R29,Üldreiting!$H:$H,0)),"")</f>
        <v>110</v>
      </c>
    </row>
    <row r="30" spans="1:19" x14ac:dyDescent="0.2">
      <c r="A30" s="371" t="s">
        <v>856</v>
      </c>
      <c r="B30" s="816"/>
      <c r="C30" s="416" t="s">
        <v>572</v>
      </c>
      <c r="D30" s="371" t="s">
        <v>367</v>
      </c>
      <c r="E30" s="371" t="s">
        <v>368</v>
      </c>
      <c r="F30" s="416" t="s">
        <v>369</v>
      </c>
      <c r="G30" s="416" t="s">
        <v>25</v>
      </c>
      <c r="Q30" s="672">
        <f t="shared" si="0"/>
        <v>0</v>
      </c>
      <c r="R30" s="676" t="str">
        <f t="shared" si="1"/>
        <v>Andres Veski</v>
      </c>
      <c r="S30" s="675">
        <f ca="1">IFERROR(INDEX(Üldreiting!$M:$M,MATCH(R30,Üldreiting!$H:$H,0)),"")</f>
        <v>320.5</v>
      </c>
    </row>
    <row r="31" spans="1:19" x14ac:dyDescent="0.2">
      <c r="A31" s="371">
        <v>1</v>
      </c>
      <c r="B31" s="258" t="s">
        <v>179</v>
      </c>
      <c r="C31" s="817">
        <f>IF(B34="-",13,"")</f>
        <v>13</v>
      </c>
      <c r="D31" s="817">
        <v>3</v>
      </c>
      <c r="E31" s="200"/>
      <c r="F31" s="660">
        <v>13</v>
      </c>
      <c r="G31" s="200" t="str">
        <f>IF(AND(COUNT(F31:F34)=2,F31=MAX(F31:F34),COUNT(C31:F31)=3),A30&amp;"2",IF(AND(COUNT(E31:E34)=2,ISNUMBER(E31),E31=MIN(E31:E34),D31="",F31=""),A30&amp;"4",IF(AND(COUNT(D31:D34)=2,D31=MAX(D31:D34),E31="",F31=""),A30&amp;"1",IF(COUNT(F31:F34)=2,A30&amp;"3",""))))</f>
        <v>E2</v>
      </c>
      <c r="Q31" s="672">
        <f t="shared" si="0"/>
        <v>0</v>
      </c>
      <c r="R31" s="676" t="str">
        <f t="shared" si="1"/>
        <v>Oleg Rõndenkov</v>
      </c>
      <c r="S31" s="675">
        <f ca="1">IFERROR(INDEX(Üldreiting!$M:$M,MATCH(R31,Üldreiting!$H:$H,0)),"")</f>
        <v>21</v>
      </c>
    </row>
    <row r="32" spans="1:19" x14ac:dyDescent="0.2">
      <c r="A32" s="371">
        <v>2</v>
      </c>
      <c r="B32" s="208" t="s">
        <v>169</v>
      </c>
      <c r="C32" s="818">
        <v>5</v>
      </c>
      <c r="D32" s="817"/>
      <c r="E32" s="200">
        <f>IF(AND(B34="-",ISNUMBER(C32),C32&lt;C33),13,"")</f>
        <v>13</v>
      </c>
      <c r="F32" s="660">
        <v>4</v>
      </c>
      <c r="G32" s="200" t="str">
        <f>IF(AND(COUNT(F31:F34)=2,F32=MAX(F31:F34),COUNT(C32:F32)=3),A30&amp;"2",IF(AND(COUNT(E31:E34)=2,ISNUMBER(E32),E32=MIN(E31:E34),D32="",F32=""),A30&amp;"4",IF(AND(COUNT(D31:D34)=2,D32=MAX(D31:D34),E32="",F32=""),A30&amp;"1",IF(COUNT(F31:F34)=2,A30&amp;"3",""))))</f>
        <v>E3</v>
      </c>
    </row>
    <row r="33" spans="1:7" x14ac:dyDescent="0.2">
      <c r="A33" s="371">
        <v>3</v>
      </c>
      <c r="B33" s="208" t="s">
        <v>46</v>
      </c>
      <c r="C33" s="818">
        <v>13</v>
      </c>
      <c r="D33" s="200">
        <v>13</v>
      </c>
      <c r="E33" s="200" t="str">
        <f>IF(AND(B34="-",ISNUMBER(C33),C33&lt;C32),13,"")</f>
        <v/>
      </c>
      <c r="F33" s="660"/>
      <c r="G33" s="200" t="str">
        <f>IF(AND(COUNT(F31:F34)=2,F33=MAX(F31:F34),COUNT(C33:F33)=3),A30&amp;"2",IF(AND(COUNT(E31:E34)=2,ISNUMBER(E33),E33=MIN(E31:E34),D33="",F33=""),A30&amp;"4",IF(AND(COUNT(D31:D34)=2,D33=MAX(D31:D34),E33="",F33=""),A30&amp;"1",IF(COUNT(F31:F34)=2,A30&amp;"3",""))))</f>
        <v>E1</v>
      </c>
    </row>
    <row r="34" spans="1:7" x14ac:dyDescent="0.2">
      <c r="A34" s="371">
        <v>4</v>
      </c>
      <c r="B34" s="207" t="s">
        <v>573</v>
      </c>
      <c r="C34" s="817">
        <f>IF(B34="-",0,"")</f>
        <v>0</v>
      </c>
      <c r="D34" s="817"/>
      <c r="E34" s="200">
        <f>IF(B34="-",0,"")</f>
        <v>0</v>
      </c>
      <c r="F34" s="660"/>
      <c r="G34" s="200" t="str">
        <f>IF(AND(COUNT(F31:F34)=2,F34=MAX(F31:F34),COUNT(C34:F34)=3),A30&amp;"2",IF(AND(COUNT(E31:E34)=2,ISNUMBER(E34),E34=MIN(E31:E34),D34="",F34=""),A30&amp;"4",IF(AND(COUNT(D31:D34)=2,D34=MAX(D31:D34),E34="",F34=""),A30&amp;"1",IF(COUNT(F31:F34)=2,A30&amp;"3",""))))</f>
        <v>E4</v>
      </c>
    </row>
    <row r="35" spans="1:7" x14ac:dyDescent="0.2">
      <c r="A35" s="69"/>
      <c r="B35" s="819"/>
      <c r="C35" s="69"/>
      <c r="D35" s="69"/>
      <c r="E35" s="69"/>
      <c r="F35" s="69"/>
      <c r="G35" s="819" t="s">
        <v>573</v>
      </c>
    </row>
    <row r="36" spans="1:7" x14ac:dyDescent="0.2">
      <c r="A36" s="371" t="s">
        <v>857</v>
      </c>
      <c r="B36" s="816"/>
      <c r="C36" s="416" t="s">
        <v>572</v>
      </c>
      <c r="D36" s="371" t="s">
        <v>367</v>
      </c>
      <c r="E36" s="371" t="s">
        <v>368</v>
      </c>
      <c r="F36" s="416" t="s">
        <v>369</v>
      </c>
      <c r="G36" s="416" t="s">
        <v>25</v>
      </c>
    </row>
    <row r="37" spans="1:7" x14ac:dyDescent="0.2">
      <c r="A37" s="371">
        <v>1</v>
      </c>
      <c r="B37" s="258" t="s">
        <v>33</v>
      </c>
      <c r="C37" s="817">
        <f>IF(B40="-",13,"")</f>
        <v>13</v>
      </c>
      <c r="D37" s="817">
        <v>11</v>
      </c>
      <c r="E37" s="200"/>
      <c r="F37" s="660">
        <v>13</v>
      </c>
      <c r="G37" s="200" t="str">
        <f>IF(AND(COUNT(F37:F40)=2,F37=MAX(F37:F40),COUNT(C37:F37)=3),A36&amp;"2",IF(AND(COUNT(E37:E40)=2,ISNUMBER(E37),E37=MIN(E37:E40),D37="",F37=""),A36&amp;"4",IF(AND(COUNT(D37:D40)=2,D37=MAX(D37:D40),E37="",F37=""),A36&amp;"1",IF(COUNT(F37:F40)=2,A36&amp;"3",""))))</f>
        <v>F2</v>
      </c>
    </row>
    <row r="38" spans="1:7" x14ac:dyDescent="0.2">
      <c r="A38" s="371">
        <v>2</v>
      </c>
      <c r="B38" s="208" t="s">
        <v>173</v>
      </c>
      <c r="C38" s="818">
        <v>7</v>
      </c>
      <c r="D38" s="817"/>
      <c r="E38" s="200">
        <f>IF(AND(B40="-",ISNUMBER(C38),C38&lt;C39),13,"")</f>
        <v>13</v>
      </c>
      <c r="F38" s="660">
        <v>7</v>
      </c>
      <c r="G38" s="200" t="str">
        <f>IF(AND(COUNT(F37:F40)=2,F38=MAX(F37:F40),COUNT(C38:F38)=3),A36&amp;"2",IF(AND(COUNT(E37:E40)=2,ISNUMBER(E38),E38=MIN(E37:E40),D38="",F38=""),A36&amp;"4",IF(AND(COUNT(D37:D40)=2,D38=MAX(D37:D40),E38="",F38=""),A36&amp;"1",IF(COUNT(F37:F40)=2,A36&amp;"3",""))))</f>
        <v>F3</v>
      </c>
    </row>
    <row r="39" spans="1:7" x14ac:dyDescent="0.2">
      <c r="A39" s="371">
        <v>3</v>
      </c>
      <c r="B39" s="208" t="s">
        <v>56</v>
      </c>
      <c r="C39" s="818">
        <v>13</v>
      </c>
      <c r="D39" s="200">
        <v>13</v>
      </c>
      <c r="E39" s="200" t="str">
        <f>IF(AND(B40="-",ISNUMBER(C39),C39&lt;C38),13,"")</f>
        <v/>
      </c>
      <c r="F39" s="660"/>
      <c r="G39" s="200" t="str">
        <f>IF(AND(COUNT(F37:F40)=2,F39=MAX(F37:F40),COUNT(C39:F39)=3),A36&amp;"2",IF(AND(COUNT(E37:E40)=2,ISNUMBER(E39),E39=MIN(E37:E40),D39="",F39=""),A36&amp;"4",IF(AND(COUNT(D37:D40)=2,D39=MAX(D37:D40),E39="",F39=""),A36&amp;"1",IF(COUNT(F37:F40)=2,A36&amp;"3",""))))</f>
        <v>F1</v>
      </c>
    </row>
    <row r="40" spans="1:7" x14ac:dyDescent="0.2">
      <c r="A40" s="371">
        <v>4</v>
      </c>
      <c r="B40" s="207" t="s">
        <v>573</v>
      </c>
      <c r="C40" s="817">
        <f>IF(B40="-",0,"")</f>
        <v>0</v>
      </c>
      <c r="D40" s="817"/>
      <c r="E40" s="200">
        <f>IF(B40="-",0,"")</f>
        <v>0</v>
      </c>
      <c r="F40" s="660"/>
      <c r="G40" s="200" t="str">
        <f>IF(AND(COUNT(F37:F40)=2,F40=MAX(F37:F40),COUNT(C40:F40)=3),A36&amp;"2",IF(AND(COUNT(E37:E40)=2,ISNUMBER(E40),E40=MIN(E37:E40),D40="",F40=""),A36&amp;"4",IF(AND(COUNT(D37:D40)=2,D40=MAX(D37:D40),E40="",F40=""),A36&amp;"1",IF(COUNT(F37:F40)=2,A36&amp;"3",""))))</f>
        <v>F4</v>
      </c>
    </row>
    <row r="41" spans="1:7" x14ac:dyDescent="0.2">
      <c r="A41" s="69"/>
      <c r="B41" s="69"/>
      <c r="C41" s="69"/>
      <c r="D41" s="69"/>
      <c r="E41" s="69"/>
      <c r="F41" s="69"/>
      <c r="G41" s="69"/>
    </row>
    <row r="42" spans="1:7" x14ac:dyDescent="0.2">
      <c r="A42" s="371" t="s">
        <v>858</v>
      </c>
      <c r="B42" s="816"/>
      <c r="C42" s="416" t="s">
        <v>572</v>
      </c>
      <c r="D42" s="371" t="s">
        <v>367</v>
      </c>
      <c r="E42" s="371" t="s">
        <v>368</v>
      </c>
      <c r="F42" s="416" t="s">
        <v>369</v>
      </c>
      <c r="G42" s="416" t="s">
        <v>25</v>
      </c>
    </row>
    <row r="43" spans="1:7" x14ac:dyDescent="0.2">
      <c r="A43" s="371">
        <v>1</v>
      </c>
      <c r="B43" s="258" t="s">
        <v>37</v>
      </c>
      <c r="C43" s="817">
        <f>IF(B46="-",13,"")</f>
        <v>13</v>
      </c>
      <c r="D43" s="817">
        <v>13</v>
      </c>
      <c r="E43" s="200"/>
      <c r="F43" s="660"/>
      <c r="G43" s="200" t="str">
        <f>IF(AND(COUNT(F43:F46)=2,F43=MAX(F43:F46),COUNT(C43:F43)=3),A42&amp;"2",IF(AND(COUNT(E43:E46)=2,ISNUMBER(E43),E43=MIN(E43:E46),D43="",F43=""),A42&amp;"4",IF(AND(COUNT(D43:D46)=2,D43=MAX(D43:D46),E43="",F43=""),A42&amp;"1",IF(COUNT(F43:F46)=2,A42&amp;"3",""))))</f>
        <v>G1</v>
      </c>
    </row>
    <row r="44" spans="1:7" x14ac:dyDescent="0.2">
      <c r="A44" s="371">
        <v>2</v>
      </c>
      <c r="B44" s="208" t="s">
        <v>63</v>
      </c>
      <c r="C44" s="818">
        <v>13</v>
      </c>
      <c r="D44" s="817">
        <v>3</v>
      </c>
      <c r="E44" s="200" t="str">
        <f>IF(AND(B46="-",ISNUMBER(C44),C44&lt;C45),13,"")</f>
        <v/>
      </c>
      <c r="F44" s="660">
        <v>11</v>
      </c>
      <c r="G44" s="200" t="str">
        <f>IF(AND(COUNT(F43:F46)=2,F44=MAX(F43:F46),COUNT(C44:F44)=3),A42&amp;"2",IF(AND(COUNT(E43:E46)=2,ISNUMBER(E44),E44=MIN(E43:E46),D44="",F44=""),A42&amp;"4",IF(AND(COUNT(D43:D46)=2,D44=MAX(D43:D46),E44="",F44=""),A42&amp;"1",IF(COUNT(F43:F46)=2,A42&amp;"3",""))))</f>
        <v>G3</v>
      </c>
    </row>
    <row r="45" spans="1:7" x14ac:dyDescent="0.2">
      <c r="A45" s="371">
        <v>3</v>
      </c>
      <c r="B45" s="208" t="s">
        <v>174</v>
      </c>
      <c r="C45" s="818">
        <v>10</v>
      </c>
      <c r="D45" s="200"/>
      <c r="E45" s="200">
        <f>IF(AND(B46="-",ISNUMBER(C45),C45&lt;C44),13,"")</f>
        <v>13</v>
      </c>
      <c r="F45" s="660">
        <v>13</v>
      </c>
      <c r="G45" s="200" t="str">
        <f>IF(AND(COUNT(F43:F46)=2,F45=MAX(F43:F46),COUNT(C45:F45)=3),A42&amp;"2",IF(AND(COUNT(E43:E46)=2,ISNUMBER(E45),E45=MIN(E43:E46),D45="",F45=""),A42&amp;"4",IF(AND(COUNT(D43:D46)=2,D45=MAX(D43:D46),E45="",F45=""),A42&amp;"1",IF(COUNT(F43:F46)=2,A42&amp;"3",""))))</f>
        <v>G2</v>
      </c>
    </row>
    <row r="46" spans="1:7" x14ac:dyDescent="0.2">
      <c r="A46" s="371">
        <v>4</v>
      </c>
      <c r="B46" s="207" t="s">
        <v>573</v>
      </c>
      <c r="C46" s="817">
        <f>IF(B46="-",0,"")</f>
        <v>0</v>
      </c>
      <c r="D46" s="817"/>
      <c r="E46" s="200">
        <f>IF(B46="-",0,"")</f>
        <v>0</v>
      </c>
      <c r="F46" s="660"/>
      <c r="G46" s="200" t="str">
        <f>IF(AND(COUNT(F43:F46)=2,F46=MAX(F43:F46),COUNT(C46:F46)=3),A42&amp;"2",IF(AND(COUNT(E43:E46)=2,ISNUMBER(E46),E46=MIN(E43:E46),D46="",F46=""),A42&amp;"4",IF(AND(COUNT(D43:D46)=2,D46=MAX(D43:D46),E46="",F46=""),A42&amp;"1",IF(COUNT(F43:F46)=2,A42&amp;"3",""))))</f>
        <v>G4</v>
      </c>
    </row>
    <row r="47" spans="1:7" x14ac:dyDescent="0.2">
      <c r="A47" s="238"/>
      <c r="B47" s="238"/>
      <c r="C47" s="238"/>
      <c r="D47" s="238"/>
      <c r="E47" s="238"/>
      <c r="F47" s="238"/>
      <c r="G47" s="238"/>
    </row>
    <row r="48" spans="1:7" x14ac:dyDescent="0.2">
      <c r="A48" s="371" t="s">
        <v>859</v>
      </c>
      <c r="B48" s="816"/>
      <c r="C48" s="416" t="s">
        <v>572</v>
      </c>
      <c r="D48" s="371" t="s">
        <v>367</v>
      </c>
      <c r="E48" s="371" t="s">
        <v>368</v>
      </c>
      <c r="F48" s="416" t="s">
        <v>369</v>
      </c>
      <c r="G48" s="416" t="s">
        <v>25</v>
      </c>
    </row>
    <row r="49" spans="1:7" x14ac:dyDescent="0.2">
      <c r="A49" s="371">
        <v>1</v>
      </c>
      <c r="B49" s="258" t="s">
        <v>633</v>
      </c>
      <c r="C49" s="817">
        <f>IF(B52="-",13,"")</f>
        <v>13</v>
      </c>
      <c r="D49" s="817">
        <v>13</v>
      </c>
      <c r="E49" s="200"/>
      <c r="F49" s="660"/>
      <c r="G49" s="200" t="str">
        <f>IF(AND(COUNT(F49:F52)=2,F49=MAX(F49:F52),COUNT(C49:F49)=3),A48&amp;"2",IF(AND(COUNT(E49:E52)=2,ISNUMBER(E49),E49=MIN(E49:E52),D49="",F49=""),A48&amp;"4",IF(AND(COUNT(D49:D52)=2,D49=MAX(D49:D52),E49="",F49=""),A48&amp;"1",IF(COUNT(F49:F52)=2,A48&amp;"3",""))))</f>
        <v>H1</v>
      </c>
    </row>
    <row r="50" spans="1:7" x14ac:dyDescent="0.2">
      <c r="A50" s="371">
        <v>2</v>
      </c>
      <c r="B50" s="208" t="s">
        <v>787</v>
      </c>
      <c r="C50" s="818">
        <v>13</v>
      </c>
      <c r="D50" s="817">
        <v>7</v>
      </c>
      <c r="E50" s="200" t="str">
        <f>IF(AND(B52="-",ISNUMBER(C50),C50&lt;C51),13,"")</f>
        <v/>
      </c>
      <c r="F50" s="660">
        <v>13</v>
      </c>
      <c r="G50" s="200" t="str">
        <f>IF(AND(COUNT(F49:F52)=2,F50=MAX(F49:F52),COUNT(C50:F50)=3),A48&amp;"2",IF(AND(COUNT(E49:E52)=2,ISNUMBER(E50),E50=MIN(E49:E52),D50="",F50=""),A48&amp;"4",IF(AND(COUNT(D49:D52)=2,D50=MAX(D49:D52),E50="",F50=""),A48&amp;"1",IF(COUNT(F49:F52)=2,A48&amp;"3",""))))</f>
        <v>H2</v>
      </c>
    </row>
    <row r="51" spans="1:7" x14ac:dyDescent="0.2">
      <c r="A51" s="371">
        <v>3</v>
      </c>
      <c r="B51" s="208" t="s">
        <v>1068</v>
      </c>
      <c r="C51" s="818">
        <v>8</v>
      </c>
      <c r="D51" s="200"/>
      <c r="E51" s="200">
        <f>IF(AND(B52="-",ISNUMBER(C51),C51&lt;C50),13,"")</f>
        <v>13</v>
      </c>
      <c r="F51" s="660">
        <v>1</v>
      </c>
      <c r="G51" s="200" t="str">
        <f>IF(AND(COUNT(F49:F52)=2,F51=MAX(F49:F52),COUNT(C51:F51)=3),A48&amp;"2",IF(AND(COUNT(E49:E52)=2,ISNUMBER(E51),E51=MIN(E49:E52),D51="",F51=""),A48&amp;"4",IF(AND(COUNT(D49:D52)=2,D51=MAX(D49:D52),E51="",F51=""),A48&amp;"1",IF(COUNT(F49:F52)=2,A48&amp;"3",""))))</f>
        <v>H3</v>
      </c>
    </row>
    <row r="52" spans="1:7" x14ac:dyDescent="0.2">
      <c r="A52" s="371">
        <v>4</v>
      </c>
      <c r="B52" s="207" t="s">
        <v>573</v>
      </c>
      <c r="C52" s="817">
        <f>IF(B52="-",0,"")</f>
        <v>0</v>
      </c>
      <c r="D52" s="817"/>
      <c r="E52" s="200">
        <f>IF(B52="-",0,"")</f>
        <v>0</v>
      </c>
      <c r="F52" s="660"/>
      <c r="G52" s="200" t="str">
        <f>IF(AND(COUNT(F49:F52)=2,F52=MAX(F49:F52),COUNT(C52:F52)=3),A48&amp;"2",IF(AND(COUNT(E49:E52)=2,ISNUMBER(E52),E52=MIN(E49:E52),D52="",F52=""),A48&amp;"4",IF(AND(COUNT(D49:D52)=2,D52=MAX(D49:D52),E52="",F52=""),A48&amp;"1",IF(COUNT(F49:F52)=2,A48&amp;"3",""))))</f>
        <v>H4</v>
      </c>
    </row>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0" hidden="1" x14ac:dyDescent="0.2"/>
    <row r="98" spans="1:10" hidden="1" x14ac:dyDescent="0.2"/>
    <row r="100" spans="1:10" x14ac:dyDescent="0.2">
      <c r="A100" s="239" t="s">
        <v>370</v>
      </c>
      <c r="B100" s="49"/>
      <c r="C100" s="203"/>
      <c r="D100" s="203"/>
      <c r="E100" s="203"/>
      <c r="F100" s="204"/>
      <c r="G100" s="205"/>
      <c r="H100" s="74"/>
      <c r="I100" s="74"/>
      <c r="J100" s="74"/>
    </row>
    <row r="101" spans="1:10" x14ac:dyDescent="0.2">
      <c r="A101" s="74"/>
      <c r="B101" s="74"/>
      <c r="C101" s="74"/>
      <c r="D101" s="74"/>
      <c r="E101" s="74"/>
      <c r="F101" s="74"/>
      <c r="G101" s="74"/>
      <c r="H101" s="74"/>
      <c r="I101" s="74"/>
      <c r="J101" s="74"/>
    </row>
    <row r="102" spans="1:10" x14ac:dyDescent="0.2">
      <c r="A102" s="240" t="s">
        <v>503</v>
      </c>
      <c r="B102" s="641" t="str">
        <f>IFERROR(INDEX(B$1:B$100,MATCH(A102,G$1:G$100,0)),"")</f>
        <v>Janek Kiisk</v>
      </c>
      <c r="C102" s="241">
        <v>9</v>
      </c>
      <c r="D102" s="74"/>
      <c r="E102" s="74"/>
      <c r="F102" s="74"/>
      <c r="G102" s="74"/>
      <c r="H102" s="74"/>
      <c r="I102" s="74"/>
      <c r="J102" s="74"/>
    </row>
    <row r="103" spans="1:10" x14ac:dyDescent="0.2">
      <c r="A103" s="242"/>
      <c r="B103" s="794"/>
      <c r="C103" s="643" t="str">
        <f>IF(COUNT(C102,C104)=2,IF(C102&gt;C104,B102,B104),"")</f>
        <v>Kenneth Muusikus</v>
      </c>
      <c r="D103" s="74"/>
      <c r="E103" s="241">
        <v>8</v>
      </c>
      <c r="F103" s="74"/>
      <c r="G103" s="74"/>
      <c r="H103" s="74"/>
      <c r="I103" s="74"/>
      <c r="J103" s="74"/>
    </row>
    <row r="104" spans="1:10" x14ac:dyDescent="0.2">
      <c r="A104" s="242" t="s">
        <v>862</v>
      </c>
      <c r="B104" s="644" t="str">
        <f>IFERROR(INDEX(B$1:B$100,MATCH(A104,G$1:G$100,0)),"")</f>
        <v>Kenneth Muusikus</v>
      </c>
      <c r="C104" s="244">
        <v>13</v>
      </c>
      <c r="D104" s="820"/>
      <c r="E104" s="74"/>
      <c r="F104" s="74"/>
      <c r="G104" s="74"/>
      <c r="H104" s="74"/>
      <c r="I104" s="74"/>
      <c r="J104" s="74"/>
    </row>
    <row r="105" spans="1:10" x14ac:dyDescent="0.2">
      <c r="A105" s="242"/>
      <c r="B105" s="645"/>
      <c r="C105" s="74"/>
      <c r="D105" s="245"/>
      <c r="E105" s="643" t="str">
        <f>IF(COUNT(E103,E107)=2,IF(E103&gt;E107,C103,C107),"")</f>
        <v>Aarne Välja</v>
      </c>
      <c r="F105" s="74"/>
      <c r="G105" s="241">
        <v>2</v>
      </c>
      <c r="H105" s="74"/>
      <c r="I105" s="74"/>
      <c r="J105" s="74"/>
    </row>
    <row r="106" spans="1:10" x14ac:dyDescent="0.2">
      <c r="A106" s="242" t="s">
        <v>497</v>
      </c>
      <c r="B106" s="641" t="str">
        <f>IFERROR(INDEX(B$1:B$100,MATCH(A106,G$1:G$100,0)),"")</f>
        <v>Kalle Orro</v>
      </c>
      <c r="C106" s="241">
        <v>6</v>
      </c>
      <c r="D106" s="245"/>
      <c r="E106" s="821"/>
      <c r="F106" s="820"/>
      <c r="G106" s="74"/>
      <c r="H106" s="74"/>
      <c r="I106" s="74"/>
      <c r="J106" s="74"/>
    </row>
    <row r="107" spans="1:10" x14ac:dyDescent="0.2">
      <c r="A107" s="242"/>
      <c r="B107" s="794"/>
      <c r="C107" s="643" t="str">
        <f>IF(COUNT(C106,C108)=2,IF(C106&gt;C108,B106,B108),"")</f>
        <v>Aarne Välja</v>
      </c>
      <c r="D107" s="248"/>
      <c r="E107" s="244">
        <v>13</v>
      </c>
      <c r="F107" s="245"/>
      <c r="G107" s="74"/>
      <c r="H107" s="74"/>
      <c r="I107" s="74"/>
      <c r="J107" s="74"/>
    </row>
    <row r="108" spans="1:10" x14ac:dyDescent="0.2">
      <c r="A108" s="242" t="s">
        <v>504</v>
      </c>
      <c r="B108" s="644" t="str">
        <f>IFERROR(INDEX(B$1:B$100,MATCH(A108,G$1:G$100,0)),"")</f>
        <v>Aarne Välja</v>
      </c>
      <c r="C108" s="244">
        <v>13</v>
      </c>
      <c r="D108" s="74"/>
      <c r="E108" s="49"/>
      <c r="F108" s="245"/>
      <c r="G108" s="74"/>
      <c r="H108" s="74"/>
      <c r="I108" s="74"/>
      <c r="J108" s="74"/>
    </row>
    <row r="109" spans="1:10" x14ac:dyDescent="0.2">
      <c r="A109" s="41"/>
      <c r="B109" s="645"/>
      <c r="C109" s="74"/>
      <c r="D109" s="74"/>
      <c r="E109" s="49"/>
      <c r="F109" s="245"/>
      <c r="G109" s="74" t="str">
        <f>IF(COUNT(G105,G113)=2,IF(G105&gt;G113,E105,E113),"")</f>
        <v>Veiko Proos</v>
      </c>
      <c r="H109" s="74"/>
      <c r="I109" s="241">
        <v>13</v>
      </c>
      <c r="J109" s="74"/>
    </row>
    <row r="110" spans="1:10" x14ac:dyDescent="0.2">
      <c r="A110" s="240" t="s">
        <v>507</v>
      </c>
      <c r="B110" s="641" t="str">
        <f>IFERROR(INDEX(B$1:B$100,MATCH(A110,G$1:G$100,0)),"")</f>
        <v>Veiko Proos</v>
      </c>
      <c r="C110" s="241">
        <v>13</v>
      </c>
      <c r="D110" s="74"/>
      <c r="E110" s="74"/>
      <c r="F110" s="245"/>
      <c r="G110" s="821"/>
      <c r="H110" s="820"/>
      <c r="I110" s="74"/>
      <c r="J110" s="74"/>
    </row>
    <row r="111" spans="1:10" x14ac:dyDescent="0.2">
      <c r="A111" s="242"/>
      <c r="B111" s="794"/>
      <c r="C111" s="643" t="str">
        <f>IF(COUNT(C110,C112)=2,IF(C110&gt;C112,B110,B112),"")</f>
        <v>Veiko Proos</v>
      </c>
      <c r="D111" s="74"/>
      <c r="E111" s="241">
        <v>13</v>
      </c>
      <c r="F111" s="245"/>
      <c r="G111" s="49"/>
      <c r="H111" s="245"/>
      <c r="I111" s="74"/>
      <c r="J111" s="74"/>
    </row>
    <row r="112" spans="1:10" x14ac:dyDescent="0.2">
      <c r="A112" s="242" t="s">
        <v>597</v>
      </c>
      <c r="B112" s="644" t="str">
        <f>IFERROR(INDEX(B$1:B$100,MATCH(A112,G$1:G$100,0)),"")</f>
        <v>Toomas Hoole</v>
      </c>
      <c r="C112" s="244">
        <v>0</v>
      </c>
      <c r="D112" s="820"/>
      <c r="E112" s="74"/>
      <c r="F112" s="245"/>
      <c r="G112" s="49"/>
      <c r="H112" s="245"/>
      <c r="I112" s="74"/>
      <c r="J112" s="74"/>
    </row>
    <row r="113" spans="1:10" x14ac:dyDescent="0.2">
      <c r="A113" s="242"/>
      <c r="B113" s="645"/>
      <c r="C113" s="74"/>
      <c r="D113" s="245"/>
      <c r="E113" s="643" t="str">
        <f>IF(COUNT(E111,E115)=2,IF(E111&gt;E115,C111,C115),"")</f>
        <v>Veiko Proos</v>
      </c>
      <c r="F113" s="248"/>
      <c r="G113" s="244">
        <v>13</v>
      </c>
      <c r="H113" s="245"/>
      <c r="I113" s="74"/>
      <c r="J113" s="74"/>
    </row>
    <row r="114" spans="1:10" x14ac:dyDescent="0.2">
      <c r="A114" s="242" t="s">
        <v>575</v>
      </c>
      <c r="B114" s="641" t="str">
        <f>IFERROR(INDEX(B$1:B$100,MATCH(A114,G$1:G$100,0)),"")</f>
        <v>Jaan Sepp</v>
      </c>
      <c r="C114" s="241">
        <v>7</v>
      </c>
      <c r="D114" s="245"/>
      <c r="E114" s="821"/>
      <c r="F114" s="49"/>
      <c r="G114" s="49"/>
      <c r="H114" s="245"/>
      <c r="I114" s="74"/>
      <c r="J114" s="74"/>
    </row>
    <row r="115" spans="1:10" x14ac:dyDescent="0.2">
      <c r="A115" s="242"/>
      <c r="B115" s="794"/>
      <c r="C115" s="643" t="str">
        <f>IF(COUNT(C114,C116)=2,IF(C114&gt;C116,B114,B116),"")</f>
        <v>Marek Kolk</v>
      </c>
      <c r="D115" s="248"/>
      <c r="E115" s="244">
        <v>7</v>
      </c>
      <c r="F115" s="74"/>
      <c r="G115" s="49"/>
      <c r="H115" s="245"/>
      <c r="I115" s="74"/>
      <c r="J115" s="74"/>
    </row>
    <row r="116" spans="1:10" x14ac:dyDescent="0.2">
      <c r="A116" s="242" t="s">
        <v>574</v>
      </c>
      <c r="B116" s="644" t="str">
        <f>IFERROR(INDEX(B$1:B$100,MATCH(A116,G$1:G$100,0)),"")</f>
        <v>Marek Kolk</v>
      </c>
      <c r="C116" s="244">
        <v>13</v>
      </c>
      <c r="D116" s="74"/>
      <c r="E116" s="49"/>
      <c r="F116" s="49"/>
      <c r="G116" s="49"/>
      <c r="H116" s="245"/>
      <c r="I116" s="74"/>
      <c r="J116" s="74"/>
    </row>
    <row r="117" spans="1:10" ht="13.5" thickBot="1" x14ac:dyDescent="0.25">
      <c r="A117" s="41"/>
      <c r="B117" s="645"/>
      <c r="C117" s="74"/>
      <c r="D117" s="74"/>
      <c r="E117" s="74"/>
      <c r="F117" s="74"/>
      <c r="G117" s="49"/>
      <c r="H117" s="245"/>
      <c r="I117" s="74"/>
      <c r="J117" s="425" t="str">
        <f>IF(COUNT(I109,I125)=2,IF(I109&gt;I125,G109,G125),"")</f>
        <v>Veiko Proos</v>
      </c>
    </row>
    <row r="118" spans="1:10" x14ac:dyDescent="0.2">
      <c r="A118" s="240" t="s">
        <v>505</v>
      </c>
      <c r="B118" s="641" t="str">
        <f>IFERROR(INDEX(B$1:B$100,MATCH(A118,G$1:G$100,0)),"")</f>
        <v>Kevin Sten Liik</v>
      </c>
      <c r="C118" s="241">
        <v>13</v>
      </c>
      <c r="D118" s="74"/>
      <c r="E118" s="74"/>
      <c r="F118" s="74"/>
      <c r="G118" s="49"/>
      <c r="H118" s="245"/>
      <c r="I118" s="249"/>
      <c r="J118" s="250" t="s">
        <v>589</v>
      </c>
    </row>
    <row r="119" spans="1:10" x14ac:dyDescent="0.2">
      <c r="A119" s="242"/>
      <c r="B119" s="794"/>
      <c r="C119" s="643" t="str">
        <f>IF(COUNT(C118,C120)=2,IF(C118&gt;C120,B118,B120),"")</f>
        <v>Kevin Sten Liik</v>
      </c>
      <c r="D119" s="74"/>
      <c r="E119" s="241">
        <v>9</v>
      </c>
      <c r="F119" s="74"/>
      <c r="G119" s="49"/>
      <c r="H119" s="245"/>
      <c r="I119" s="74"/>
      <c r="J119" s="74"/>
    </row>
    <row r="120" spans="1:10" x14ac:dyDescent="0.2">
      <c r="A120" s="242" t="s">
        <v>506</v>
      </c>
      <c r="B120" s="644" t="str">
        <f>IFERROR(INDEX(B$1:B$100,MATCH(A120,G$1:G$100,0)),"")</f>
        <v>Elmo Lageda</v>
      </c>
      <c r="C120" s="244">
        <v>9</v>
      </c>
      <c r="D120" s="820"/>
      <c r="E120" s="74"/>
      <c r="F120" s="74"/>
      <c r="G120" s="49"/>
      <c r="H120" s="245"/>
      <c r="I120" s="74"/>
      <c r="J120" s="74"/>
    </row>
    <row r="121" spans="1:10" x14ac:dyDescent="0.2">
      <c r="A121" s="242"/>
      <c r="B121" s="645"/>
      <c r="C121" s="74"/>
      <c r="D121" s="245"/>
      <c r="E121" s="643" t="str">
        <f>IF(COUNT(E119,E123)=2,IF(E119&gt;E123,C119,C123),"")</f>
        <v>Margo Peebo</v>
      </c>
      <c r="F121" s="74"/>
      <c r="G121" s="247">
        <v>13</v>
      </c>
      <c r="H121" s="245"/>
      <c r="I121" s="74"/>
      <c r="J121" s="74"/>
    </row>
    <row r="122" spans="1:10" x14ac:dyDescent="0.2">
      <c r="A122" s="242" t="s">
        <v>863</v>
      </c>
      <c r="B122" s="641" t="str">
        <f>IFERROR(INDEX(B$1:B$100,MATCH(A122,G$1:G$100,0)),"")</f>
        <v>Ruudi Väärtnõu</v>
      </c>
      <c r="C122" s="241">
        <v>7</v>
      </c>
      <c r="D122" s="245"/>
      <c r="E122" s="821"/>
      <c r="F122" s="820"/>
      <c r="G122" s="49"/>
      <c r="H122" s="245"/>
      <c r="I122" s="74"/>
      <c r="J122" s="74"/>
    </row>
    <row r="123" spans="1:10" x14ac:dyDescent="0.2">
      <c r="A123" s="242"/>
      <c r="B123" s="794"/>
      <c r="C123" s="643" t="str">
        <f>IF(COUNT(C122,C124)=2,IF(C122&gt;C124,B122,B124),"")</f>
        <v>Margo Peebo</v>
      </c>
      <c r="D123" s="248"/>
      <c r="E123" s="244">
        <v>13</v>
      </c>
      <c r="F123" s="245"/>
      <c r="G123" s="49"/>
      <c r="H123" s="245"/>
      <c r="I123" s="74"/>
      <c r="J123" s="74"/>
    </row>
    <row r="124" spans="1:10" x14ac:dyDescent="0.2">
      <c r="A124" s="242" t="s">
        <v>508</v>
      </c>
      <c r="B124" s="644" t="str">
        <f>IFERROR(INDEX(B$1:B$100,MATCH(A124,G$1:G$100,0)),"")</f>
        <v>Margo Peebo</v>
      </c>
      <c r="C124" s="244">
        <v>13</v>
      </c>
      <c r="D124" s="74"/>
      <c r="E124" s="49"/>
      <c r="F124" s="245"/>
      <c r="G124" s="49"/>
      <c r="H124" s="245"/>
      <c r="I124" s="74"/>
      <c r="J124" s="74"/>
    </row>
    <row r="125" spans="1:10" x14ac:dyDescent="0.2">
      <c r="A125" s="41"/>
      <c r="B125" s="645"/>
      <c r="C125" s="74"/>
      <c r="D125" s="74"/>
      <c r="E125" s="49"/>
      <c r="F125" s="245"/>
      <c r="G125" s="243" t="str">
        <f>IF(COUNT(G121,G129)=2,IF(G121&gt;G129,E121,E129),"")</f>
        <v>Margo Peebo</v>
      </c>
      <c r="H125" s="248"/>
      <c r="I125" s="244">
        <v>6</v>
      </c>
      <c r="J125" s="74"/>
    </row>
    <row r="126" spans="1:10" ht="13.5" thickBot="1" x14ac:dyDescent="0.25">
      <c r="A126" s="240" t="s">
        <v>596</v>
      </c>
      <c r="B126" s="641" t="str">
        <f>IFERROR(INDEX(B$1:B$100,MATCH(A126,G$1:G$100,0)),"")</f>
        <v>Ivar Viljaste</v>
      </c>
      <c r="C126" s="241">
        <v>13</v>
      </c>
      <c r="D126" s="74"/>
      <c r="E126" s="74"/>
      <c r="F126" s="245"/>
      <c r="G126" s="246"/>
      <c r="H126" s="74"/>
      <c r="I126" s="74"/>
      <c r="J126" s="425" t="str">
        <f>IF(COUNT(I109,I125)=2,IF(I109&lt;I125,G109,G125),"")</f>
        <v>Margo Peebo</v>
      </c>
    </row>
    <row r="127" spans="1:10" x14ac:dyDescent="0.2">
      <c r="A127" s="242"/>
      <c r="B127" s="794"/>
      <c r="C127" s="643" t="str">
        <f>IF(COUNT(C126,C128)=2,IF(C126&gt;C128,B126,B128),"")</f>
        <v>Ivar Viljaste</v>
      </c>
      <c r="D127" s="74"/>
      <c r="E127" s="241">
        <v>13</v>
      </c>
      <c r="F127" s="245"/>
      <c r="G127" s="49"/>
      <c r="H127" s="74"/>
      <c r="I127" s="74"/>
      <c r="J127" s="250" t="s">
        <v>590</v>
      </c>
    </row>
    <row r="128" spans="1:10" x14ac:dyDescent="0.2">
      <c r="A128" s="242" t="s">
        <v>502</v>
      </c>
      <c r="B128" s="644" t="str">
        <f>IFERROR(INDEX(B$1:B$100,MATCH(A128,G$1:G$100,0)),"")</f>
        <v>Silver Kingissepp</v>
      </c>
      <c r="C128" s="244">
        <v>4</v>
      </c>
      <c r="D128" s="820"/>
      <c r="E128" s="74"/>
      <c r="F128" s="245"/>
      <c r="G128" s="49"/>
      <c r="H128" s="74"/>
      <c r="I128" s="74"/>
      <c r="J128" s="74"/>
    </row>
    <row r="129" spans="1:10" x14ac:dyDescent="0.2">
      <c r="A129" s="242"/>
      <c r="B129" s="645"/>
      <c r="C129" s="74"/>
      <c r="D129" s="245"/>
      <c r="E129" s="643" t="str">
        <f>IF(COUNT(E127,E131)=2,IF(E127&gt;E131,C127,C131),"")</f>
        <v>Ivar Viljaste</v>
      </c>
      <c r="F129" s="248"/>
      <c r="G129" s="244">
        <v>9</v>
      </c>
      <c r="H129" s="74"/>
      <c r="I129" s="74"/>
      <c r="J129" s="74"/>
    </row>
    <row r="130" spans="1:10" x14ac:dyDescent="0.2">
      <c r="A130" s="242" t="s">
        <v>576</v>
      </c>
      <c r="B130" s="641" t="str">
        <f>IFERROR(INDEX(B$1:B$100,MATCH(A130,G$1:G$100,0)),"")</f>
        <v>Aigar Lusbo</v>
      </c>
      <c r="C130" s="241">
        <v>8</v>
      </c>
      <c r="D130" s="245"/>
      <c r="E130" s="821"/>
      <c r="F130" s="49"/>
      <c r="G130" s="49"/>
      <c r="H130" s="74"/>
      <c r="I130" s="74"/>
      <c r="J130" s="74"/>
    </row>
    <row r="131" spans="1:10" x14ac:dyDescent="0.2">
      <c r="A131" s="242"/>
      <c r="B131" s="794"/>
      <c r="C131" s="643" t="str">
        <f>IF(COUNT(C130,C132)=2,IF(C130&gt;C132,B130,B132),"")</f>
        <v>Urmo Auväärt</v>
      </c>
      <c r="D131" s="248"/>
      <c r="E131" s="244">
        <v>7</v>
      </c>
      <c r="F131" s="74"/>
      <c r="G131" s="49" t="str">
        <f>IF(COUNT(G105,G113)=2,IF(G105&lt;G113,E105,E113),"")</f>
        <v>Aarne Välja</v>
      </c>
      <c r="H131" s="74"/>
      <c r="I131" s="241">
        <v>8</v>
      </c>
      <c r="J131" s="74"/>
    </row>
    <row r="132" spans="1:10" ht="13.5" thickBot="1" x14ac:dyDescent="0.25">
      <c r="A132" s="242" t="s">
        <v>577</v>
      </c>
      <c r="B132" s="644" t="str">
        <f>IFERROR(INDEX(B$1:B$100,MATCH(A132,G$1:G$100,0)),"")</f>
        <v>Urmo Auväärt</v>
      </c>
      <c r="C132" s="244">
        <v>13</v>
      </c>
      <c r="D132" s="74"/>
      <c r="E132" s="49"/>
      <c r="F132" s="49"/>
      <c r="G132" s="797"/>
      <c r="H132" s="820"/>
      <c r="I132" s="252"/>
      <c r="J132" s="425" t="str">
        <f>IF(COUNT(I131,I133)=2,IF(I131&gt;I133,G131,G133),"")</f>
        <v>Ivar Viljaste</v>
      </c>
    </row>
    <row r="133" spans="1:10" x14ac:dyDescent="0.2">
      <c r="A133" s="74"/>
      <c r="B133" s="74"/>
      <c r="C133" s="74"/>
      <c r="D133" s="74"/>
      <c r="E133" s="74"/>
      <c r="F133" s="49"/>
      <c r="G133" s="417" t="str">
        <f>IF(COUNT(G121,G129)=2,IF(G121&lt;G129,E121,E129),"")</f>
        <v>Ivar Viljaste</v>
      </c>
      <c r="H133" s="248"/>
      <c r="I133" s="244">
        <v>13</v>
      </c>
      <c r="J133" s="253" t="s">
        <v>591</v>
      </c>
    </row>
    <row r="134" spans="1:10" x14ac:dyDescent="0.2">
      <c r="A134" s="74"/>
      <c r="B134" s="74"/>
      <c r="C134" s="74"/>
      <c r="D134" s="74"/>
      <c r="E134" s="74"/>
      <c r="F134" s="49"/>
      <c r="G134" s="74"/>
      <c r="H134" s="74"/>
      <c r="I134" s="74"/>
      <c r="J134" s="49"/>
    </row>
    <row r="135" spans="1:10" ht="13.5" thickBot="1" x14ac:dyDescent="0.25">
      <c r="A135" s="74"/>
      <c r="B135" s="74"/>
      <c r="C135" s="74"/>
      <c r="D135" s="74"/>
      <c r="E135" s="74"/>
      <c r="F135" s="49"/>
      <c r="G135" s="49"/>
      <c r="H135" s="49"/>
      <c r="I135" s="74"/>
      <c r="J135" s="425" t="str">
        <f>IF(COUNT(I131,I133)=2,IF(I131&lt;I133,G131,G133),"")</f>
        <v>Aarne Välja</v>
      </c>
    </row>
    <row r="136" spans="1:10" x14ac:dyDescent="0.2">
      <c r="A136" s="74"/>
      <c r="B136" s="74"/>
      <c r="C136" s="74"/>
      <c r="D136" s="74"/>
      <c r="E136" s="74"/>
      <c r="F136" s="74"/>
      <c r="G136" s="49"/>
      <c r="H136" s="49"/>
      <c r="I136" s="74"/>
      <c r="J136" s="41" t="s">
        <v>371</v>
      </c>
    </row>
    <row r="137" spans="1:10" x14ac:dyDescent="0.2">
      <c r="A137" s="74"/>
      <c r="B137" s="74"/>
      <c r="C137" s="74"/>
      <c r="D137" s="74"/>
      <c r="E137" s="74"/>
      <c r="F137" s="74"/>
      <c r="G137" s="49"/>
      <c r="H137" s="49"/>
      <c r="I137" s="74"/>
      <c r="J137" s="41"/>
    </row>
    <row r="138" spans="1:10" x14ac:dyDescent="0.2">
      <c r="A138" s="74"/>
      <c r="B138" s="74"/>
      <c r="C138" s="74"/>
      <c r="D138" s="74"/>
      <c r="E138" s="417" t="str">
        <f>IF(COUNT(E103,E107)=2,IF(E103&lt;E107,C103,C107),"")</f>
        <v>Kenneth Muusikus</v>
      </c>
      <c r="F138" s="74"/>
      <c r="G138" s="241">
        <v>4</v>
      </c>
      <c r="H138" s="241"/>
      <c r="I138" s="241"/>
      <c r="J138" s="74"/>
    </row>
    <row r="139" spans="1:10" x14ac:dyDescent="0.2">
      <c r="A139" s="74"/>
      <c r="B139" s="74"/>
      <c r="C139" s="74"/>
      <c r="D139" s="74"/>
      <c r="E139" s="822"/>
      <c r="F139" s="823"/>
      <c r="G139" s="643" t="str">
        <f>IF(COUNT(G138,G140)=2,IF(G138&gt;G140,E138,E140),"")</f>
        <v>Marek Kolk</v>
      </c>
      <c r="H139" s="74"/>
      <c r="I139" s="241">
        <v>13</v>
      </c>
      <c r="J139" s="74"/>
    </row>
    <row r="140" spans="1:10" x14ac:dyDescent="0.2">
      <c r="A140" s="74"/>
      <c r="B140" s="74"/>
      <c r="C140" s="74"/>
      <c r="D140" s="74"/>
      <c r="E140" s="417" t="str">
        <f>IF(COUNT(E111,E115)=2,IF(E111&lt;E115,C111,C115),"")</f>
        <v>Marek Kolk</v>
      </c>
      <c r="F140" s="255"/>
      <c r="G140" s="244">
        <v>13</v>
      </c>
      <c r="H140" s="823"/>
      <c r="I140" s="241"/>
      <c r="J140" s="74"/>
    </row>
    <row r="141" spans="1:10" ht="13.5" thickBot="1" x14ac:dyDescent="0.25">
      <c r="A141" s="74"/>
      <c r="B141" s="74"/>
      <c r="C141" s="74"/>
      <c r="D141" s="74"/>
      <c r="E141" s="241"/>
      <c r="F141" s="241"/>
      <c r="G141" s="247"/>
      <c r="H141" s="256"/>
      <c r="I141" s="241"/>
      <c r="J141" s="425" t="str">
        <f>IF(COUNT(I139,I143)=2,IF(I139&gt;I143,G139,G143),"")</f>
        <v>Marek Kolk</v>
      </c>
    </row>
    <row r="142" spans="1:10" x14ac:dyDescent="0.2">
      <c r="A142" s="74"/>
      <c r="B142" s="74"/>
      <c r="C142" s="74"/>
      <c r="D142" s="74"/>
      <c r="E142" s="417" t="str">
        <f>IF(COUNT(E119,E123)=2,IF(E119&lt;E123,C119,C123),"")</f>
        <v>Kevin Sten Liik</v>
      </c>
      <c r="F142" s="241"/>
      <c r="G142" s="241">
        <v>1</v>
      </c>
      <c r="H142" s="256"/>
      <c r="I142" s="257"/>
      <c r="J142" s="250" t="s">
        <v>372</v>
      </c>
    </row>
    <row r="143" spans="1:10" x14ac:dyDescent="0.2">
      <c r="A143" s="74"/>
      <c r="B143" s="74"/>
      <c r="C143" s="74"/>
      <c r="D143" s="74"/>
      <c r="E143" s="822"/>
      <c r="F143" s="823"/>
      <c r="G143" s="643" t="str">
        <f>IF(COUNT(G142,G144)=2,IF(G142&gt;G144,E142,E144),"")</f>
        <v>Urmo Auväärt</v>
      </c>
      <c r="H143" s="248"/>
      <c r="I143" s="244">
        <v>6</v>
      </c>
      <c r="J143" s="74"/>
    </row>
    <row r="144" spans="1:10" ht="13.5" thickBot="1" x14ac:dyDescent="0.25">
      <c r="A144" s="74"/>
      <c r="B144" s="74"/>
      <c r="C144" s="74"/>
      <c r="D144" s="74"/>
      <c r="E144" s="417" t="str">
        <f>IF(COUNT(E127,E131)=2,IF(E127&lt;E131,C127,C131),"")</f>
        <v>Urmo Auväärt</v>
      </c>
      <c r="F144" s="255"/>
      <c r="G144" s="244">
        <v>13</v>
      </c>
      <c r="H144" s="241"/>
      <c r="I144" s="247"/>
      <c r="J144" s="425" t="str">
        <f>IF(COUNT(I139,I143)=2,IF(I139&lt;I143,G139,G143),"")</f>
        <v>Urmo Auväärt</v>
      </c>
    </row>
    <row r="145" spans="1:10" x14ac:dyDescent="0.2">
      <c r="A145" s="74"/>
      <c r="B145" s="74"/>
      <c r="C145" s="74"/>
      <c r="D145" s="74"/>
      <c r="E145" s="241"/>
      <c r="F145" s="241"/>
      <c r="G145" s="241"/>
      <c r="H145" s="241"/>
      <c r="I145" s="247"/>
      <c r="J145" s="250" t="s">
        <v>373</v>
      </c>
    </row>
    <row r="146" spans="1:10" x14ac:dyDescent="0.2">
      <c r="A146" s="74"/>
      <c r="B146" s="74"/>
      <c r="C146" s="74"/>
      <c r="D146" s="74"/>
      <c r="E146" s="241"/>
      <c r="F146" s="247"/>
      <c r="G146" s="418" t="str">
        <f>IF(COUNT(G138,G140)=2,IF(G138&lt;G140,E138,E140),"")</f>
        <v>Kenneth Muusikus</v>
      </c>
      <c r="H146" s="74"/>
      <c r="I146" s="241">
        <v>12</v>
      </c>
      <c r="J146" s="49"/>
    </row>
    <row r="147" spans="1:10" ht="13.5" thickBot="1" x14ac:dyDescent="0.25">
      <c r="A147" s="74"/>
      <c r="B147" s="74"/>
      <c r="C147" s="74"/>
      <c r="D147" s="74"/>
      <c r="E147" s="241"/>
      <c r="F147" s="247"/>
      <c r="G147" s="797"/>
      <c r="H147" s="820"/>
      <c r="I147" s="252"/>
      <c r="J147" s="425" t="str">
        <f>IF(COUNT(I146,I148)=2,IF(I146&gt;I148,G146,G148),"")</f>
        <v>Kevin Sten Liik</v>
      </c>
    </row>
    <row r="148" spans="1:10" x14ac:dyDescent="0.2">
      <c r="A148" s="74"/>
      <c r="B148" s="74"/>
      <c r="C148" s="74"/>
      <c r="D148" s="74"/>
      <c r="E148" s="241"/>
      <c r="F148" s="247"/>
      <c r="G148" s="417" t="str">
        <f>IF(COUNT(G142,G144)=2,IF(G142&lt;G144,E142,E144),"")</f>
        <v>Kevin Sten Liik</v>
      </c>
      <c r="H148" s="248"/>
      <c r="I148" s="244">
        <v>13</v>
      </c>
      <c r="J148" s="253" t="s">
        <v>374</v>
      </c>
    </row>
    <row r="149" spans="1:10" x14ac:dyDescent="0.2">
      <c r="A149" s="74"/>
      <c r="B149" s="74"/>
      <c r="C149" s="74"/>
      <c r="D149" s="74"/>
      <c r="E149" s="74"/>
      <c r="F149" s="49"/>
      <c r="G149" s="74"/>
      <c r="H149" s="74"/>
      <c r="I149" s="74"/>
      <c r="J149" s="49"/>
    </row>
    <row r="150" spans="1:10" ht="13.5" thickBot="1" x14ac:dyDescent="0.25">
      <c r="A150" s="74"/>
      <c r="B150" s="74"/>
      <c r="C150" s="74"/>
      <c r="D150" s="74"/>
      <c r="E150" s="74"/>
      <c r="F150" s="74"/>
      <c r="G150" s="49"/>
      <c r="H150" s="49"/>
      <c r="I150" s="74"/>
      <c r="J150" s="252" t="str">
        <f>IF(COUNT(I146,I148)=2,IF(I146&lt;I148,G146,G148),"")</f>
        <v>Kenneth Muusikus</v>
      </c>
    </row>
    <row r="151" spans="1:10" x14ac:dyDescent="0.2">
      <c r="A151" s="74"/>
      <c r="B151" s="74"/>
      <c r="C151" s="74"/>
      <c r="D151" s="74"/>
      <c r="E151" s="74"/>
      <c r="F151" s="74"/>
      <c r="G151" s="49"/>
      <c r="H151" s="49"/>
      <c r="I151" s="74"/>
      <c r="J151" s="253" t="s">
        <v>375</v>
      </c>
    </row>
    <row r="153" spans="1:10" x14ac:dyDescent="0.2">
      <c r="A153" s="254" t="s">
        <v>552</v>
      </c>
    </row>
    <row r="155" spans="1:10" x14ac:dyDescent="0.2">
      <c r="C155" s="418" t="str">
        <f>IF(COUNT(C102,C104)=2,IF(C102&lt;C104,B102,B104),"")</f>
        <v>Janek Kiisk</v>
      </c>
      <c r="E155" s="241">
        <v>13</v>
      </c>
      <c r="F155" s="74"/>
      <c r="G155" s="74"/>
      <c r="H155" s="74"/>
      <c r="I155" s="74"/>
      <c r="J155" s="74"/>
    </row>
    <row r="156" spans="1:10" x14ac:dyDescent="0.2">
      <c r="C156" s="797"/>
      <c r="D156" s="824"/>
      <c r="E156" s="643" t="str">
        <f>IF(COUNT(E155,E157)=2,IF(E155&gt;E157,C155,C157),"")</f>
        <v>Janek Kiisk</v>
      </c>
      <c r="F156" s="74"/>
      <c r="G156" s="241">
        <v>4</v>
      </c>
      <c r="H156" s="74"/>
      <c r="I156" s="74"/>
      <c r="J156" s="74"/>
    </row>
    <row r="157" spans="1:10" x14ac:dyDescent="0.2">
      <c r="C157" s="417" t="str">
        <f>IF(COUNT(C106,C108)=2,IF(C106&lt;C108,B106,B108),"")</f>
        <v>Kalle Orro</v>
      </c>
      <c r="D157" s="825"/>
      <c r="E157" s="244">
        <v>8</v>
      </c>
      <c r="F157" s="820"/>
      <c r="G157" s="74"/>
      <c r="H157" s="74"/>
      <c r="I157" s="74"/>
      <c r="J157" s="74"/>
    </row>
    <row r="158" spans="1:10" x14ac:dyDescent="0.2">
      <c r="C158" s="645"/>
      <c r="E158" s="74"/>
      <c r="F158" s="245"/>
      <c r="G158" s="643" t="str">
        <f>IF(COUNT(G156,G160)=2,IF(G156&gt;G160,E156,E160),"")</f>
        <v>Jaan Sepp</v>
      </c>
      <c r="H158" s="74"/>
      <c r="I158" s="241">
        <v>13</v>
      </c>
      <c r="J158" s="74"/>
    </row>
    <row r="159" spans="1:10" x14ac:dyDescent="0.2">
      <c r="C159" s="418" t="str">
        <f>IF(COUNT(C110,C112)=2,IF(C110&lt;C112,B110,B112),"")</f>
        <v>Toomas Hoole</v>
      </c>
      <c r="E159" s="241">
        <v>11</v>
      </c>
      <c r="F159" s="245"/>
      <c r="G159" s="821"/>
      <c r="H159" s="820"/>
      <c r="I159" s="74"/>
      <c r="J159" s="74"/>
    </row>
    <row r="160" spans="1:10" x14ac:dyDescent="0.2">
      <c r="C160" s="797"/>
      <c r="D160" s="824"/>
      <c r="E160" s="643" t="str">
        <f>IF(COUNT(E159,E161)=2,IF(E159&gt;E161,C159,C161),"")</f>
        <v>Jaan Sepp</v>
      </c>
      <c r="F160" s="248"/>
      <c r="G160" s="244">
        <v>13</v>
      </c>
      <c r="H160" s="245"/>
      <c r="I160" s="74"/>
      <c r="J160" s="74"/>
    </row>
    <row r="161" spans="1:18" x14ac:dyDescent="0.2">
      <c r="C161" s="417" t="str">
        <f>IF(COUNT(C114,C116)=2,IF(C114&lt;C116,B114,B116),"")</f>
        <v>Jaan Sepp</v>
      </c>
      <c r="D161" s="825"/>
      <c r="E161" s="244">
        <v>13</v>
      </c>
      <c r="F161" s="74"/>
      <c r="G161" s="49"/>
      <c r="H161" s="245"/>
      <c r="I161" s="74"/>
      <c r="J161" s="74"/>
    </row>
    <row r="162" spans="1:18" ht="13.5" thickBot="1" x14ac:dyDescent="0.25">
      <c r="C162" s="645"/>
      <c r="E162" s="74"/>
      <c r="F162" s="74"/>
      <c r="G162" s="49"/>
      <c r="H162" s="245"/>
      <c r="I162" s="74"/>
      <c r="J162" s="425" t="str">
        <f>IF(COUNT(I158,I166)=2,IF(I158&gt;I166,G158,G166),"")</f>
        <v>Jaan Sepp</v>
      </c>
    </row>
    <row r="163" spans="1:18" x14ac:dyDescent="0.2">
      <c r="C163" s="418" t="str">
        <f>IF(COUNT(C118,C120)=2,IF(C118&lt;C120,B118,B120),"")</f>
        <v>Elmo Lageda</v>
      </c>
      <c r="E163" s="241">
        <v>13</v>
      </c>
      <c r="F163" s="74"/>
      <c r="G163" s="74"/>
      <c r="H163" s="245"/>
      <c r="I163" s="249"/>
      <c r="J163" s="250" t="s">
        <v>376</v>
      </c>
    </row>
    <row r="164" spans="1:18" x14ac:dyDescent="0.2">
      <c r="C164" s="797"/>
      <c r="D164" s="824"/>
      <c r="E164" s="643" t="str">
        <f>IF(COUNT(E163,E165)=2,IF(E163&gt;E165,C163,C165),"")</f>
        <v>Elmo Lageda</v>
      </c>
      <c r="F164" s="74"/>
      <c r="G164" s="241">
        <v>13</v>
      </c>
      <c r="H164" s="245"/>
      <c r="I164" s="49"/>
      <c r="J164" s="74"/>
    </row>
    <row r="165" spans="1:18" x14ac:dyDescent="0.2">
      <c r="C165" s="417" t="str">
        <f>IF(COUNT(C122,C124)=2,IF(C122&lt;C124,B122,B124),"")</f>
        <v>Ruudi Väärtnõu</v>
      </c>
      <c r="D165" s="825"/>
      <c r="E165" s="244">
        <v>3</v>
      </c>
      <c r="F165" s="820"/>
      <c r="G165" s="74"/>
      <c r="H165" s="245"/>
      <c r="I165" s="49"/>
      <c r="J165" s="74"/>
    </row>
    <row r="166" spans="1:18" x14ac:dyDescent="0.2">
      <c r="C166" s="645"/>
      <c r="E166" s="74"/>
      <c r="F166" s="245"/>
      <c r="G166" s="643" t="str">
        <f>IF(COUNT(G164,G168)=2,IF(G164&gt;G168,E164,E168),"")</f>
        <v>Elmo Lageda</v>
      </c>
      <c r="H166" s="248"/>
      <c r="I166" s="244">
        <v>10</v>
      </c>
      <c r="J166" s="74"/>
    </row>
    <row r="167" spans="1:18" ht="13.5" thickBot="1" x14ac:dyDescent="0.25">
      <c r="C167" s="418" t="str">
        <f>IF(COUNT(C126,C128)=2,IF(C126&lt;C128,B126,B128),"")</f>
        <v>Silver Kingissepp</v>
      </c>
      <c r="E167" s="241">
        <v>3</v>
      </c>
      <c r="F167" s="245"/>
      <c r="G167" s="821"/>
      <c r="H167" s="49"/>
      <c r="I167" s="49"/>
      <c r="J167" s="425" t="str">
        <f>IF(COUNT(I158,I166)=2,IF(I158&lt;I166,G158,G166),"")</f>
        <v>Elmo Lageda</v>
      </c>
    </row>
    <row r="168" spans="1:18" x14ac:dyDescent="0.2">
      <c r="C168" s="797"/>
      <c r="D168" s="824"/>
      <c r="E168" s="643" t="str">
        <f>IF(COUNT(E167,E169)=2,IF(E167&gt;E169,C167,C169),"")</f>
        <v>Aigar Lusbo</v>
      </c>
      <c r="F168" s="248"/>
      <c r="G168" s="244">
        <v>0</v>
      </c>
      <c r="H168" s="74"/>
      <c r="I168" s="49"/>
      <c r="J168" s="250" t="s">
        <v>377</v>
      </c>
    </row>
    <row r="169" spans="1:18" x14ac:dyDescent="0.2">
      <c r="C169" s="417" t="str">
        <f>IF(COUNT(C130,C132)=2,IF(C130&lt;C132,B130,B132),"")</f>
        <v>Aigar Lusbo</v>
      </c>
      <c r="D169" s="825"/>
      <c r="E169" s="244">
        <v>13</v>
      </c>
      <c r="F169" s="74"/>
      <c r="G169" s="49"/>
      <c r="H169" s="49"/>
      <c r="I169" s="49"/>
      <c r="J169" s="74"/>
    </row>
    <row r="170" spans="1:18" x14ac:dyDescent="0.2">
      <c r="D170" s="645"/>
      <c r="E170" s="74"/>
      <c r="F170" s="74"/>
      <c r="G170" s="418" t="str">
        <f>IF(COUNT(G156,G160)=2,IF(G156&lt;G160,E156,E160),"")</f>
        <v>Janek Kiisk</v>
      </c>
      <c r="H170" s="74"/>
      <c r="I170" s="241">
        <v>13</v>
      </c>
      <c r="J170" s="74"/>
      <c r="K170" s="74"/>
      <c r="L170" s="74"/>
    </row>
    <row r="171" spans="1:18" ht="13.5" thickBot="1" x14ac:dyDescent="0.25">
      <c r="D171" s="74"/>
      <c r="E171" s="74"/>
      <c r="F171" s="74"/>
      <c r="G171" s="797"/>
      <c r="H171" s="820"/>
      <c r="I171" s="252"/>
      <c r="J171" s="425" t="str">
        <f>IF(COUNT(I170,I172)=2,IF(I170&gt;I172,G170,G172),"")</f>
        <v>Janek Kiisk</v>
      </c>
      <c r="K171" s="74"/>
      <c r="L171" s="74"/>
    </row>
    <row r="172" spans="1:18" s="74" customFormat="1" x14ac:dyDescent="0.2">
      <c r="A172" s="130"/>
      <c r="B172" s="130"/>
      <c r="C172" s="130"/>
      <c r="G172" s="417" t="str">
        <f>IF(COUNT(G164,G168)=2,IF(G164&lt;G168,E164,E168),"")</f>
        <v>Aigar Lusbo</v>
      </c>
      <c r="H172" s="248"/>
      <c r="I172" s="244">
        <v>0</v>
      </c>
      <c r="J172" s="253" t="s">
        <v>378</v>
      </c>
      <c r="M172" s="130"/>
      <c r="N172" s="130"/>
      <c r="O172" s="130"/>
      <c r="P172" s="130"/>
      <c r="Q172" s="130"/>
      <c r="R172" s="130"/>
    </row>
    <row r="173" spans="1:18" s="74" customFormat="1" x14ac:dyDescent="0.2">
      <c r="A173" s="130"/>
      <c r="B173" s="130"/>
      <c r="C173" s="130"/>
      <c r="J173" s="49"/>
      <c r="M173" s="130"/>
      <c r="N173" s="130"/>
      <c r="O173" s="130"/>
      <c r="P173" s="130"/>
      <c r="Q173" s="130"/>
      <c r="R173" s="130"/>
    </row>
    <row r="174" spans="1:18" s="74" customFormat="1" ht="13.5" thickBot="1" x14ac:dyDescent="0.25">
      <c r="A174" s="130"/>
      <c r="B174" s="130"/>
      <c r="C174" s="130"/>
      <c r="G174" s="49"/>
      <c r="H174" s="49"/>
      <c r="J174" s="425" t="str">
        <f>IF(COUNT(I170,I172)=2,IF(I170&lt;I172,G170,G172),"")</f>
        <v>Aigar Lusbo</v>
      </c>
      <c r="M174" s="130"/>
      <c r="N174" s="130"/>
      <c r="O174" s="130"/>
      <c r="P174" s="130"/>
      <c r="Q174" s="130"/>
      <c r="R174" s="130"/>
    </row>
    <row r="175" spans="1:18" s="74" customFormat="1" x14ac:dyDescent="0.2">
      <c r="A175" s="130"/>
      <c r="B175" s="130"/>
      <c r="C175" s="130"/>
      <c r="J175" s="41" t="s">
        <v>539</v>
      </c>
      <c r="M175" s="130"/>
      <c r="N175" s="130"/>
      <c r="O175" s="130"/>
      <c r="P175" s="130"/>
      <c r="Q175" s="130"/>
      <c r="R175" s="130"/>
    </row>
    <row r="176" spans="1:18" s="74" customFormat="1" x14ac:dyDescent="0.2">
      <c r="A176" s="130"/>
      <c r="B176" s="130"/>
      <c r="C176" s="130"/>
      <c r="M176" s="130"/>
      <c r="N176" s="130"/>
      <c r="O176" s="130"/>
      <c r="P176" s="130"/>
      <c r="Q176" s="130"/>
      <c r="R176" s="130"/>
    </row>
    <row r="177" spans="1:18" s="74" customFormat="1" x14ac:dyDescent="0.2">
      <c r="A177" s="130"/>
      <c r="B177" s="130"/>
      <c r="C177" s="130"/>
      <c r="E177" s="417" t="str">
        <f>IF(COUNT(E155,E157)=2,IF(E155&lt;E157,C155,C157),"")</f>
        <v>Kalle Orro</v>
      </c>
      <c r="G177" s="241">
        <v>10</v>
      </c>
      <c r="H177" s="241"/>
      <c r="I177" s="241"/>
      <c r="M177" s="130"/>
      <c r="N177" s="130"/>
      <c r="O177" s="130"/>
      <c r="P177" s="130"/>
      <c r="Q177" s="130"/>
      <c r="R177" s="130"/>
    </row>
    <row r="178" spans="1:18" s="74" customFormat="1" x14ac:dyDescent="0.2">
      <c r="A178" s="130"/>
      <c r="B178" s="130"/>
      <c r="C178" s="130"/>
      <c r="E178" s="822"/>
      <c r="F178" s="823"/>
      <c r="G178" s="643" t="str">
        <f>IF(COUNT(G177,G179)=2,IF(G177&gt;G179,E177,E179),"")</f>
        <v>Toomas Hoole</v>
      </c>
      <c r="I178" s="241">
        <v>3</v>
      </c>
      <c r="M178" s="130"/>
      <c r="N178" s="130"/>
      <c r="O178" s="130"/>
      <c r="P178" s="130"/>
      <c r="Q178" s="130"/>
      <c r="R178" s="130"/>
    </row>
    <row r="179" spans="1:18" s="74" customFormat="1" x14ac:dyDescent="0.2">
      <c r="A179" s="130"/>
      <c r="B179" s="130"/>
      <c r="C179" s="130"/>
      <c r="E179" s="417" t="str">
        <f>IF(COUNT(E159,E161)=2,IF(E159&lt;E161,C159,C161),"")</f>
        <v>Toomas Hoole</v>
      </c>
      <c r="F179" s="255"/>
      <c r="G179" s="244">
        <v>13</v>
      </c>
      <c r="H179" s="823"/>
      <c r="I179" s="241"/>
      <c r="M179" s="130"/>
      <c r="N179" s="130"/>
      <c r="O179" s="130"/>
      <c r="P179" s="130"/>
      <c r="Q179" s="130"/>
      <c r="R179" s="130"/>
    </row>
    <row r="180" spans="1:18" s="74" customFormat="1" ht="13.5" thickBot="1" x14ac:dyDescent="0.25">
      <c r="A180" s="130"/>
      <c r="B180" s="130"/>
      <c r="C180" s="130"/>
      <c r="E180" s="241"/>
      <c r="F180" s="241"/>
      <c r="G180" s="247"/>
      <c r="H180" s="256"/>
      <c r="I180" s="241"/>
      <c r="J180" s="425" t="str">
        <f>IF(COUNT(I178,I182)=2,IF(I178&gt;I182,G178,G182),"")</f>
        <v>Ruudi Väärtnõu</v>
      </c>
      <c r="M180" s="130"/>
      <c r="N180" s="130"/>
      <c r="O180" s="130"/>
      <c r="P180" s="130"/>
      <c r="Q180" s="130"/>
      <c r="R180" s="130"/>
    </row>
    <row r="181" spans="1:18" s="74" customFormat="1" x14ac:dyDescent="0.2">
      <c r="A181" s="130"/>
      <c r="B181" s="130"/>
      <c r="C181" s="130"/>
      <c r="E181" s="417" t="str">
        <f>IF(COUNT(E163,E165)=2,IF(E163&lt;E165,C163,C165),"")</f>
        <v>Ruudi Väärtnõu</v>
      </c>
      <c r="F181" s="241"/>
      <c r="G181" s="241">
        <v>13</v>
      </c>
      <c r="H181" s="256"/>
      <c r="I181" s="257"/>
      <c r="J181" s="250" t="s">
        <v>540</v>
      </c>
      <c r="M181" s="130"/>
      <c r="N181" s="130"/>
      <c r="O181" s="130"/>
      <c r="P181" s="130"/>
      <c r="Q181" s="130"/>
      <c r="R181" s="130"/>
    </row>
    <row r="182" spans="1:18" s="74" customFormat="1" x14ac:dyDescent="0.2">
      <c r="A182" s="130"/>
      <c r="B182" s="130"/>
      <c r="C182" s="130"/>
      <c r="E182" s="822"/>
      <c r="F182" s="823"/>
      <c r="G182" s="643" t="str">
        <f>IF(COUNT(G181,G183)=2,IF(G181&gt;G183,E181,E183),"")</f>
        <v>Ruudi Väärtnõu</v>
      </c>
      <c r="H182" s="248"/>
      <c r="I182" s="244">
        <v>13</v>
      </c>
      <c r="M182" s="130"/>
      <c r="N182" s="130"/>
      <c r="O182" s="130"/>
      <c r="P182" s="130"/>
      <c r="Q182" s="130"/>
      <c r="R182" s="130"/>
    </row>
    <row r="183" spans="1:18" s="74" customFormat="1" ht="13.5" thickBot="1" x14ac:dyDescent="0.25">
      <c r="A183" s="130"/>
      <c r="B183" s="130"/>
      <c r="C183" s="130"/>
      <c r="E183" s="417" t="str">
        <f>IF(COUNT(E167,E169)=2,IF(E167&lt;E169,C167,C169),"")</f>
        <v>Silver Kingissepp</v>
      </c>
      <c r="F183" s="255"/>
      <c r="G183" s="244">
        <v>7</v>
      </c>
      <c r="H183" s="241"/>
      <c r="I183" s="247"/>
      <c r="J183" s="425" t="str">
        <f>IF(COUNT(I178,I182)=2,IF(I178&lt;I182,G178,G182),"")</f>
        <v>Toomas Hoole</v>
      </c>
      <c r="M183" s="130"/>
      <c r="N183" s="130"/>
      <c r="O183" s="130"/>
      <c r="P183" s="130"/>
      <c r="Q183" s="130"/>
      <c r="R183" s="130"/>
    </row>
    <row r="184" spans="1:18" s="74" customFormat="1" x14ac:dyDescent="0.2">
      <c r="A184" s="130"/>
      <c r="B184" s="130"/>
      <c r="C184" s="130"/>
      <c r="E184" s="241"/>
      <c r="F184" s="241"/>
      <c r="G184" s="241"/>
      <c r="H184" s="241"/>
      <c r="I184" s="247"/>
      <c r="J184" s="250" t="s">
        <v>541</v>
      </c>
      <c r="M184" s="130"/>
      <c r="N184" s="130"/>
      <c r="O184" s="130"/>
      <c r="P184" s="130"/>
      <c r="Q184" s="130"/>
      <c r="R184" s="130"/>
    </row>
    <row r="185" spans="1:18" s="74" customFormat="1" x14ac:dyDescent="0.2">
      <c r="A185" s="130"/>
      <c r="B185" s="130"/>
      <c r="C185" s="130"/>
      <c r="E185" s="241"/>
      <c r="F185" s="247"/>
      <c r="G185" s="418" t="str">
        <f>IF(COUNT(G177,G179)=2,IF(G177&lt;G179,E177,E179),"")</f>
        <v>Kalle Orro</v>
      </c>
      <c r="I185" s="241">
        <v>13</v>
      </c>
      <c r="J185" s="49"/>
      <c r="M185" s="130"/>
      <c r="N185" s="130"/>
      <c r="O185" s="130"/>
      <c r="P185" s="130"/>
      <c r="Q185" s="130"/>
      <c r="R185" s="130"/>
    </row>
    <row r="186" spans="1:18" s="74" customFormat="1" ht="13.5" thickBot="1" x14ac:dyDescent="0.25">
      <c r="A186" s="130"/>
      <c r="B186" s="130"/>
      <c r="C186" s="130"/>
      <c r="E186" s="241"/>
      <c r="F186" s="247"/>
      <c r="G186" s="797"/>
      <c r="H186" s="820"/>
      <c r="I186" s="252"/>
      <c r="J186" s="425" t="str">
        <f>IF(COUNT(I185,I187)=2,IF(I185&gt;I187,G185,G187),"")</f>
        <v>Kalle Orro</v>
      </c>
      <c r="M186" s="130"/>
      <c r="N186" s="130"/>
      <c r="O186" s="130"/>
      <c r="P186" s="130"/>
      <c r="Q186" s="130"/>
      <c r="R186" s="130"/>
    </row>
    <row r="187" spans="1:18" s="74" customFormat="1" x14ac:dyDescent="0.2">
      <c r="A187" s="130"/>
      <c r="B187" s="130"/>
      <c r="C187" s="130"/>
      <c r="E187" s="241"/>
      <c r="F187" s="247"/>
      <c r="G187" s="417" t="str">
        <f>IF(COUNT(G181,G183)=2,IF(G181&lt;G183,E181,E183),"")</f>
        <v>Silver Kingissepp</v>
      </c>
      <c r="H187" s="248"/>
      <c r="I187" s="244">
        <v>6</v>
      </c>
      <c r="J187" s="253" t="s">
        <v>542</v>
      </c>
      <c r="M187" s="130"/>
      <c r="N187" s="130"/>
      <c r="O187" s="130"/>
      <c r="P187" s="130"/>
      <c r="Q187" s="130"/>
      <c r="R187" s="130"/>
    </row>
    <row r="188" spans="1:18" s="74" customFormat="1" x14ac:dyDescent="0.2">
      <c r="A188" s="130"/>
      <c r="B188" s="130"/>
      <c r="C188" s="130"/>
      <c r="F188" s="49"/>
      <c r="J188" s="49"/>
      <c r="M188" s="130"/>
      <c r="N188" s="130"/>
      <c r="O188" s="130"/>
      <c r="P188" s="130"/>
      <c r="Q188" s="130"/>
      <c r="R188" s="130"/>
    </row>
    <row r="189" spans="1:18" s="74" customFormat="1" ht="13.5" thickBot="1" x14ac:dyDescent="0.25">
      <c r="A189" s="130"/>
      <c r="B189" s="130"/>
      <c r="C189" s="130"/>
      <c r="G189" s="49"/>
      <c r="H189" s="49"/>
      <c r="J189" s="252" t="str">
        <f>IF(COUNT(I185,I187)=2,IF(I185&lt;I187,G185,G187),"")</f>
        <v>Silver Kingissepp</v>
      </c>
      <c r="M189" s="130"/>
      <c r="N189" s="130"/>
      <c r="O189" s="130"/>
      <c r="P189" s="130"/>
      <c r="Q189" s="130"/>
      <c r="R189" s="130"/>
    </row>
    <row r="190" spans="1:18" s="74" customFormat="1" x14ac:dyDescent="0.2">
      <c r="A190" s="130"/>
      <c r="B190" s="130"/>
      <c r="C190" s="130"/>
      <c r="G190" s="49"/>
      <c r="H190" s="49"/>
      <c r="J190" s="253" t="s">
        <v>543</v>
      </c>
      <c r="M190" s="130"/>
      <c r="N190" s="130"/>
      <c r="O190" s="130"/>
      <c r="P190" s="130"/>
      <c r="Q190" s="130"/>
      <c r="R190" s="130"/>
    </row>
    <row r="191" spans="1:18" s="74" customFormat="1" x14ac:dyDescent="0.2">
      <c r="A191" s="130"/>
      <c r="B191" s="130"/>
      <c r="C191" s="130"/>
      <c r="D191" s="130"/>
      <c r="E191" s="130"/>
      <c r="F191" s="130"/>
      <c r="G191" s="130"/>
      <c r="H191" s="130"/>
      <c r="I191" s="130"/>
      <c r="J191" s="130"/>
      <c r="M191" s="130"/>
      <c r="N191" s="130"/>
      <c r="O191" s="130"/>
      <c r="P191" s="130"/>
      <c r="Q191" s="130"/>
      <c r="R191" s="130"/>
    </row>
    <row r="192" spans="1:18" s="74" customFormat="1" x14ac:dyDescent="0.2">
      <c r="A192" s="254" t="s">
        <v>613</v>
      </c>
      <c r="B192" s="130"/>
      <c r="C192" s="130"/>
      <c r="D192" s="130"/>
      <c r="E192" s="130"/>
      <c r="F192" s="130"/>
      <c r="G192" s="130"/>
      <c r="H192" s="130"/>
      <c r="I192" s="130"/>
      <c r="J192" s="130"/>
      <c r="M192" s="130"/>
      <c r="N192" s="130"/>
      <c r="O192" s="130"/>
      <c r="P192" s="130"/>
      <c r="Q192" s="130"/>
      <c r="R192" s="130"/>
    </row>
    <row r="193" spans="1:18" s="74" customFormat="1" x14ac:dyDescent="0.2">
      <c r="A193" s="130"/>
      <c r="B193" s="130"/>
      <c r="C193" s="130"/>
      <c r="D193" s="130"/>
      <c r="E193" s="130"/>
      <c r="F193" s="130"/>
      <c r="G193" s="130"/>
      <c r="H193" s="130"/>
      <c r="I193" s="130"/>
      <c r="J193" s="130"/>
      <c r="M193" s="130"/>
      <c r="N193" s="130"/>
      <c r="O193" s="130"/>
      <c r="P193" s="130"/>
      <c r="Q193" s="130"/>
      <c r="R193" s="130"/>
    </row>
    <row r="194" spans="1:18" s="74" customFormat="1" x14ac:dyDescent="0.2">
      <c r="A194" s="130"/>
      <c r="B194" s="826" t="s">
        <v>580</v>
      </c>
      <c r="C194" s="641" t="str">
        <f>IFERROR(INDEX(B$1:B$100,MATCH(B194,G$1:G$100,0)),"")</f>
        <v>Oskar Sepp</v>
      </c>
      <c r="D194" s="130"/>
      <c r="E194" s="241">
        <v>6</v>
      </c>
      <c r="K194" s="130"/>
      <c r="L194" s="130"/>
      <c r="M194" s="130"/>
      <c r="N194" s="130"/>
      <c r="O194" s="130"/>
      <c r="P194" s="130"/>
      <c r="Q194" s="130"/>
      <c r="R194" s="130"/>
    </row>
    <row r="195" spans="1:18" s="74" customFormat="1" x14ac:dyDescent="0.2">
      <c r="A195" s="130"/>
      <c r="B195" s="826"/>
      <c r="C195" s="794"/>
      <c r="D195" s="824"/>
      <c r="E195" s="643" t="str">
        <f>IF(COUNT(E194,E196)=2,IF(E194&gt;E196,C194,C196),"")</f>
        <v>Ülo Piik</v>
      </c>
      <c r="G195" s="241">
        <v>8</v>
      </c>
      <c r="K195" s="130"/>
      <c r="L195" s="130"/>
      <c r="M195" s="130"/>
      <c r="N195" s="130"/>
      <c r="O195" s="130"/>
      <c r="P195" s="130"/>
      <c r="Q195" s="130"/>
      <c r="R195" s="130"/>
    </row>
    <row r="196" spans="1:18" x14ac:dyDescent="0.2">
      <c r="B196" s="826" t="s">
        <v>598</v>
      </c>
      <c r="C196" s="650" t="str">
        <f>IFERROR(INDEX(B$1:B$100,MATCH(B196,G$1:G$100,0)),"")</f>
        <v>Ülo Piik</v>
      </c>
      <c r="D196" s="825"/>
      <c r="E196" s="244">
        <v>13</v>
      </c>
      <c r="F196" s="820"/>
      <c r="G196" s="74"/>
      <c r="H196" s="74"/>
      <c r="I196" s="74"/>
      <c r="J196" s="74"/>
    </row>
    <row r="197" spans="1:18" x14ac:dyDescent="0.2">
      <c r="B197" s="826"/>
      <c r="C197" s="645"/>
      <c r="E197" s="74"/>
      <c r="F197" s="245"/>
      <c r="G197" s="643" t="str">
        <f>IF(COUNT(G195,G199)=2,IF(G195&gt;G199,E195,E199),"")</f>
        <v>Marek Lehis</v>
      </c>
      <c r="H197" s="74"/>
      <c r="I197" s="241">
        <v>10</v>
      </c>
      <c r="J197" s="74"/>
    </row>
    <row r="198" spans="1:18" x14ac:dyDescent="0.2">
      <c r="B198" s="826" t="s">
        <v>584</v>
      </c>
      <c r="C198" s="641" t="str">
        <f>IFERROR(INDEX(B$1:B$100,MATCH(B198,G$1:G$100,0)),"")</f>
        <v>Marek Lehis</v>
      </c>
      <c r="E198" s="241">
        <v>13</v>
      </c>
      <c r="F198" s="245"/>
      <c r="G198" s="821"/>
      <c r="H198" s="820"/>
      <c r="I198" s="74"/>
      <c r="J198" s="74"/>
    </row>
    <row r="199" spans="1:18" x14ac:dyDescent="0.2">
      <c r="B199" s="826"/>
      <c r="C199" s="794"/>
      <c r="D199" s="824"/>
      <c r="E199" s="643" t="str">
        <f>IF(COUNT(E198,E200)=2,IF(E198&gt;E200,C198,C200),"")</f>
        <v>Marek Lehis</v>
      </c>
      <c r="F199" s="248"/>
      <c r="G199" s="244">
        <v>13</v>
      </c>
      <c r="H199" s="245"/>
      <c r="I199" s="74"/>
      <c r="J199" s="74"/>
    </row>
    <row r="200" spans="1:18" x14ac:dyDescent="0.2">
      <c r="B200" s="826" t="s">
        <v>864</v>
      </c>
      <c r="C200" s="650" t="str">
        <f>IFERROR(INDEX(B$1:B$100,MATCH(B200,G$1:G$100,0)),"")</f>
        <v>Peep Peenema</v>
      </c>
      <c r="D200" s="825"/>
      <c r="E200" s="244">
        <v>7</v>
      </c>
      <c r="F200" s="74"/>
      <c r="G200" s="49"/>
      <c r="H200" s="245"/>
      <c r="I200" s="74"/>
      <c r="J200" s="74"/>
    </row>
    <row r="201" spans="1:18" ht="13.5" thickBot="1" x14ac:dyDescent="0.25">
      <c r="B201" s="826"/>
      <c r="C201" s="645"/>
      <c r="E201" s="74"/>
      <c r="F201" s="74"/>
      <c r="G201" s="49"/>
      <c r="H201" s="245"/>
      <c r="I201" s="74"/>
      <c r="J201" s="425" t="str">
        <f>IF(COUNT(I197,I205)=2,IF(I197&gt;I205,G197,G205),"")</f>
        <v>Toomas Reede</v>
      </c>
    </row>
    <row r="202" spans="1:18" x14ac:dyDescent="0.2">
      <c r="B202" s="826" t="s">
        <v>581</v>
      </c>
      <c r="C202" s="641" t="str">
        <f>IFERROR(INDEX(B$1:B$100,MATCH(B202,G$1:G$100,0)),"")</f>
        <v>Toomas Reede</v>
      </c>
      <c r="E202" s="241">
        <v>13</v>
      </c>
      <c r="F202" s="74"/>
      <c r="G202" s="74"/>
      <c r="H202" s="245"/>
      <c r="I202" s="249"/>
      <c r="J202" s="250" t="s">
        <v>544</v>
      </c>
    </row>
    <row r="203" spans="1:18" x14ac:dyDescent="0.2">
      <c r="B203" s="826"/>
      <c r="C203" s="794"/>
      <c r="D203" s="824"/>
      <c r="E203" s="643" t="str">
        <f>IF(COUNT(E202,E204)=2,IF(E202&gt;E204,C202,C204),"")</f>
        <v>Toomas Reede</v>
      </c>
      <c r="F203" s="74"/>
      <c r="G203" s="241">
        <v>13</v>
      </c>
      <c r="H203" s="245"/>
      <c r="I203" s="49"/>
      <c r="J203" s="74"/>
    </row>
    <row r="204" spans="1:18" x14ac:dyDescent="0.2">
      <c r="B204" s="826" t="s">
        <v>583</v>
      </c>
      <c r="C204" s="650" t="str">
        <f>IFERROR(INDEX(B$1:B$100,MATCH(B204,G$1:G$100,0)),"")</f>
        <v>Andres Veski</v>
      </c>
      <c r="D204" s="825"/>
      <c r="E204" s="244">
        <v>8</v>
      </c>
      <c r="F204" s="820"/>
      <c r="G204" s="74"/>
      <c r="H204" s="245"/>
      <c r="I204" s="49"/>
      <c r="J204" s="74"/>
    </row>
    <row r="205" spans="1:18" x14ac:dyDescent="0.2">
      <c r="B205" s="826"/>
      <c r="C205" s="645"/>
      <c r="E205" s="74"/>
      <c r="F205" s="245"/>
      <c r="G205" s="643" t="str">
        <f>IF(COUNT(G203,G207)=2,IF(G203&gt;G207,E203,E207),"")</f>
        <v>Toomas Reede</v>
      </c>
      <c r="H205" s="248"/>
      <c r="I205" s="244">
        <v>13</v>
      </c>
      <c r="J205" s="74"/>
    </row>
    <row r="206" spans="1:18" ht="13.5" thickBot="1" x14ac:dyDescent="0.25">
      <c r="B206" s="826" t="s">
        <v>579</v>
      </c>
      <c r="C206" s="641" t="str">
        <f>IFERROR(INDEX(B$1:B$100,MATCH(B206,G$1:G$100,0)),"")</f>
        <v>Alari Keedus</v>
      </c>
      <c r="E206" s="241">
        <v>13</v>
      </c>
      <c r="F206" s="245"/>
      <c r="G206" s="821"/>
      <c r="H206" s="49"/>
      <c r="I206" s="49"/>
      <c r="J206" s="425" t="str">
        <f>IF(COUNT(I197,I205)=2,IF(I197&lt;I205,G197,G205),"")</f>
        <v>Marek Lehis</v>
      </c>
    </row>
    <row r="207" spans="1:18" x14ac:dyDescent="0.2">
      <c r="B207" s="826"/>
      <c r="C207" s="794"/>
      <c r="D207" s="824"/>
      <c r="E207" s="643" t="str">
        <f>IF(COUNT(E206,E208)=2,IF(E206&gt;E208,C206,C208),"")</f>
        <v>Alari Keedus</v>
      </c>
      <c r="F207" s="248"/>
      <c r="G207" s="244">
        <v>12</v>
      </c>
      <c r="H207" s="74"/>
      <c r="I207" s="49"/>
      <c r="J207" s="250" t="s">
        <v>545</v>
      </c>
    </row>
    <row r="208" spans="1:18" x14ac:dyDescent="0.2">
      <c r="B208" s="826" t="s">
        <v>582</v>
      </c>
      <c r="C208" s="650" t="str">
        <f>IFERROR(INDEX(B$1:B$100,MATCH(B208,G$1:G$100,0)),"")</f>
        <v>Jaan Joonas</v>
      </c>
      <c r="D208" s="825"/>
      <c r="E208" s="244">
        <v>9</v>
      </c>
      <c r="F208" s="74"/>
      <c r="G208" s="49"/>
      <c r="H208" s="49"/>
      <c r="I208" s="49"/>
      <c r="J208" s="74"/>
    </row>
    <row r="209" spans="4:10" x14ac:dyDescent="0.2">
      <c r="D209" s="645"/>
      <c r="E209" s="74"/>
      <c r="F209" s="74"/>
      <c r="G209" s="418" t="str">
        <f>IF(COUNT(G195,G199)=2,IF(G195&lt;G199,E195,E199),"")</f>
        <v>Ülo Piik</v>
      </c>
      <c r="H209" s="74"/>
      <c r="I209" s="241">
        <v>7</v>
      </c>
      <c r="J209" s="74"/>
    </row>
    <row r="210" spans="4:10" ht="13.5" thickBot="1" x14ac:dyDescent="0.25">
      <c r="D210" s="74"/>
      <c r="E210" s="74"/>
      <c r="F210" s="74"/>
      <c r="G210" s="797"/>
      <c r="H210" s="820"/>
      <c r="I210" s="252"/>
      <c r="J210" s="425" t="str">
        <f>IF(COUNT(I209,I211)=2,IF(I209&gt;I211,G209,G211),"")</f>
        <v>Alari Keedus</v>
      </c>
    </row>
    <row r="211" spans="4:10" x14ac:dyDescent="0.2">
      <c r="D211" s="74"/>
      <c r="E211" s="74"/>
      <c r="F211" s="74"/>
      <c r="G211" s="417" t="str">
        <f>IF(COUNT(G203,G207)=2,IF(G203&lt;G207,E203,E207),"")</f>
        <v>Alari Keedus</v>
      </c>
      <c r="H211" s="248"/>
      <c r="I211" s="244">
        <v>13</v>
      </c>
      <c r="J211" s="253" t="s">
        <v>546</v>
      </c>
    </row>
    <row r="212" spans="4:10" x14ac:dyDescent="0.2">
      <c r="D212" s="74"/>
      <c r="E212" s="74"/>
      <c r="F212" s="74"/>
      <c r="G212" s="74"/>
      <c r="H212" s="74"/>
      <c r="I212" s="74"/>
      <c r="J212" s="49"/>
    </row>
    <row r="213" spans="4:10" ht="13.5" thickBot="1" x14ac:dyDescent="0.25">
      <c r="D213" s="74"/>
      <c r="E213" s="74"/>
      <c r="F213" s="74"/>
      <c r="G213" s="49"/>
      <c r="H213" s="49"/>
      <c r="I213" s="74"/>
      <c r="J213" s="425" t="str">
        <f>IF(COUNT(I209,I211)=2,IF(I209&lt;I211,G209,G211),"")</f>
        <v>Ülo Piik</v>
      </c>
    </row>
    <row r="214" spans="4:10" x14ac:dyDescent="0.2">
      <c r="D214" s="74"/>
      <c r="E214" s="74"/>
      <c r="F214" s="74"/>
      <c r="G214" s="74"/>
      <c r="H214" s="74"/>
      <c r="I214" s="74"/>
      <c r="J214" s="41" t="s">
        <v>547</v>
      </c>
    </row>
    <row r="215" spans="4:10" x14ac:dyDescent="0.2">
      <c r="D215" s="74"/>
      <c r="E215" s="74"/>
      <c r="F215" s="74"/>
      <c r="G215" s="74"/>
      <c r="H215" s="74"/>
      <c r="I215" s="74"/>
      <c r="J215" s="74"/>
    </row>
    <row r="216" spans="4:10" x14ac:dyDescent="0.2">
      <c r="D216" s="74"/>
      <c r="E216" s="417" t="str">
        <f>IF(COUNT(E194,E196)=2,IF(E194&lt;E196,C194,C196),"")</f>
        <v>Oskar Sepp</v>
      </c>
      <c r="F216" s="74"/>
      <c r="G216" s="241">
        <v>13</v>
      </c>
      <c r="H216" s="241"/>
      <c r="I216" s="241"/>
      <c r="J216" s="74"/>
    </row>
    <row r="217" spans="4:10" x14ac:dyDescent="0.2">
      <c r="D217" s="74"/>
      <c r="E217" s="822"/>
      <c r="F217" s="823"/>
      <c r="G217" s="643" t="str">
        <f>IF(COUNT(G216,G218)=2,IF(G216&gt;G218,E216,E218),"")</f>
        <v>Oskar Sepp</v>
      </c>
      <c r="H217" s="74"/>
      <c r="I217" s="241">
        <v>12</v>
      </c>
      <c r="J217" s="74"/>
    </row>
    <row r="218" spans="4:10" x14ac:dyDescent="0.2">
      <c r="D218" s="74"/>
      <c r="E218" s="417" t="str">
        <f>IF(COUNT(E198,E200)=2,IF(E198&lt;E200,C198,C200),"")</f>
        <v>Peep Peenema</v>
      </c>
      <c r="F218" s="255"/>
      <c r="G218" s="244">
        <v>9</v>
      </c>
      <c r="H218" s="823"/>
      <c r="I218" s="241"/>
      <c r="J218" s="74"/>
    </row>
    <row r="219" spans="4:10" ht="13.5" thickBot="1" x14ac:dyDescent="0.25">
      <c r="D219" s="74"/>
      <c r="E219" s="241"/>
      <c r="F219" s="241"/>
      <c r="G219" s="247"/>
      <c r="H219" s="256"/>
      <c r="I219" s="241"/>
      <c r="J219" s="425" t="str">
        <f>IF(COUNT(I217,I221)=2,IF(I217&gt;I221,G217,G221),"")</f>
        <v>Jaan Joonas</v>
      </c>
    </row>
    <row r="220" spans="4:10" x14ac:dyDescent="0.2">
      <c r="D220" s="74"/>
      <c r="E220" s="417" t="str">
        <f>IF(COUNT(E202,E204)=2,IF(E202&lt;E204,C202,C204),"")</f>
        <v>Andres Veski</v>
      </c>
      <c r="F220" s="241"/>
      <c r="G220" s="241">
        <v>6</v>
      </c>
      <c r="H220" s="256"/>
      <c r="I220" s="257"/>
      <c r="J220" s="250" t="s">
        <v>585</v>
      </c>
    </row>
    <row r="221" spans="4:10" x14ac:dyDescent="0.2">
      <c r="D221" s="74"/>
      <c r="E221" s="822"/>
      <c r="F221" s="823"/>
      <c r="G221" s="643" t="str">
        <f>IF(COUNT(G220,G222)=2,IF(G220&gt;G222,E220,E222),"")</f>
        <v>Jaan Joonas</v>
      </c>
      <c r="H221" s="248"/>
      <c r="I221" s="244">
        <v>13</v>
      </c>
      <c r="J221" s="74"/>
    </row>
    <row r="222" spans="4:10" ht="13.5" thickBot="1" x14ac:dyDescent="0.25">
      <c r="D222" s="74"/>
      <c r="E222" s="417" t="str">
        <f>IF(COUNT(E206,E208)=2,IF(E206&lt;E208,C206,C208),"")</f>
        <v>Jaan Joonas</v>
      </c>
      <c r="F222" s="255"/>
      <c r="G222" s="244">
        <v>13</v>
      </c>
      <c r="H222" s="241"/>
      <c r="I222" s="247"/>
      <c r="J222" s="425" t="str">
        <f>IF(COUNT(I217,I221)=2,IF(I217&lt;I221,G217,G221),"")</f>
        <v>Oskar Sepp</v>
      </c>
    </row>
    <row r="223" spans="4:10" x14ac:dyDescent="0.2">
      <c r="D223" s="74"/>
      <c r="E223" s="241"/>
      <c r="F223" s="241"/>
      <c r="G223" s="241"/>
      <c r="H223" s="241"/>
      <c r="I223" s="247"/>
      <c r="J223" s="250" t="s">
        <v>586</v>
      </c>
    </row>
    <row r="224" spans="4:10" x14ac:dyDescent="0.2">
      <c r="D224" s="74"/>
      <c r="E224" s="241"/>
      <c r="F224" s="247"/>
      <c r="G224" s="418" t="str">
        <f>IF(COUNT(G216,G218)=2,IF(G216&lt;G218,E216,E218),"")</f>
        <v>Peep Peenema</v>
      </c>
      <c r="H224" s="74"/>
      <c r="I224" s="241">
        <v>13</v>
      </c>
      <c r="J224" s="49"/>
    </row>
    <row r="225" spans="4:10" ht="13.5" thickBot="1" x14ac:dyDescent="0.25">
      <c r="D225" s="74"/>
      <c r="E225" s="241"/>
      <c r="F225" s="247"/>
      <c r="G225" s="797"/>
      <c r="H225" s="820"/>
      <c r="I225" s="252"/>
      <c r="J225" s="425" t="str">
        <f>IF(COUNT(I224,I226)=2,IF(I224&gt;I226,G224,G226),"")</f>
        <v>Peep Peenema</v>
      </c>
    </row>
    <row r="226" spans="4:10" x14ac:dyDescent="0.2">
      <c r="D226" s="74"/>
      <c r="E226" s="241"/>
      <c r="F226" s="247"/>
      <c r="G226" s="417" t="str">
        <f>IF(COUNT(G220,G222)=2,IF(G220&lt;G222,E220,E222),"")</f>
        <v>Andres Veski</v>
      </c>
      <c r="H226" s="248"/>
      <c r="I226" s="244">
        <v>7</v>
      </c>
      <c r="J226" s="253" t="s">
        <v>587</v>
      </c>
    </row>
    <row r="227" spans="4:10" x14ac:dyDescent="0.2">
      <c r="D227" s="74"/>
      <c r="E227" s="74"/>
      <c r="F227" s="49"/>
      <c r="G227" s="74"/>
      <c r="H227" s="74"/>
      <c r="I227" s="74"/>
      <c r="J227" s="49"/>
    </row>
    <row r="228" spans="4:10" ht="13.5" thickBot="1" x14ac:dyDescent="0.25">
      <c r="D228" s="74"/>
      <c r="E228" s="74"/>
      <c r="F228" s="74"/>
      <c r="G228" s="49"/>
      <c r="H228" s="49"/>
      <c r="I228" s="74"/>
      <c r="J228" s="252" t="str">
        <f>IF(COUNT(I224,I226)=2,IF(I224&lt;I226,G224,G226),"")</f>
        <v>Andres Veski</v>
      </c>
    </row>
    <row r="229" spans="4:10" x14ac:dyDescent="0.2">
      <c r="D229" s="74"/>
      <c r="E229" s="74"/>
      <c r="F229" s="74"/>
      <c r="G229" s="49"/>
      <c r="H229" s="49"/>
      <c r="I229" s="74"/>
      <c r="J229" s="253" t="s">
        <v>614</v>
      </c>
    </row>
    <row r="231" spans="4:10" ht="13.5" thickBot="1" x14ac:dyDescent="0.25">
      <c r="J231" s="807" t="str">
        <f>IFERROR(INDEX(B$1:B$100,MATCH("D4",G$1:G$100,0)),"")</f>
        <v>Oleg Rõndenkov</v>
      </c>
    </row>
    <row r="232" spans="4:10" x14ac:dyDescent="0.2">
      <c r="J232" s="253" t="s">
        <v>860</v>
      </c>
    </row>
    <row r="233" spans="4:10" hidden="1" x14ac:dyDescent="0.2"/>
    <row r="234" spans="4:10" hidden="1" x14ac:dyDescent="0.2"/>
    <row r="235" spans="4:10" hidden="1" x14ac:dyDescent="0.2"/>
    <row r="236" spans="4:10" hidden="1" x14ac:dyDescent="0.2"/>
    <row r="237" spans="4:10" hidden="1" x14ac:dyDescent="0.2"/>
    <row r="238" spans="4:10" hidden="1" x14ac:dyDescent="0.2"/>
    <row r="239" spans="4:10" hidden="1" x14ac:dyDescent="0.2"/>
    <row r="240" spans="4:1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4" hidden="1" x14ac:dyDescent="0.2"/>
    <row r="290" spans="1:44" hidden="1" x14ac:dyDescent="0.2"/>
    <row r="291" spans="1:44" hidden="1" x14ac:dyDescent="0.2"/>
    <row r="292" spans="1:44" hidden="1" x14ac:dyDescent="0.2"/>
    <row r="293" spans="1:44" hidden="1" x14ac:dyDescent="0.2"/>
    <row r="294" spans="1:44" hidden="1" x14ac:dyDescent="0.2"/>
    <row r="295" spans="1:44" hidden="1" x14ac:dyDescent="0.2"/>
    <row r="296" spans="1:44" hidden="1" x14ac:dyDescent="0.2">
      <c r="A296" s="78"/>
      <c r="B296" s="78"/>
      <c r="C296" s="78"/>
      <c r="D296" s="78"/>
      <c r="E296" s="78"/>
      <c r="F296" s="78"/>
      <c r="G296" s="78"/>
      <c r="H296" s="78"/>
      <c r="I296" s="78"/>
      <c r="J296" s="78"/>
      <c r="K296" s="78"/>
      <c r="L296" s="78"/>
      <c r="M296" s="78"/>
      <c r="N296" s="78"/>
      <c r="O296" s="78"/>
      <c r="P296" s="78"/>
      <c r="T296" s="78"/>
      <c r="U296" s="78"/>
      <c r="V296" s="78"/>
      <c r="W296" s="78"/>
      <c r="X296" s="78"/>
      <c r="Y296" s="78"/>
      <c r="Z296" s="78"/>
      <c r="AA296" s="78"/>
      <c r="AB296" s="78"/>
      <c r="AC296" s="78"/>
      <c r="AD296" s="78"/>
      <c r="AE296" s="78"/>
      <c r="AF296" s="78"/>
      <c r="AM296" s="78"/>
      <c r="AN296" s="78"/>
      <c r="AO296" s="78"/>
      <c r="AP296" s="78"/>
      <c r="AQ296" s="78"/>
      <c r="AR296" s="78"/>
    </row>
    <row r="297" spans="1:44" hidden="1" x14ac:dyDescent="0.2">
      <c r="A297" s="78"/>
      <c r="B297" s="78"/>
      <c r="C297" s="78"/>
      <c r="D297" s="78"/>
      <c r="E297" s="78"/>
      <c r="F297" s="78"/>
      <c r="G297" s="78"/>
      <c r="H297" s="78"/>
      <c r="I297" s="78"/>
      <c r="J297" s="78"/>
      <c r="K297" s="78"/>
      <c r="L297" s="78"/>
      <c r="M297" s="78"/>
      <c r="N297" s="78"/>
      <c r="O297" s="78"/>
      <c r="P297" s="78"/>
      <c r="T297" s="78"/>
      <c r="U297" s="78"/>
      <c r="V297" s="78"/>
      <c r="W297" s="78"/>
      <c r="X297" s="78"/>
      <c r="Y297" s="78"/>
      <c r="Z297" s="78"/>
      <c r="AA297" s="78"/>
      <c r="AB297" s="78"/>
      <c r="AC297" s="78"/>
      <c r="AD297" s="78"/>
      <c r="AE297" s="78"/>
      <c r="AF297" s="78"/>
      <c r="AM297" s="78"/>
      <c r="AN297" s="78"/>
      <c r="AO297" s="78"/>
      <c r="AP297" s="78"/>
      <c r="AQ297" s="78"/>
      <c r="AR297" s="78"/>
    </row>
    <row r="298" spans="1:44" x14ac:dyDescent="0.2">
      <c r="A298" s="78"/>
      <c r="B298" s="78"/>
      <c r="C298" s="78"/>
      <c r="D298" s="78"/>
      <c r="E298" s="78"/>
      <c r="F298" s="78"/>
      <c r="G298" s="78"/>
      <c r="H298" s="78"/>
      <c r="I298" s="78"/>
      <c r="J298" s="78"/>
      <c r="K298" s="78"/>
      <c r="L298" s="78"/>
      <c r="M298" s="78"/>
      <c r="N298" s="78"/>
      <c r="O298" s="78"/>
      <c r="P298" s="78"/>
      <c r="T298" s="78"/>
      <c r="U298" s="78"/>
      <c r="V298" s="78"/>
      <c r="W298" s="78"/>
      <c r="X298" s="78"/>
      <c r="Y298" s="78"/>
      <c r="Z298" s="78"/>
      <c r="AA298" s="78"/>
      <c r="AB298" s="78"/>
      <c r="AC298" s="78"/>
      <c r="AD298" s="78"/>
      <c r="AE298" s="78"/>
      <c r="AF298" s="78"/>
      <c r="AM298" s="78"/>
      <c r="AN298" s="78"/>
      <c r="AO298" s="78"/>
      <c r="AP298" s="78"/>
      <c r="AQ298" s="78"/>
      <c r="AR298" s="78"/>
    </row>
    <row r="299" spans="1:44" x14ac:dyDescent="0.2">
      <c r="A299" s="78"/>
      <c r="B299" s="78"/>
      <c r="C299" s="663" t="s">
        <v>220</v>
      </c>
      <c r="D299" s="78"/>
      <c r="E299" s="78"/>
      <c r="F299" s="78"/>
      <c r="G299" s="78"/>
      <c r="H299" s="78"/>
      <c r="I299" s="78"/>
      <c r="J299" s="78"/>
      <c r="K299" s="78"/>
      <c r="L299" s="78"/>
      <c r="M299" s="78"/>
      <c r="N299" s="78"/>
      <c r="O299" s="78"/>
      <c r="P299" s="78"/>
      <c r="T299" s="78"/>
      <c r="U299" s="78"/>
      <c r="V299" s="78"/>
      <c r="W299" s="78"/>
      <c r="X299" s="78"/>
      <c r="Y299" s="78"/>
      <c r="Z299" s="78"/>
      <c r="AA299" s="78"/>
      <c r="AB299" s="78"/>
      <c r="AC299" s="78"/>
      <c r="AD299" s="78"/>
      <c r="AE299" s="78"/>
      <c r="AF299" s="78"/>
      <c r="AM299" s="78"/>
      <c r="AN299" s="78"/>
      <c r="AO299" s="78"/>
      <c r="AP299" s="78"/>
      <c r="AQ299" s="78"/>
      <c r="AR299" s="78"/>
    </row>
    <row r="300" spans="1:44" x14ac:dyDescent="0.2">
      <c r="A300" s="113">
        <v>1</v>
      </c>
      <c r="B300" s="680" t="str">
        <f>IFERROR(INDEX($J$100:$J$300,MATCH($A300&amp;"*",$J$101:$J$301,0)),"")</f>
        <v>Veiko Proos</v>
      </c>
      <c r="C300" s="664">
        <v>173</v>
      </c>
      <c r="D300" s="78"/>
      <c r="E300" s="78"/>
      <c r="F300" s="78"/>
      <c r="G300" s="78"/>
      <c r="H300" s="78"/>
      <c r="I300" s="78"/>
      <c r="J300" s="78"/>
      <c r="K300" s="78"/>
      <c r="L300" s="78"/>
      <c r="M300" s="78"/>
      <c r="N300" s="78"/>
      <c r="O300" s="78"/>
      <c r="P300" s="78"/>
      <c r="T300" s="78"/>
      <c r="U300" s="78"/>
      <c r="V300" s="78"/>
      <c r="W300" s="78"/>
      <c r="X300" s="78"/>
      <c r="Y300" s="78"/>
      <c r="Z300" s="78"/>
      <c r="AA300" s="78"/>
      <c r="AB300" s="78"/>
      <c r="AC300" s="78"/>
      <c r="AD300" s="78"/>
      <c r="AE300" s="78"/>
      <c r="AF300" s="78"/>
      <c r="AM300" s="78"/>
      <c r="AN300" s="78"/>
      <c r="AO300" s="78"/>
      <c r="AP300" s="78"/>
      <c r="AQ300" s="78"/>
      <c r="AR300" s="78"/>
    </row>
    <row r="301" spans="1:44" x14ac:dyDescent="0.2">
      <c r="A301" s="113">
        <v>2</v>
      </c>
      <c r="B301" s="261" t="str">
        <f t="shared" ref="B301:B324" si="2">IFERROR(INDEX($J$100:$J$300,MATCH($A301&amp;"*",$J$101:$J$301,0)),"")</f>
        <v>Margo Peebo</v>
      </c>
      <c r="C301" s="665">
        <v>158</v>
      </c>
      <c r="D301" s="78"/>
      <c r="E301" s="78"/>
      <c r="F301" s="78"/>
      <c r="G301" s="78"/>
      <c r="H301" s="78"/>
      <c r="I301" s="78"/>
      <c r="J301" s="78"/>
      <c r="K301" s="78"/>
      <c r="L301" s="78"/>
      <c r="M301" s="78"/>
      <c r="N301" s="78"/>
      <c r="O301" s="78"/>
      <c r="P301" s="78"/>
      <c r="T301" s="78"/>
      <c r="U301" s="78"/>
      <c r="V301" s="78"/>
      <c r="W301" s="78"/>
      <c r="X301" s="78"/>
      <c r="Y301" s="78"/>
      <c r="Z301" s="78"/>
      <c r="AA301" s="78"/>
      <c r="AB301" s="78"/>
      <c r="AC301" s="78"/>
      <c r="AD301" s="78"/>
      <c r="AE301" s="78"/>
      <c r="AF301" s="78"/>
      <c r="AM301" s="78"/>
      <c r="AN301" s="78"/>
      <c r="AO301" s="78"/>
      <c r="AP301" s="78"/>
      <c r="AQ301" s="78"/>
      <c r="AR301" s="78"/>
    </row>
    <row r="302" spans="1:44" x14ac:dyDescent="0.2">
      <c r="A302" s="113">
        <v>3</v>
      </c>
      <c r="B302" s="261" t="str">
        <f t="shared" si="2"/>
        <v>Ivar Viljaste</v>
      </c>
      <c r="C302" s="665">
        <v>146</v>
      </c>
      <c r="D302" s="78"/>
      <c r="E302" s="78"/>
      <c r="F302" s="78"/>
      <c r="G302" s="78"/>
      <c r="H302" s="78"/>
      <c r="I302" s="78"/>
      <c r="J302" s="78"/>
      <c r="K302" s="78"/>
      <c r="L302" s="78"/>
      <c r="M302" s="78"/>
      <c r="N302" s="78"/>
      <c r="O302" s="78"/>
      <c r="P302" s="78"/>
      <c r="T302" s="78"/>
      <c r="U302" s="78"/>
      <c r="V302" s="78"/>
      <c r="W302" s="78"/>
      <c r="X302" s="78"/>
      <c r="Y302" s="78"/>
      <c r="Z302" s="78"/>
      <c r="AA302" s="78"/>
      <c r="AB302" s="78"/>
      <c r="AC302" s="78"/>
      <c r="AD302" s="78"/>
      <c r="AE302" s="78"/>
      <c r="AF302" s="78"/>
      <c r="AM302" s="78"/>
      <c r="AN302" s="78"/>
      <c r="AO302" s="78"/>
      <c r="AP302" s="78"/>
      <c r="AQ302" s="78"/>
      <c r="AR302" s="78"/>
    </row>
    <row r="303" spans="1:44" x14ac:dyDescent="0.2">
      <c r="A303" s="113">
        <v>4</v>
      </c>
      <c r="B303" s="201" t="str">
        <f t="shared" si="2"/>
        <v>Aarne Välja</v>
      </c>
      <c r="C303" s="665">
        <v>135</v>
      </c>
      <c r="D303" s="78"/>
      <c r="E303" s="78"/>
      <c r="F303" s="78"/>
      <c r="G303" s="78"/>
      <c r="H303" s="78"/>
      <c r="I303" s="78"/>
      <c r="J303" s="78"/>
      <c r="K303" s="78"/>
      <c r="L303" s="78"/>
      <c r="M303" s="78"/>
      <c r="N303" s="78"/>
      <c r="O303" s="78"/>
      <c r="P303" s="78"/>
      <c r="T303" s="78"/>
      <c r="U303" s="78"/>
      <c r="V303" s="78"/>
      <c r="W303" s="78"/>
      <c r="X303" s="78"/>
      <c r="Y303" s="78"/>
      <c r="Z303" s="78"/>
      <c r="AA303" s="78"/>
      <c r="AB303" s="78"/>
      <c r="AC303" s="78"/>
      <c r="AD303" s="78"/>
      <c r="AE303" s="78"/>
      <c r="AF303" s="78"/>
      <c r="AM303" s="78"/>
      <c r="AN303" s="78"/>
      <c r="AO303" s="78"/>
      <c r="AP303" s="78"/>
      <c r="AQ303" s="78"/>
      <c r="AR303" s="78"/>
    </row>
    <row r="304" spans="1:44" x14ac:dyDescent="0.2">
      <c r="A304" s="113">
        <v>5</v>
      </c>
      <c r="B304" s="201" t="str">
        <f t="shared" si="2"/>
        <v>Marek Kolk</v>
      </c>
      <c r="C304" s="665">
        <v>126</v>
      </c>
      <c r="D304" s="78"/>
      <c r="E304" s="78"/>
      <c r="F304" s="78"/>
      <c r="G304" s="78"/>
      <c r="H304" s="78"/>
      <c r="I304" s="78"/>
      <c r="J304" s="78"/>
      <c r="K304" s="78"/>
      <c r="L304" s="78"/>
      <c r="M304" s="78"/>
      <c r="N304" s="78"/>
      <c r="O304" s="78"/>
      <c r="P304" s="78"/>
      <c r="T304" s="78"/>
      <c r="U304" s="78"/>
      <c r="V304" s="78"/>
      <c r="W304" s="78"/>
      <c r="X304" s="78"/>
      <c r="Y304" s="78"/>
      <c r="Z304" s="78"/>
      <c r="AA304" s="78"/>
      <c r="AB304" s="78"/>
      <c r="AC304" s="78"/>
      <c r="AD304" s="78"/>
      <c r="AE304" s="78"/>
      <c r="AF304" s="78"/>
      <c r="AM304" s="78"/>
      <c r="AN304" s="78"/>
      <c r="AO304" s="78"/>
      <c r="AP304" s="78"/>
      <c r="AQ304" s="78"/>
      <c r="AR304" s="78"/>
    </row>
    <row r="305" spans="1:44" x14ac:dyDescent="0.2">
      <c r="A305" s="113">
        <v>6</v>
      </c>
      <c r="B305" s="201" t="str">
        <f t="shared" si="2"/>
        <v>Urmo Auväärt</v>
      </c>
      <c r="C305" s="665">
        <v>119</v>
      </c>
      <c r="D305" s="78"/>
      <c r="E305" s="78"/>
      <c r="F305" s="78"/>
      <c r="G305" s="78"/>
      <c r="H305" s="78"/>
      <c r="I305" s="78"/>
      <c r="J305" s="78"/>
      <c r="K305" s="78"/>
      <c r="L305" s="78"/>
      <c r="M305" s="78"/>
      <c r="N305" s="78"/>
      <c r="O305" s="78"/>
      <c r="P305" s="78"/>
      <c r="T305" s="78"/>
      <c r="U305" s="78"/>
      <c r="V305" s="78"/>
      <c r="W305" s="78"/>
      <c r="X305" s="78"/>
      <c r="Y305" s="78"/>
      <c r="Z305" s="78"/>
      <c r="AA305" s="78"/>
      <c r="AB305" s="78"/>
      <c r="AC305" s="78"/>
      <c r="AD305" s="78"/>
      <c r="AE305" s="78"/>
      <c r="AF305" s="78"/>
      <c r="AM305" s="78"/>
      <c r="AN305" s="78"/>
      <c r="AO305" s="78"/>
      <c r="AP305" s="78"/>
      <c r="AQ305" s="78"/>
      <c r="AR305" s="78"/>
    </row>
    <row r="306" spans="1:44" x14ac:dyDescent="0.2">
      <c r="A306" s="113">
        <v>7</v>
      </c>
      <c r="B306" s="201" t="str">
        <f t="shared" si="2"/>
        <v>Kevin Sten Liik</v>
      </c>
      <c r="C306" s="665">
        <v>111</v>
      </c>
      <c r="D306" s="78"/>
      <c r="E306" s="78"/>
      <c r="F306" s="78"/>
      <c r="G306" s="78"/>
      <c r="H306" s="78"/>
      <c r="I306" s="78"/>
      <c r="J306" s="78"/>
      <c r="K306" s="78"/>
      <c r="L306" s="78"/>
      <c r="M306" s="78"/>
      <c r="N306" s="78"/>
      <c r="O306" s="78"/>
      <c r="P306" s="78"/>
      <c r="T306" s="78"/>
      <c r="U306" s="78"/>
      <c r="V306" s="78"/>
      <c r="W306" s="78"/>
      <c r="X306" s="78"/>
      <c r="Y306" s="78"/>
      <c r="Z306" s="78"/>
      <c r="AA306" s="78"/>
      <c r="AB306" s="78"/>
      <c r="AC306" s="78"/>
      <c r="AD306" s="78"/>
      <c r="AE306" s="78"/>
      <c r="AF306" s="78"/>
      <c r="AM306" s="78"/>
      <c r="AN306" s="78"/>
      <c r="AO306" s="78"/>
      <c r="AP306" s="78"/>
      <c r="AQ306" s="78"/>
      <c r="AR306" s="78"/>
    </row>
    <row r="307" spans="1:44" x14ac:dyDescent="0.2">
      <c r="A307" s="113">
        <v>8</v>
      </c>
      <c r="B307" s="201" t="str">
        <f t="shared" si="2"/>
        <v>Kenneth Muusikus</v>
      </c>
      <c r="C307" s="665">
        <v>104</v>
      </c>
      <c r="D307" s="78"/>
      <c r="E307" s="78"/>
      <c r="F307" s="78"/>
      <c r="G307" s="78"/>
      <c r="H307" s="78"/>
      <c r="I307" s="78"/>
      <c r="J307" s="78"/>
      <c r="K307" s="78"/>
      <c r="L307" s="78"/>
      <c r="M307" s="78"/>
      <c r="N307" s="78"/>
      <c r="O307" s="78"/>
      <c r="P307" s="78"/>
      <c r="T307" s="78"/>
      <c r="U307" s="78"/>
      <c r="V307" s="78"/>
      <c r="W307" s="78"/>
      <c r="X307" s="78"/>
      <c r="Y307" s="78"/>
      <c r="Z307" s="78"/>
      <c r="AA307" s="78"/>
      <c r="AB307" s="78"/>
      <c r="AC307" s="78"/>
      <c r="AD307" s="78"/>
      <c r="AE307" s="78"/>
      <c r="AF307" s="78"/>
      <c r="AM307" s="78"/>
      <c r="AN307" s="78"/>
      <c r="AO307" s="78"/>
      <c r="AP307" s="78"/>
      <c r="AQ307" s="78"/>
      <c r="AR307" s="78"/>
    </row>
    <row r="308" spans="1:44" x14ac:dyDescent="0.2">
      <c r="A308" s="113">
        <v>9</v>
      </c>
      <c r="B308" s="201" t="str">
        <f t="shared" si="2"/>
        <v>Jaan Sepp</v>
      </c>
      <c r="C308" s="665">
        <v>96</v>
      </c>
      <c r="D308" s="78"/>
      <c r="E308" s="78"/>
      <c r="F308" s="78"/>
      <c r="G308" s="78"/>
      <c r="H308" s="78"/>
      <c r="I308" s="78"/>
      <c r="J308" s="78"/>
      <c r="K308" s="78"/>
      <c r="L308" s="78"/>
      <c r="M308" s="78"/>
      <c r="N308" s="78"/>
      <c r="O308" s="78"/>
      <c r="P308" s="78"/>
      <c r="T308" s="78"/>
      <c r="U308" s="78"/>
      <c r="V308" s="78"/>
      <c r="W308" s="78"/>
      <c r="X308" s="78"/>
      <c r="Y308" s="78"/>
      <c r="Z308" s="78"/>
      <c r="AA308" s="78"/>
      <c r="AB308" s="78"/>
      <c r="AC308" s="78"/>
      <c r="AD308" s="78"/>
      <c r="AE308" s="78"/>
      <c r="AF308" s="78"/>
      <c r="AM308" s="78"/>
      <c r="AN308" s="78"/>
      <c r="AO308" s="78"/>
      <c r="AP308" s="78"/>
      <c r="AQ308" s="78"/>
      <c r="AR308" s="78"/>
    </row>
    <row r="309" spans="1:44" x14ac:dyDescent="0.2">
      <c r="A309" s="113">
        <v>10</v>
      </c>
      <c r="B309" s="201" t="str">
        <f t="shared" si="2"/>
        <v>Elmo Lageda</v>
      </c>
      <c r="C309" s="665">
        <v>90</v>
      </c>
      <c r="D309" s="78"/>
      <c r="E309" s="78"/>
      <c r="F309" s="78"/>
      <c r="G309" s="78"/>
      <c r="H309" s="78"/>
      <c r="I309" s="78"/>
      <c r="J309" s="78"/>
      <c r="K309" s="78"/>
      <c r="L309" s="78"/>
      <c r="M309" s="78"/>
      <c r="N309" s="78"/>
      <c r="O309" s="78"/>
      <c r="P309" s="78"/>
      <c r="T309" s="78"/>
      <c r="U309" s="78"/>
      <c r="V309" s="78"/>
      <c r="W309" s="78"/>
      <c r="X309" s="78"/>
      <c r="Y309" s="78"/>
      <c r="Z309" s="78"/>
      <c r="AA309" s="78"/>
      <c r="AB309" s="78"/>
      <c r="AC309" s="78"/>
      <c r="AD309" s="78"/>
      <c r="AE309" s="78"/>
      <c r="AF309" s="78"/>
      <c r="AM309" s="78"/>
      <c r="AN309" s="78"/>
      <c r="AO309" s="78"/>
      <c r="AP309" s="78"/>
      <c r="AQ309" s="78"/>
      <c r="AR309" s="78"/>
    </row>
    <row r="310" spans="1:44" x14ac:dyDescent="0.2">
      <c r="A310" s="113">
        <v>11</v>
      </c>
      <c r="B310" s="201" t="str">
        <f t="shared" si="2"/>
        <v>Janek Kiisk</v>
      </c>
      <c r="C310" s="665">
        <v>84</v>
      </c>
      <c r="D310" s="78"/>
      <c r="E310" s="78"/>
      <c r="F310" s="78"/>
      <c r="G310" s="78"/>
      <c r="H310" s="78"/>
      <c r="I310" s="78"/>
      <c r="J310" s="78"/>
      <c r="K310" s="78"/>
      <c r="L310" s="78"/>
      <c r="M310" s="78"/>
      <c r="N310" s="78"/>
      <c r="O310" s="78"/>
      <c r="P310" s="78"/>
      <c r="T310" s="78"/>
      <c r="U310" s="78"/>
      <c r="V310" s="78"/>
      <c r="W310" s="78"/>
      <c r="X310" s="78"/>
      <c r="Y310" s="78"/>
      <c r="Z310" s="78"/>
      <c r="AA310" s="78"/>
      <c r="AB310" s="78"/>
      <c r="AC310" s="78"/>
      <c r="AD310" s="78"/>
      <c r="AE310" s="78"/>
      <c r="AF310" s="78"/>
      <c r="AM310" s="78"/>
      <c r="AN310" s="78"/>
      <c r="AO310" s="78"/>
      <c r="AP310" s="78"/>
      <c r="AQ310" s="78"/>
      <c r="AR310" s="78"/>
    </row>
    <row r="311" spans="1:44" x14ac:dyDescent="0.2">
      <c r="A311" s="113">
        <v>12</v>
      </c>
      <c r="B311" s="201" t="str">
        <f t="shared" si="2"/>
        <v>Aigar Lusbo</v>
      </c>
      <c r="C311" s="666">
        <v>78</v>
      </c>
      <c r="D311" s="78"/>
      <c r="E311" s="78"/>
      <c r="F311" s="78"/>
      <c r="G311" s="78"/>
      <c r="H311" s="78"/>
      <c r="I311" s="78"/>
      <c r="J311" s="78"/>
      <c r="K311" s="78"/>
      <c r="L311" s="78"/>
      <c r="M311" s="78"/>
      <c r="N311" s="78"/>
      <c r="O311" s="78"/>
      <c r="P311" s="78"/>
      <c r="T311" s="78"/>
      <c r="U311" s="78"/>
      <c r="V311" s="78"/>
      <c r="W311" s="78"/>
      <c r="X311" s="78"/>
      <c r="Y311" s="78"/>
      <c r="Z311" s="78"/>
      <c r="AA311" s="78"/>
      <c r="AB311" s="78"/>
      <c r="AC311" s="78"/>
      <c r="AD311" s="78"/>
      <c r="AE311" s="78"/>
      <c r="AF311" s="78"/>
      <c r="AM311" s="78"/>
      <c r="AN311" s="78"/>
      <c r="AO311" s="78"/>
      <c r="AP311" s="78"/>
      <c r="AQ311" s="78"/>
      <c r="AR311" s="78"/>
    </row>
    <row r="312" spans="1:44" x14ac:dyDescent="0.2">
      <c r="A312" s="113">
        <v>13</v>
      </c>
      <c r="B312" s="201" t="str">
        <f t="shared" si="2"/>
        <v>Ruudi Väärtnõu</v>
      </c>
      <c r="C312" s="666">
        <v>74</v>
      </c>
      <c r="D312" s="78"/>
      <c r="E312" s="78"/>
      <c r="F312" s="78"/>
      <c r="G312" s="78"/>
      <c r="H312" s="78"/>
      <c r="I312" s="78"/>
      <c r="J312" s="78"/>
      <c r="K312" s="78"/>
      <c r="L312" s="78"/>
      <c r="M312" s="78"/>
      <c r="N312" s="78"/>
      <c r="O312" s="78"/>
      <c r="P312" s="78"/>
      <c r="T312" s="78"/>
      <c r="U312" s="78"/>
      <c r="V312" s="78"/>
      <c r="W312" s="78"/>
      <c r="X312" s="78"/>
      <c r="Y312" s="78"/>
      <c r="Z312" s="78"/>
      <c r="AA312" s="78"/>
      <c r="AB312" s="78"/>
      <c r="AC312" s="78"/>
      <c r="AD312" s="78"/>
      <c r="AE312" s="78"/>
      <c r="AF312" s="78"/>
      <c r="AM312" s="78"/>
      <c r="AN312" s="78"/>
      <c r="AO312" s="78"/>
      <c r="AP312" s="78"/>
      <c r="AQ312" s="78"/>
      <c r="AR312" s="78"/>
    </row>
    <row r="313" spans="1:44" x14ac:dyDescent="0.2">
      <c r="A313" s="113">
        <v>14</v>
      </c>
      <c r="B313" s="201" t="str">
        <f t="shared" si="2"/>
        <v>Toomas Hoole</v>
      </c>
      <c r="C313" s="666">
        <v>69</v>
      </c>
      <c r="D313" s="78"/>
      <c r="E313" s="78"/>
      <c r="F313" s="78"/>
      <c r="G313" s="78"/>
      <c r="H313" s="78"/>
      <c r="I313" s="78"/>
      <c r="J313" s="78"/>
      <c r="K313" s="78"/>
      <c r="L313" s="78"/>
      <c r="M313" s="78"/>
      <c r="N313" s="78"/>
      <c r="O313" s="78"/>
      <c r="P313" s="78"/>
      <c r="T313" s="78"/>
      <c r="U313" s="78"/>
      <c r="V313" s="78"/>
      <c r="W313" s="78"/>
      <c r="X313" s="78"/>
      <c r="Y313" s="78"/>
      <c r="Z313" s="78"/>
      <c r="AA313" s="78"/>
      <c r="AB313" s="78"/>
      <c r="AC313" s="78"/>
      <c r="AD313" s="78"/>
      <c r="AE313" s="78"/>
      <c r="AF313" s="78"/>
      <c r="AM313" s="78"/>
      <c r="AN313" s="78"/>
      <c r="AO313" s="78"/>
      <c r="AP313" s="78"/>
      <c r="AQ313" s="78"/>
      <c r="AR313" s="78"/>
    </row>
    <row r="314" spans="1:44" x14ac:dyDescent="0.2">
      <c r="A314" s="113">
        <v>15</v>
      </c>
      <c r="B314" s="201" t="str">
        <f t="shared" si="2"/>
        <v>Kalle Orro</v>
      </c>
      <c r="C314" s="666">
        <v>65</v>
      </c>
      <c r="D314" s="78"/>
      <c r="E314" s="78"/>
      <c r="F314" s="78"/>
      <c r="G314" s="78"/>
      <c r="H314" s="78"/>
      <c r="I314" s="78"/>
      <c r="J314" s="78"/>
      <c r="K314" s="78"/>
      <c r="L314" s="78"/>
      <c r="M314" s="78"/>
      <c r="N314" s="78"/>
      <c r="O314" s="78"/>
      <c r="P314" s="78"/>
      <c r="T314" s="78"/>
      <c r="U314" s="78"/>
      <c r="V314" s="78"/>
      <c r="W314" s="78"/>
      <c r="X314" s="78"/>
      <c r="Y314" s="78"/>
      <c r="Z314" s="78"/>
      <c r="AA314" s="78"/>
      <c r="AB314" s="78"/>
      <c r="AC314" s="78"/>
      <c r="AD314" s="78"/>
      <c r="AE314" s="78"/>
      <c r="AF314" s="78"/>
      <c r="AM314" s="78"/>
      <c r="AN314" s="78"/>
      <c r="AO314" s="78"/>
      <c r="AP314" s="78"/>
      <c r="AQ314" s="78"/>
      <c r="AR314" s="78"/>
    </row>
    <row r="315" spans="1:44" x14ac:dyDescent="0.2">
      <c r="A315" s="113">
        <v>16</v>
      </c>
      <c r="B315" s="201" t="str">
        <f t="shared" si="2"/>
        <v>Silver Kingissepp</v>
      </c>
      <c r="C315" s="666">
        <v>60</v>
      </c>
      <c r="D315" s="78"/>
      <c r="E315" s="78"/>
      <c r="F315" s="78"/>
      <c r="G315" s="78"/>
      <c r="H315" s="78"/>
      <c r="I315" s="78"/>
      <c r="J315" s="78"/>
      <c r="K315" s="78"/>
      <c r="L315" s="78"/>
      <c r="M315" s="78"/>
      <c r="N315" s="78"/>
      <c r="O315" s="78"/>
      <c r="P315" s="78"/>
      <c r="T315" s="78"/>
      <c r="U315" s="78"/>
      <c r="V315" s="78"/>
      <c r="W315" s="78"/>
      <c r="X315" s="78"/>
      <c r="Y315" s="78"/>
      <c r="Z315" s="78"/>
      <c r="AA315" s="78"/>
      <c r="AB315" s="78"/>
      <c r="AC315" s="78"/>
      <c r="AD315" s="78"/>
      <c r="AE315" s="78"/>
      <c r="AF315" s="78"/>
      <c r="AM315" s="78"/>
      <c r="AN315" s="78"/>
      <c r="AO315" s="78"/>
      <c r="AP315" s="78"/>
      <c r="AQ315" s="78"/>
      <c r="AR315" s="78"/>
    </row>
    <row r="316" spans="1:44" x14ac:dyDescent="0.2">
      <c r="A316" s="113">
        <v>17</v>
      </c>
      <c r="B316" s="201" t="str">
        <f t="shared" si="2"/>
        <v>Toomas Reede</v>
      </c>
      <c r="C316" s="666">
        <v>56</v>
      </c>
      <c r="D316" s="78"/>
      <c r="E316" s="78"/>
      <c r="F316" s="78"/>
      <c r="G316" s="78"/>
      <c r="H316" s="78"/>
      <c r="I316" s="78"/>
      <c r="J316" s="78"/>
      <c r="K316" s="78"/>
      <c r="L316" s="78"/>
      <c r="M316" s="78"/>
      <c r="N316" s="78"/>
      <c r="O316" s="78"/>
      <c r="P316" s="78"/>
      <c r="T316" s="78"/>
      <c r="U316" s="78"/>
      <c r="V316" s="78"/>
      <c r="W316" s="78"/>
      <c r="X316" s="78"/>
      <c r="Y316" s="78"/>
      <c r="Z316" s="78"/>
      <c r="AA316" s="78"/>
      <c r="AB316" s="78"/>
      <c r="AC316" s="78"/>
      <c r="AD316" s="78"/>
      <c r="AE316" s="78"/>
      <c r="AF316" s="78"/>
      <c r="AM316" s="78"/>
      <c r="AN316" s="78"/>
      <c r="AO316" s="78"/>
      <c r="AP316" s="78"/>
      <c r="AQ316" s="78"/>
      <c r="AR316" s="78"/>
    </row>
    <row r="317" spans="1:44" x14ac:dyDescent="0.2">
      <c r="A317" s="113">
        <v>18</v>
      </c>
      <c r="B317" s="201" t="str">
        <f t="shared" si="2"/>
        <v>Marek Lehis</v>
      </c>
      <c r="C317" s="666">
        <v>51</v>
      </c>
      <c r="D317" s="78"/>
      <c r="E317" s="78"/>
      <c r="F317" s="78"/>
      <c r="G317" s="78"/>
      <c r="H317" s="78"/>
      <c r="I317" s="78"/>
      <c r="J317" s="78"/>
      <c r="K317" s="78"/>
      <c r="L317" s="78"/>
      <c r="M317" s="78"/>
      <c r="N317" s="78"/>
      <c r="O317" s="78"/>
      <c r="P317" s="78"/>
      <c r="T317" s="78"/>
      <c r="U317" s="78"/>
      <c r="V317" s="78"/>
      <c r="W317" s="78"/>
      <c r="X317" s="78"/>
      <c r="Y317" s="78"/>
      <c r="Z317" s="78"/>
      <c r="AA317" s="78"/>
      <c r="AB317" s="78"/>
      <c r="AC317" s="78"/>
      <c r="AD317" s="78"/>
      <c r="AE317" s="78"/>
      <c r="AF317" s="78"/>
      <c r="AM317" s="78"/>
      <c r="AN317" s="78"/>
      <c r="AO317" s="78"/>
      <c r="AP317" s="78"/>
      <c r="AQ317" s="78"/>
      <c r="AR317" s="78"/>
    </row>
    <row r="318" spans="1:44" x14ac:dyDescent="0.2">
      <c r="A318" s="113">
        <v>19</v>
      </c>
      <c r="B318" s="201" t="str">
        <f t="shared" si="2"/>
        <v>Alari Keedus</v>
      </c>
      <c r="C318" s="666">
        <v>47</v>
      </c>
      <c r="D318" s="78"/>
      <c r="E318" s="78"/>
      <c r="F318" s="78"/>
      <c r="G318" s="78"/>
      <c r="H318" s="78"/>
      <c r="I318" s="78"/>
      <c r="J318" s="78"/>
      <c r="K318" s="78"/>
      <c r="L318" s="78"/>
      <c r="M318" s="78"/>
      <c r="N318" s="78"/>
      <c r="O318" s="78"/>
      <c r="P318" s="78"/>
      <c r="T318" s="78"/>
      <c r="U318" s="78"/>
      <c r="V318" s="78"/>
      <c r="W318" s="78"/>
      <c r="X318" s="78"/>
      <c r="Y318" s="78"/>
      <c r="Z318" s="78"/>
      <c r="AA318" s="78"/>
      <c r="AB318" s="78"/>
      <c r="AC318" s="78"/>
      <c r="AD318" s="78"/>
      <c r="AE318" s="78"/>
      <c r="AF318" s="78"/>
      <c r="AM318" s="78"/>
      <c r="AN318" s="78"/>
      <c r="AO318" s="78"/>
      <c r="AP318" s="78"/>
      <c r="AQ318" s="78"/>
      <c r="AR318" s="78"/>
    </row>
    <row r="319" spans="1:44" x14ac:dyDescent="0.2">
      <c r="A319" s="113">
        <v>20</v>
      </c>
      <c r="B319" s="201" t="str">
        <f t="shared" si="2"/>
        <v>Ülo Piik</v>
      </c>
      <c r="C319" s="666">
        <v>42</v>
      </c>
      <c r="D319" s="78"/>
      <c r="E319" s="78"/>
      <c r="F319" s="78"/>
      <c r="G319" s="78"/>
      <c r="H319" s="78"/>
      <c r="I319" s="78"/>
      <c r="J319" s="78"/>
      <c r="K319" s="78"/>
      <c r="L319" s="78"/>
      <c r="M319" s="78"/>
      <c r="N319" s="78"/>
      <c r="O319" s="78"/>
      <c r="P319" s="78"/>
      <c r="T319" s="78"/>
      <c r="U319" s="78"/>
      <c r="V319" s="78"/>
      <c r="W319" s="78"/>
      <c r="X319" s="78"/>
      <c r="Y319" s="78"/>
      <c r="Z319" s="78"/>
      <c r="AA319" s="78"/>
      <c r="AB319" s="78"/>
      <c r="AC319" s="78"/>
      <c r="AD319" s="78"/>
      <c r="AE319" s="78"/>
      <c r="AF319" s="78"/>
      <c r="AM319" s="78"/>
      <c r="AN319" s="78"/>
      <c r="AO319" s="78"/>
      <c r="AP319" s="78"/>
      <c r="AQ319" s="78"/>
      <c r="AR319" s="78"/>
    </row>
    <row r="320" spans="1:44" x14ac:dyDescent="0.2">
      <c r="A320" s="113">
        <v>21</v>
      </c>
      <c r="B320" s="201" t="str">
        <f t="shared" si="2"/>
        <v>Jaan Joonas</v>
      </c>
      <c r="C320" s="666">
        <v>38</v>
      </c>
      <c r="D320" s="78"/>
      <c r="E320" s="78"/>
      <c r="F320" s="78"/>
      <c r="G320" s="78"/>
      <c r="H320" s="78"/>
      <c r="I320" s="78"/>
      <c r="J320" s="78"/>
      <c r="K320" s="78"/>
      <c r="L320" s="78"/>
      <c r="M320" s="78"/>
      <c r="N320" s="78"/>
      <c r="O320" s="78"/>
      <c r="P320" s="78"/>
      <c r="T320" s="78"/>
      <c r="U320" s="78"/>
      <c r="V320" s="78"/>
      <c r="W320" s="78"/>
      <c r="X320" s="78"/>
      <c r="Y320" s="78"/>
      <c r="Z320" s="78"/>
      <c r="AA320" s="78"/>
      <c r="AB320" s="78"/>
      <c r="AC320" s="78"/>
      <c r="AD320" s="78"/>
      <c r="AE320" s="78"/>
      <c r="AF320" s="78"/>
      <c r="AM320" s="78"/>
      <c r="AN320" s="78"/>
      <c r="AO320" s="78"/>
      <c r="AP320" s="78"/>
      <c r="AQ320" s="78"/>
      <c r="AR320" s="78"/>
    </row>
    <row r="321" spans="1:44" x14ac:dyDescent="0.2">
      <c r="A321" s="113">
        <v>22</v>
      </c>
      <c r="B321" s="201" t="str">
        <f t="shared" si="2"/>
        <v>Oskar Sepp</v>
      </c>
      <c r="C321" s="666">
        <v>33</v>
      </c>
      <c r="D321" s="78"/>
      <c r="E321" s="78"/>
      <c r="F321" s="78"/>
      <c r="G321" s="78"/>
      <c r="H321" s="78"/>
      <c r="I321" s="78"/>
      <c r="J321" s="78"/>
      <c r="K321" s="78"/>
      <c r="L321" s="78"/>
      <c r="M321" s="78"/>
      <c r="N321" s="78"/>
      <c r="O321" s="78"/>
      <c r="P321" s="78"/>
      <c r="T321" s="78"/>
      <c r="U321" s="78"/>
      <c r="V321" s="78"/>
      <c r="W321" s="78"/>
      <c r="X321" s="78"/>
      <c r="Y321" s="78"/>
      <c r="Z321" s="78"/>
      <c r="AA321" s="78"/>
      <c r="AB321" s="78"/>
      <c r="AC321" s="78"/>
      <c r="AD321" s="78"/>
      <c r="AE321" s="78"/>
      <c r="AF321" s="78"/>
      <c r="AM321" s="78"/>
      <c r="AN321" s="78"/>
      <c r="AO321" s="78"/>
      <c r="AP321" s="78"/>
      <c r="AQ321" s="78"/>
      <c r="AR321" s="78"/>
    </row>
    <row r="322" spans="1:44" x14ac:dyDescent="0.2">
      <c r="A322" s="113">
        <v>23</v>
      </c>
      <c r="B322" s="201" t="str">
        <f t="shared" si="2"/>
        <v>Peep Peenema</v>
      </c>
      <c r="C322" s="666">
        <v>29</v>
      </c>
      <c r="D322" s="78"/>
      <c r="E322" s="78"/>
      <c r="F322" s="78"/>
      <c r="G322" s="78"/>
      <c r="H322" s="78"/>
      <c r="I322" s="78"/>
      <c r="J322" s="78"/>
      <c r="K322" s="78"/>
      <c r="L322" s="78"/>
      <c r="M322" s="78"/>
      <c r="N322" s="78"/>
      <c r="O322" s="78"/>
      <c r="P322" s="78"/>
      <c r="T322" s="78"/>
      <c r="U322" s="78"/>
      <c r="V322" s="78"/>
      <c r="W322" s="78"/>
      <c r="X322" s="78"/>
      <c r="Y322" s="78"/>
      <c r="Z322" s="78"/>
      <c r="AA322" s="78"/>
      <c r="AB322" s="78"/>
      <c r="AC322" s="78"/>
      <c r="AD322" s="78"/>
      <c r="AE322" s="78"/>
      <c r="AF322" s="78"/>
      <c r="AM322" s="78"/>
      <c r="AN322" s="78"/>
      <c r="AO322" s="78"/>
      <c r="AP322" s="78"/>
      <c r="AQ322" s="78"/>
      <c r="AR322" s="78"/>
    </row>
    <row r="323" spans="1:44" x14ac:dyDescent="0.2">
      <c r="A323" s="113">
        <v>24</v>
      </c>
      <c r="B323" s="201" t="str">
        <f t="shared" si="2"/>
        <v>Andres Veski</v>
      </c>
      <c r="C323" s="666">
        <v>24</v>
      </c>
      <c r="D323" s="78"/>
      <c r="E323" s="78"/>
      <c r="F323" s="78"/>
      <c r="G323" s="78"/>
      <c r="H323" s="78"/>
      <c r="I323" s="78"/>
      <c r="J323" s="78"/>
      <c r="K323" s="78"/>
      <c r="L323" s="78"/>
      <c r="M323" s="78"/>
      <c r="N323" s="78"/>
      <c r="O323" s="78"/>
      <c r="P323" s="78"/>
      <c r="T323" s="78"/>
      <c r="U323" s="78"/>
      <c r="V323" s="78"/>
      <c r="W323" s="78"/>
      <c r="X323" s="78"/>
      <c r="Y323" s="78"/>
      <c r="Z323" s="78"/>
      <c r="AA323" s="78"/>
      <c r="AB323" s="78"/>
      <c r="AC323" s="78"/>
      <c r="AD323" s="78"/>
      <c r="AE323" s="78"/>
      <c r="AF323" s="78"/>
      <c r="AM323" s="78"/>
      <c r="AN323" s="78"/>
      <c r="AO323" s="78"/>
      <c r="AP323" s="78"/>
      <c r="AQ323" s="78"/>
      <c r="AR323" s="78"/>
    </row>
    <row r="324" spans="1:44" x14ac:dyDescent="0.2">
      <c r="A324" s="113">
        <v>25</v>
      </c>
      <c r="B324" s="201" t="str">
        <f t="shared" si="2"/>
        <v>Oleg Rõndenkov</v>
      </c>
      <c r="C324" s="666">
        <v>21</v>
      </c>
      <c r="D324" s="78"/>
      <c r="E324" s="78"/>
      <c r="F324" s="78"/>
      <c r="G324" s="78"/>
      <c r="H324" s="78"/>
      <c r="I324" s="78"/>
      <c r="J324" s="78"/>
      <c r="K324" s="78"/>
      <c r="L324" s="78"/>
      <c r="M324" s="78"/>
      <c r="N324" s="78"/>
      <c r="O324" s="78"/>
      <c r="P324" s="78"/>
      <c r="T324" s="78"/>
      <c r="U324" s="78"/>
      <c r="V324" s="78"/>
      <c r="W324" s="78"/>
      <c r="X324" s="78"/>
      <c r="Y324" s="78"/>
      <c r="Z324" s="78"/>
      <c r="AA324" s="78"/>
      <c r="AB324" s="78"/>
      <c r="AC324" s="78"/>
      <c r="AD324" s="78"/>
      <c r="AE324" s="78"/>
      <c r="AF324" s="78"/>
      <c r="AM324" s="78"/>
      <c r="AN324" s="78"/>
      <c r="AO324" s="78"/>
      <c r="AP324" s="78"/>
      <c r="AQ324" s="78"/>
      <c r="AR324" s="78"/>
    </row>
    <row r="325" spans="1:44" hidden="1" x14ac:dyDescent="0.2">
      <c r="A325" s="78"/>
      <c r="B325" s="78"/>
      <c r="C325" s="666">
        <v>18</v>
      </c>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M325" s="78"/>
      <c r="AN325" s="78"/>
      <c r="AO325" s="78"/>
      <c r="AP325" s="78"/>
      <c r="AQ325" s="78"/>
      <c r="AR325" s="78"/>
    </row>
    <row r="326" spans="1:44" hidden="1" x14ac:dyDescent="0.2">
      <c r="A326" s="78"/>
      <c r="B326" s="78"/>
      <c r="C326" s="666">
        <v>16</v>
      </c>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M326" s="78"/>
      <c r="AN326" s="78"/>
      <c r="AO326" s="78"/>
      <c r="AP326" s="78"/>
      <c r="AQ326" s="78"/>
      <c r="AR326" s="78"/>
    </row>
    <row r="327" spans="1:44" hidden="1" x14ac:dyDescent="0.2">
      <c r="A327" s="78"/>
      <c r="B327" s="78"/>
      <c r="C327" s="666">
        <v>14</v>
      </c>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M327" s="78"/>
      <c r="AN327" s="78"/>
      <c r="AO327" s="78"/>
      <c r="AP327" s="78"/>
      <c r="AQ327" s="78"/>
      <c r="AR327" s="78"/>
    </row>
    <row r="328" spans="1:44" hidden="1" x14ac:dyDescent="0.2">
      <c r="A328" s="78"/>
      <c r="B328" s="78"/>
      <c r="C328" s="666">
        <v>12</v>
      </c>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M328" s="78"/>
      <c r="AN328" s="78"/>
      <c r="AO328" s="78"/>
      <c r="AP328" s="78"/>
      <c r="AQ328" s="78"/>
      <c r="AR328" s="78"/>
    </row>
    <row r="329" spans="1:44" hidden="1" x14ac:dyDescent="0.2">
      <c r="A329" s="78"/>
      <c r="B329" s="78"/>
      <c r="C329" s="666">
        <v>10</v>
      </c>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M329" s="78"/>
      <c r="AN329" s="78"/>
      <c r="AO329" s="78"/>
      <c r="AP329" s="78"/>
      <c r="AQ329" s="78"/>
      <c r="AR329" s="78"/>
    </row>
    <row r="330" spans="1:44" hidden="1" x14ac:dyDescent="0.2">
      <c r="A330" s="78"/>
      <c r="B330" s="78"/>
      <c r="C330" s="666">
        <v>8</v>
      </c>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M330" s="78"/>
      <c r="AN330" s="78"/>
      <c r="AO330" s="78"/>
      <c r="AP330" s="78"/>
      <c r="AQ330" s="78"/>
      <c r="AR330" s="78"/>
    </row>
    <row r="331" spans="1:44" hidden="1" x14ac:dyDescent="0.2">
      <c r="A331" s="78"/>
      <c r="B331" s="78"/>
      <c r="C331" s="666">
        <v>6</v>
      </c>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M331" s="78"/>
      <c r="AN331" s="78"/>
      <c r="AO331" s="78"/>
      <c r="AP331" s="78"/>
      <c r="AQ331" s="78"/>
      <c r="AR331" s="78"/>
    </row>
    <row r="332" spans="1:44" hidden="1" x14ac:dyDescent="0.2">
      <c r="A332" s="78"/>
      <c r="B332" s="78"/>
      <c r="C332" s="666">
        <v>3</v>
      </c>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M332" s="78"/>
      <c r="AN332" s="78"/>
      <c r="AO332" s="78"/>
      <c r="AP332" s="78"/>
      <c r="AQ332" s="78"/>
      <c r="AR332" s="78"/>
    </row>
    <row r="333" spans="1:44" hidden="1" x14ac:dyDescent="0.2">
      <c r="A333" s="78"/>
      <c r="B333" s="78"/>
      <c r="C333" s="666">
        <v>0</v>
      </c>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M333" s="78"/>
      <c r="AN333" s="78"/>
      <c r="AO333" s="78"/>
      <c r="AP333" s="78"/>
      <c r="AQ333" s="78"/>
      <c r="AR333" s="78"/>
    </row>
    <row r="334" spans="1:44" x14ac:dyDescent="0.2">
      <c r="A334" s="78"/>
      <c r="B334" s="78"/>
      <c r="C334" s="69"/>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c r="AP334" s="78"/>
      <c r="AQ334" s="78"/>
      <c r="AR334" s="78"/>
    </row>
    <row r="335" spans="1:44"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78"/>
      <c r="AQ335" s="78"/>
      <c r="AR335" s="78"/>
    </row>
    <row r="336" spans="1:44" x14ac:dyDescent="0.2">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c r="AP336" s="78"/>
      <c r="AQ336" s="78"/>
      <c r="AR336" s="78"/>
    </row>
  </sheetData>
  <conditionalFormatting sqref="R7:R31">
    <cfRule type="expression" dxfId="1099" priority="482">
      <formula>AND(S7="",COUNTIF(R7,"*,*")=0)</formula>
    </cfRule>
  </conditionalFormatting>
  <conditionalFormatting sqref="B25:B28">
    <cfRule type="duplicateValues" dxfId="1098" priority="432"/>
  </conditionalFormatting>
  <conditionalFormatting sqref="G25:G28">
    <cfRule type="containsText" dxfId="1097" priority="430" operator="containsText" text="2">
      <formula>NOT(ISERROR(SEARCH("2",G25)))</formula>
    </cfRule>
    <cfRule type="containsText" dxfId="1096" priority="431" operator="containsText" text="1">
      <formula>NOT(ISERROR(SEARCH("1",G25)))</formula>
    </cfRule>
  </conditionalFormatting>
  <conditionalFormatting sqref="G28">
    <cfRule type="expression" dxfId="1095" priority="429">
      <formula>B28="-"</formula>
    </cfRule>
  </conditionalFormatting>
  <conditionalFormatting sqref="C25 C28">
    <cfRule type="aboveAverage" dxfId="1094" priority="428"/>
  </conditionalFormatting>
  <conditionalFormatting sqref="C26:C27">
    <cfRule type="aboveAverage" dxfId="1093" priority="427"/>
  </conditionalFormatting>
  <conditionalFormatting sqref="E28">
    <cfRule type="expression" dxfId="1092" priority="426">
      <formula>AND(COUNT(E25:E28)&lt;2,IF(ISNUMBER(C28),C25&gt;C28))</formula>
    </cfRule>
  </conditionalFormatting>
  <conditionalFormatting sqref="E25">
    <cfRule type="expression" dxfId="1091" priority="425">
      <formula>AND(COUNT(E25:E28)&lt;2,IF(ISNUMBER(C25),C28&gt;C25))</formula>
    </cfRule>
  </conditionalFormatting>
  <conditionalFormatting sqref="E26">
    <cfRule type="expression" dxfId="1090" priority="424">
      <formula>AND(COUNT(E25:E28)&lt;2,IF(ISNUMBER(C26),C27&gt;C26))</formula>
    </cfRule>
  </conditionalFormatting>
  <conditionalFormatting sqref="E27">
    <cfRule type="expression" dxfId="1089" priority="423">
      <formula>AND(COUNT(E25:E28)&lt;2,IF(ISNUMBER(C27),C26&gt;C27))</formula>
    </cfRule>
  </conditionalFormatting>
  <conditionalFormatting sqref="E25:E28">
    <cfRule type="aboveAverage" dxfId="1088" priority="422"/>
  </conditionalFormatting>
  <conditionalFormatting sqref="F25">
    <cfRule type="expression" dxfId="1087" priority="417">
      <formula>AND(COUNT(F25:F28)&lt;2,IF(COUNT(E25:E28)=2,IF(AND(ISNUMBER(E25),COUNTIF(E25:E28,E25)=1,E25=MAX(E25:E28)),TRUE,FALSE)))</formula>
    </cfRule>
    <cfRule type="expression" dxfId="1086" priority="421">
      <formula>AND(COUNT(F25:F28)&lt;2,IF(COUNT(D25:D28)=2,IF(AND(ISNUMBER(D25),COUNTIF(D25:D28,D25)=1,D25=MIN(D25:D28)),TRUE,FALSE)))</formula>
    </cfRule>
  </conditionalFormatting>
  <conditionalFormatting sqref="F26">
    <cfRule type="expression" dxfId="1085" priority="416">
      <formula>AND(COUNT(F25:F28)&lt;2,IF(COUNT(E25:E28)=2,IF(AND(ISNUMBER(E26),COUNTIF(E25:E28,E26)=1,E26=MAX(E25:E28)),TRUE,FALSE)))</formula>
    </cfRule>
    <cfRule type="expression" dxfId="1084" priority="420">
      <formula>AND(COUNT(F25:F28)&lt;2,IF(COUNT(D25:D28)=2,IF(AND(ISNUMBER(D26),COUNTIF(D25:D28,D26)=1,D26=MIN(D25:D28)),TRUE,FALSE)))</formula>
    </cfRule>
  </conditionalFormatting>
  <conditionalFormatting sqref="F27">
    <cfRule type="expression" dxfId="1083" priority="415">
      <formula>AND(COUNT(F25:F28)&lt;2,IF(COUNT(E25:E28)=2,IF(AND(ISNUMBER(E27),COUNTIF(E25:E28,E27)=1,E27=MAX(E25:E28)),TRUE,FALSE)))</formula>
    </cfRule>
    <cfRule type="expression" dxfId="1082" priority="419">
      <formula>AND(COUNT(F25:F28)&lt;2,IF(COUNT(D25:D28)=2,IF(AND(ISNUMBER(D27),COUNTIF(D25:D28,D27)=1,D27=MIN(D25:D28)),TRUE,FALSE)))</formula>
    </cfRule>
  </conditionalFormatting>
  <conditionalFormatting sqref="F28">
    <cfRule type="expression" dxfId="1081" priority="414">
      <formula>AND(COUNT(F25:F28)&lt;2,IF(COUNT(E25:E28)=2,IF(AND(ISNUMBER(E28),COUNTIF(E25:E28,E28)=1,E28=MAX(E25:E28)),TRUE,FALSE)))</formula>
    </cfRule>
    <cfRule type="expression" dxfId="1080" priority="418">
      <formula>AND(COUNT(F25:F28)&lt;2,IF(COUNT(D25:D28)=2,IF(AND(ISNUMBER(D28),COUNTIF(D25:D28,D28)=1,D28=MIN(D25:D28)),TRUE,FALSE)))</formula>
    </cfRule>
  </conditionalFormatting>
  <conditionalFormatting sqref="F25:F28">
    <cfRule type="aboveAverage" dxfId="1079" priority="413"/>
  </conditionalFormatting>
  <conditionalFormatting sqref="D25">
    <cfRule type="expression" dxfId="1078" priority="412">
      <formula>AND(COUNT(D25:D28)&lt;2,IF(ISNUMBER(C28),C25&gt;C28))</formula>
    </cfRule>
  </conditionalFormatting>
  <conditionalFormatting sqref="D26">
    <cfRule type="expression" dxfId="1077" priority="411">
      <formula>AND(COUNT(D25:D28)&lt;2,IF(ISNUMBER(C27),C26&gt;C27))</formula>
    </cfRule>
  </conditionalFormatting>
  <conditionalFormatting sqref="D27">
    <cfRule type="expression" dxfId="1076" priority="410">
      <formula>AND(COUNT(D25:D28)&lt;2,IF(ISNUMBER(C26),C27&gt;C26))</formula>
    </cfRule>
  </conditionalFormatting>
  <conditionalFormatting sqref="D28">
    <cfRule type="expression" dxfId="1075" priority="409">
      <formula>AND(COUNT(D25:D28)&lt;2,IF(ISNUMBER(C25),C28&gt;C25))</formula>
    </cfRule>
  </conditionalFormatting>
  <conditionalFormatting sqref="D25:D28">
    <cfRule type="aboveAverage" dxfId="1074" priority="408"/>
  </conditionalFormatting>
  <conditionalFormatting sqref="B13:B16">
    <cfRule type="duplicateValues" dxfId="1073" priority="285"/>
  </conditionalFormatting>
  <conditionalFormatting sqref="G13:G16">
    <cfRule type="containsText" dxfId="1072" priority="283" operator="containsText" text="2">
      <formula>NOT(ISERROR(SEARCH("2",G13)))</formula>
    </cfRule>
    <cfRule type="containsText" dxfId="1071" priority="284" operator="containsText" text="1">
      <formula>NOT(ISERROR(SEARCH("1",G13)))</formula>
    </cfRule>
  </conditionalFormatting>
  <conditionalFormatting sqref="G16">
    <cfRule type="expression" dxfId="1070" priority="282">
      <formula>B16="-"</formula>
    </cfRule>
  </conditionalFormatting>
  <conditionalFormatting sqref="C13 C16">
    <cfRule type="aboveAverage" dxfId="1069" priority="281"/>
  </conditionalFormatting>
  <conditionalFormatting sqref="C14:C15">
    <cfRule type="aboveAverage" dxfId="1068" priority="280"/>
  </conditionalFormatting>
  <conditionalFormatting sqref="E16">
    <cfRule type="expression" dxfId="1067" priority="279">
      <formula>AND(COUNT(E13:E16)&lt;2,IF(ISNUMBER(C16),C13&gt;C16))</formula>
    </cfRule>
  </conditionalFormatting>
  <conditionalFormatting sqref="E13">
    <cfRule type="expression" dxfId="1066" priority="278">
      <formula>AND(COUNT(E13:E16)&lt;2,IF(ISNUMBER(C13),C16&gt;C13))</formula>
    </cfRule>
  </conditionalFormatting>
  <conditionalFormatting sqref="E14">
    <cfRule type="expression" dxfId="1065" priority="277">
      <formula>AND(COUNT(E13:E16)&lt;2,IF(ISNUMBER(C14),C15&gt;C14))</formula>
    </cfRule>
  </conditionalFormatting>
  <conditionalFormatting sqref="E15">
    <cfRule type="expression" dxfId="1064" priority="276">
      <formula>AND(COUNT(E13:E16)&lt;2,IF(ISNUMBER(C15),C14&gt;C15))</formula>
    </cfRule>
  </conditionalFormatting>
  <conditionalFormatting sqref="E13:E16">
    <cfRule type="aboveAverage" dxfId="1063" priority="275"/>
  </conditionalFormatting>
  <conditionalFormatting sqref="F13">
    <cfRule type="expression" dxfId="1062" priority="270">
      <formula>AND(COUNT(F13:F16)&lt;2,IF(COUNT(E13:E16)=2,IF(AND(ISNUMBER(E13),COUNTIF(E13:E16,E13)=1,E13=MAX(E13:E16)),TRUE,FALSE)))</formula>
    </cfRule>
    <cfRule type="expression" dxfId="1061" priority="274">
      <formula>AND(COUNT(F13:F16)&lt;2,IF(COUNT(D13:D16)=2,IF(AND(ISNUMBER(D13),COUNTIF(D13:D16,D13)=1,D13=MIN(D13:D16)),TRUE,FALSE)))</formula>
    </cfRule>
  </conditionalFormatting>
  <conditionalFormatting sqref="F14">
    <cfRule type="expression" dxfId="1060" priority="269">
      <formula>AND(COUNT(F13:F16)&lt;2,IF(COUNT(E13:E16)=2,IF(AND(ISNUMBER(E14),COUNTIF(E13:E16,E14)=1,E14=MAX(E13:E16)),TRUE,FALSE)))</formula>
    </cfRule>
    <cfRule type="expression" dxfId="1059" priority="273">
      <formula>AND(COUNT(F13:F16)&lt;2,IF(COUNT(D13:D16)=2,IF(AND(ISNUMBER(D14),COUNTIF(D13:D16,D14)=1,D14=MIN(D13:D16)),TRUE,FALSE)))</formula>
    </cfRule>
  </conditionalFormatting>
  <conditionalFormatting sqref="F15">
    <cfRule type="expression" dxfId="1058" priority="268">
      <formula>AND(COUNT(F13:F16)&lt;2,IF(COUNT(E13:E16)=2,IF(AND(ISNUMBER(E15),COUNTIF(E13:E16,E15)=1,E15=MAX(E13:E16)),TRUE,FALSE)))</formula>
    </cfRule>
    <cfRule type="expression" dxfId="1057" priority="272">
      <formula>AND(COUNT(F13:F16)&lt;2,IF(COUNT(D13:D16)=2,IF(AND(ISNUMBER(D15),COUNTIF(D13:D16,D15)=1,D15=MIN(D13:D16)),TRUE,FALSE)))</formula>
    </cfRule>
  </conditionalFormatting>
  <conditionalFormatting sqref="F16">
    <cfRule type="expression" dxfId="1056" priority="267">
      <formula>AND(COUNT(F13:F16)&lt;2,IF(COUNT(E13:E16)=2,IF(AND(ISNUMBER(E16),COUNTIF(E13:E16,E16)=1,E16=MAX(E13:E16)),TRUE,FALSE)))</formula>
    </cfRule>
    <cfRule type="expression" dxfId="1055" priority="271">
      <formula>AND(COUNT(F13:F16)&lt;2,IF(COUNT(D13:D16)=2,IF(AND(ISNUMBER(D16),COUNTIF(D13:D16,D16)=1,D16=MIN(D13:D16)),TRUE,FALSE)))</formula>
    </cfRule>
  </conditionalFormatting>
  <conditionalFormatting sqref="F13:F16">
    <cfRule type="aboveAverage" dxfId="1054" priority="266"/>
  </conditionalFormatting>
  <conditionalFormatting sqref="D13">
    <cfRule type="expression" dxfId="1053" priority="265">
      <formula>AND(COUNT(D13:D16)&lt;2,IF(ISNUMBER(C16),C13&gt;C16))</formula>
    </cfRule>
  </conditionalFormatting>
  <conditionalFormatting sqref="D14">
    <cfRule type="expression" dxfId="1052" priority="264">
      <formula>AND(COUNT(D13:D16)&lt;2,IF(ISNUMBER(C15),C14&gt;C15))</formula>
    </cfRule>
  </conditionalFormatting>
  <conditionalFormatting sqref="D15">
    <cfRule type="expression" dxfId="1051" priority="263">
      <formula>AND(COUNT(D13:D16)&lt;2,IF(ISNUMBER(C14),C15&gt;C14))</formula>
    </cfRule>
  </conditionalFormatting>
  <conditionalFormatting sqref="D16">
    <cfRule type="expression" dxfId="1050" priority="262">
      <formula>AND(COUNT(D13:D16)&lt;2,IF(ISNUMBER(C13),C16&gt;C13))</formula>
    </cfRule>
  </conditionalFormatting>
  <conditionalFormatting sqref="D13:D16">
    <cfRule type="aboveAverage" dxfId="1049" priority="261"/>
  </conditionalFormatting>
  <conditionalFormatting sqref="B19:B22">
    <cfRule type="duplicateValues" dxfId="1048" priority="260"/>
  </conditionalFormatting>
  <conditionalFormatting sqref="G19:G22">
    <cfRule type="containsText" dxfId="1047" priority="258" operator="containsText" text="2">
      <formula>NOT(ISERROR(SEARCH("2",G19)))</formula>
    </cfRule>
    <cfRule type="containsText" dxfId="1046" priority="259" operator="containsText" text="1">
      <formula>NOT(ISERROR(SEARCH("1",G19)))</formula>
    </cfRule>
  </conditionalFormatting>
  <conditionalFormatting sqref="G22">
    <cfRule type="expression" dxfId="1045" priority="257">
      <formula>B22="-"</formula>
    </cfRule>
  </conditionalFormatting>
  <conditionalFormatting sqref="C19 C22">
    <cfRule type="aboveAverage" dxfId="1044" priority="256"/>
  </conditionalFormatting>
  <conditionalFormatting sqref="C20:C21">
    <cfRule type="aboveAverage" dxfId="1043" priority="255"/>
  </conditionalFormatting>
  <conditionalFormatting sqref="E22">
    <cfRule type="expression" dxfId="1042" priority="254">
      <formula>AND(COUNT(E19:E22)&lt;2,IF(ISNUMBER(C22),C19&gt;C22))</formula>
    </cfRule>
  </conditionalFormatting>
  <conditionalFormatting sqref="E19">
    <cfRule type="expression" dxfId="1041" priority="253">
      <formula>AND(COUNT(E19:E22)&lt;2,IF(ISNUMBER(C19),C22&gt;C19))</formula>
    </cfRule>
  </conditionalFormatting>
  <conditionalFormatting sqref="E20">
    <cfRule type="expression" dxfId="1040" priority="252">
      <formula>AND(COUNT(E19:E22)&lt;2,IF(ISNUMBER(C20),C21&gt;C20))</formula>
    </cfRule>
  </conditionalFormatting>
  <conditionalFormatting sqref="E21">
    <cfRule type="expression" dxfId="1039" priority="251">
      <formula>AND(COUNT(E19:E22)&lt;2,IF(ISNUMBER(C21),C20&gt;C21))</formula>
    </cfRule>
  </conditionalFormatting>
  <conditionalFormatting sqref="E19:E22">
    <cfRule type="aboveAverage" dxfId="1038" priority="250"/>
  </conditionalFormatting>
  <conditionalFormatting sqref="F19">
    <cfRule type="expression" dxfId="1037" priority="245">
      <formula>AND(COUNT(F19:F22)&lt;2,IF(COUNT(E19:E22)=2,IF(AND(ISNUMBER(E19),COUNTIF(E19:E22,E19)=1,E19=MAX(E19:E22)),TRUE,FALSE)))</formula>
    </cfRule>
    <cfRule type="expression" dxfId="1036" priority="249">
      <formula>AND(COUNT(F19:F22)&lt;2,IF(COUNT(D19:D22)=2,IF(AND(ISNUMBER(D19),COUNTIF(D19:D22,D19)=1,D19=MIN(D19:D22)),TRUE,FALSE)))</formula>
    </cfRule>
  </conditionalFormatting>
  <conditionalFormatting sqref="F20">
    <cfRule type="expression" dxfId="1035" priority="244">
      <formula>AND(COUNT(F19:F22)&lt;2,IF(COUNT(E19:E22)=2,IF(AND(ISNUMBER(E20),COUNTIF(E19:E22,E20)=1,E20=MAX(E19:E22)),TRUE,FALSE)))</formula>
    </cfRule>
    <cfRule type="expression" dxfId="1034" priority="248">
      <formula>AND(COUNT(F19:F22)&lt;2,IF(COUNT(D19:D22)=2,IF(AND(ISNUMBER(D20),COUNTIF(D19:D22,D20)=1,D20=MIN(D19:D22)),TRUE,FALSE)))</formula>
    </cfRule>
  </conditionalFormatting>
  <conditionalFormatting sqref="F21">
    <cfRule type="expression" dxfId="1033" priority="243">
      <formula>AND(COUNT(F19:F22)&lt;2,IF(COUNT(E19:E22)=2,IF(AND(ISNUMBER(E21),COUNTIF(E19:E22,E21)=1,E21=MAX(E19:E22)),TRUE,FALSE)))</formula>
    </cfRule>
    <cfRule type="expression" dxfId="1032" priority="247">
      <formula>AND(COUNT(F19:F22)&lt;2,IF(COUNT(D19:D22)=2,IF(AND(ISNUMBER(D21),COUNTIF(D19:D22,D21)=1,D21=MIN(D19:D22)),TRUE,FALSE)))</formula>
    </cfRule>
  </conditionalFormatting>
  <conditionalFormatting sqref="F22">
    <cfRule type="expression" dxfId="1031" priority="242">
      <formula>AND(COUNT(F19:F22)&lt;2,IF(COUNT(E19:E22)=2,IF(AND(ISNUMBER(E22),COUNTIF(E19:E22,E22)=1,E22=MAX(E19:E22)),TRUE,FALSE)))</formula>
    </cfRule>
    <cfRule type="expression" dxfId="1030" priority="246">
      <formula>AND(COUNT(F19:F22)&lt;2,IF(COUNT(D19:D22)=2,IF(AND(ISNUMBER(D22),COUNTIF(D19:D22,D22)=1,D22=MIN(D19:D22)),TRUE,FALSE)))</formula>
    </cfRule>
  </conditionalFormatting>
  <conditionalFormatting sqref="F19:F22">
    <cfRule type="aboveAverage" dxfId="1029" priority="241"/>
  </conditionalFormatting>
  <conditionalFormatting sqref="D19">
    <cfRule type="expression" dxfId="1028" priority="240">
      <formula>AND(COUNT(D19:D22)&lt;2,IF(ISNUMBER(C22),C19&gt;C22))</formula>
    </cfRule>
  </conditionalFormatting>
  <conditionalFormatting sqref="D20">
    <cfRule type="expression" dxfId="1027" priority="239">
      <formula>AND(COUNT(D19:D22)&lt;2,IF(ISNUMBER(C21),C20&gt;C21))</formula>
    </cfRule>
  </conditionalFormatting>
  <conditionalFormatting sqref="D21">
    <cfRule type="expression" dxfId="1026" priority="238">
      <formula>AND(COUNT(D19:D22)&lt;2,IF(ISNUMBER(C20),C21&gt;C20))</formula>
    </cfRule>
  </conditionalFormatting>
  <conditionalFormatting sqref="D22">
    <cfRule type="expression" dxfId="1025" priority="237">
      <formula>AND(COUNT(D19:D22)&lt;2,IF(ISNUMBER(C19),C22&gt;C19))</formula>
    </cfRule>
  </conditionalFormatting>
  <conditionalFormatting sqref="D19:D22">
    <cfRule type="aboveAverage" dxfId="1024" priority="236"/>
  </conditionalFormatting>
  <conditionalFormatting sqref="B31:B34">
    <cfRule type="duplicateValues" dxfId="1023" priority="235"/>
  </conditionalFormatting>
  <conditionalFormatting sqref="G31:G34">
    <cfRule type="containsText" dxfId="1022" priority="233" operator="containsText" text="2">
      <formula>NOT(ISERROR(SEARCH("2",G31)))</formula>
    </cfRule>
    <cfRule type="containsText" dxfId="1021" priority="234" operator="containsText" text="1">
      <formula>NOT(ISERROR(SEARCH("1",G31)))</formula>
    </cfRule>
  </conditionalFormatting>
  <conditionalFormatting sqref="G34">
    <cfRule type="expression" dxfId="1020" priority="232">
      <formula>B34="-"</formula>
    </cfRule>
  </conditionalFormatting>
  <conditionalFormatting sqref="C31 C34">
    <cfRule type="aboveAverage" dxfId="1019" priority="231"/>
  </conditionalFormatting>
  <conditionalFormatting sqref="C32:C33">
    <cfRule type="aboveAverage" dxfId="1018" priority="230"/>
  </conditionalFormatting>
  <conditionalFormatting sqref="E34">
    <cfRule type="expression" dxfId="1017" priority="229">
      <formula>AND(COUNT(E31:E34)&lt;2,IF(ISNUMBER(C34),C31&gt;C34))</formula>
    </cfRule>
  </conditionalFormatting>
  <conditionalFormatting sqref="E31">
    <cfRule type="expression" dxfId="1016" priority="228">
      <formula>AND(COUNT(E31:E34)&lt;2,IF(ISNUMBER(C31),C34&gt;C31))</formula>
    </cfRule>
  </conditionalFormatting>
  <conditionalFormatting sqref="E32">
    <cfRule type="expression" dxfId="1015" priority="227">
      <formula>AND(COUNT(E31:E34)&lt;2,IF(ISNUMBER(C32),C33&gt;C32))</formula>
    </cfRule>
  </conditionalFormatting>
  <conditionalFormatting sqref="E33">
    <cfRule type="expression" dxfId="1014" priority="226">
      <formula>AND(COUNT(E31:E34)&lt;2,IF(ISNUMBER(C33),C32&gt;C33))</formula>
    </cfRule>
  </conditionalFormatting>
  <conditionalFormatting sqref="E31:E34">
    <cfRule type="aboveAverage" dxfId="1013" priority="225"/>
  </conditionalFormatting>
  <conditionalFormatting sqref="F31">
    <cfRule type="expression" dxfId="1012" priority="220">
      <formula>AND(COUNT(F31:F34)&lt;2,IF(COUNT(E31:E34)=2,IF(AND(ISNUMBER(E31),COUNTIF(E31:E34,E31)=1,E31=MAX(E31:E34)),TRUE,FALSE)))</formula>
    </cfRule>
    <cfRule type="expression" dxfId="1011" priority="224">
      <formula>AND(COUNT(F31:F34)&lt;2,IF(COUNT(D31:D34)=2,IF(AND(ISNUMBER(D31),COUNTIF(D31:D34,D31)=1,D31=MIN(D31:D34)),TRUE,FALSE)))</formula>
    </cfRule>
  </conditionalFormatting>
  <conditionalFormatting sqref="F32">
    <cfRule type="expression" dxfId="1010" priority="219">
      <formula>AND(COUNT(F31:F34)&lt;2,IF(COUNT(E31:E34)=2,IF(AND(ISNUMBER(E32),COUNTIF(E31:E34,E32)=1,E32=MAX(E31:E34)),TRUE,FALSE)))</formula>
    </cfRule>
    <cfRule type="expression" dxfId="1009" priority="223">
      <formula>AND(COUNT(F31:F34)&lt;2,IF(COUNT(D31:D34)=2,IF(AND(ISNUMBER(D32),COUNTIF(D31:D34,D32)=1,D32=MIN(D31:D34)),TRUE,FALSE)))</formula>
    </cfRule>
  </conditionalFormatting>
  <conditionalFormatting sqref="F33">
    <cfRule type="expression" dxfId="1008" priority="218">
      <formula>AND(COUNT(F31:F34)&lt;2,IF(COUNT(E31:E34)=2,IF(AND(ISNUMBER(E33),COUNTIF(E31:E34,E33)=1,E33=MAX(E31:E34)),TRUE,FALSE)))</formula>
    </cfRule>
    <cfRule type="expression" dxfId="1007" priority="222">
      <formula>AND(COUNT(F31:F34)&lt;2,IF(COUNT(D31:D34)=2,IF(AND(ISNUMBER(D33),COUNTIF(D31:D34,D33)=1,D33=MIN(D31:D34)),TRUE,FALSE)))</formula>
    </cfRule>
  </conditionalFormatting>
  <conditionalFormatting sqref="F34">
    <cfRule type="expression" dxfId="1006" priority="217">
      <formula>AND(COUNT(F31:F34)&lt;2,IF(COUNT(E31:E34)=2,IF(AND(ISNUMBER(E34),COUNTIF(E31:E34,E34)=1,E34=MAX(E31:E34)),TRUE,FALSE)))</formula>
    </cfRule>
    <cfRule type="expression" dxfId="1005" priority="221">
      <formula>AND(COUNT(F31:F34)&lt;2,IF(COUNT(D31:D34)=2,IF(AND(ISNUMBER(D34),COUNTIF(D31:D34,D34)=1,D34=MIN(D31:D34)),TRUE,FALSE)))</formula>
    </cfRule>
  </conditionalFormatting>
  <conditionalFormatting sqref="F31:F34">
    <cfRule type="aboveAverage" dxfId="1004" priority="216"/>
  </conditionalFormatting>
  <conditionalFormatting sqref="D31">
    <cfRule type="expression" dxfId="1003" priority="215">
      <formula>AND(COUNT(D31:D34)&lt;2,IF(ISNUMBER(C34),C31&gt;C34))</formula>
    </cfRule>
  </conditionalFormatting>
  <conditionalFormatting sqref="D32">
    <cfRule type="expression" dxfId="1002" priority="214">
      <formula>AND(COUNT(D31:D34)&lt;2,IF(ISNUMBER(C33),C32&gt;C33))</formula>
    </cfRule>
  </conditionalFormatting>
  <conditionalFormatting sqref="D33">
    <cfRule type="expression" dxfId="1001" priority="213">
      <formula>AND(COUNT(D31:D34)&lt;2,IF(ISNUMBER(C32),C33&gt;C32))</formula>
    </cfRule>
  </conditionalFormatting>
  <conditionalFormatting sqref="D34">
    <cfRule type="expression" dxfId="1000" priority="212">
      <formula>AND(COUNT(D31:D34)&lt;2,IF(ISNUMBER(C31),C34&gt;C31))</formula>
    </cfRule>
  </conditionalFormatting>
  <conditionalFormatting sqref="D31:D34">
    <cfRule type="aboveAverage" dxfId="999" priority="211"/>
  </conditionalFormatting>
  <conditionalFormatting sqref="B37:B40">
    <cfRule type="duplicateValues" dxfId="998" priority="210"/>
  </conditionalFormatting>
  <conditionalFormatting sqref="G37:G40">
    <cfRule type="containsText" dxfId="997" priority="208" operator="containsText" text="2">
      <formula>NOT(ISERROR(SEARCH("2",G37)))</formula>
    </cfRule>
    <cfRule type="containsText" dxfId="996" priority="209" operator="containsText" text="1">
      <formula>NOT(ISERROR(SEARCH("1",G37)))</formula>
    </cfRule>
  </conditionalFormatting>
  <conditionalFormatting sqref="G40">
    <cfRule type="expression" dxfId="995" priority="207">
      <formula>B40="-"</formula>
    </cfRule>
  </conditionalFormatting>
  <conditionalFormatting sqref="C37 C40">
    <cfRule type="aboveAverage" dxfId="994" priority="206"/>
  </conditionalFormatting>
  <conditionalFormatting sqref="C38:C39">
    <cfRule type="aboveAverage" dxfId="993" priority="205"/>
  </conditionalFormatting>
  <conditionalFormatting sqref="E40">
    <cfRule type="expression" dxfId="992" priority="204">
      <formula>AND(COUNT(E37:E40)&lt;2,IF(ISNUMBER(C40),C37&gt;C40))</formula>
    </cfRule>
  </conditionalFormatting>
  <conditionalFormatting sqref="E37">
    <cfRule type="expression" dxfId="991" priority="203">
      <formula>AND(COUNT(E37:E40)&lt;2,IF(ISNUMBER(C37),C40&gt;C37))</formula>
    </cfRule>
  </conditionalFormatting>
  <conditionalFormatting sqref="E38">
    <cfRule type="expression" dxfId="990" priority="202">
      <formula>AND(COUNT(E37:E40)&lt;2,IF(ISNUMBER(C38),C39&gt;C38))</formula>
    </cfRule>
  </conditionalFormatting>
  <conditionalFormatting sqref="E39">
    <cfRule type="expression" dxfId="989" priority="201">
      <formula>AND(COUNT(E37:E40)&lt;2,IF(ISNUMBER(C39),C38&gt;C39))</formula>
    </cfRule>
  </conditionalFormatting>
  <conditionalFormatting sqref="E37:E40">
    <cfRule type="aboveAverage" dxfId="988" priority="200"/>
  </conditionalFormatting>
  <conditionalFormatting sqref="F37">
    <cfRule type="expression" dxfId="987" priority="195">
      <formula>AND(COUNT(F37:F40)&lt;2,IF(COUNT(E37:E40)=2,IF(AND(ISNUMBER(E37),COUNTIF(E37:E40,E37)=1,E37=MAX(E37:E40)),TRUE,FALSE)))</formula>
    </cfRule>
    <cfRule type="expression" dxfId="986" priority="199">
      <formula>AND(COUNT(F37:F40)&lt;2,IF(COUNT(D37:D40)=2,IF(AND(ISNUMBER(D37),COUNTIF(D37:D40,D37)=1,D37=MIN(D37:D40)),TRUE,FALSE)))</formula>
    </cfRule>
  </conditionalFormatting>
  <conditionalFormatting sqref="F38">
    <cfRule type="expression" dxfId="985" priority="194">
      <formula>AND(COUNT(F37:F40)&lt;2,IF(COUNT(E37:E40)=2,IF(AND(ISNUMBER(E38),COUNTIF(E37:E40,E38)=1,E38=MAX(E37:E40)),TRUE,FALSE)))</formula>
    </cfRule>
    <cfRule type="expression" dxfId="984" priority="198">
      <formula>AND(COUNT(F37:F40)&lt;2,IF(COUNT(D37:D40)=2,IF(AND(ISNUMBER(D38),COUNTIF(D37:D40,D38)=1,D38=MIN(D37:D40)),TRUE,FALSE)))</formula>
    </cfRule>
  </conditionalFormatting>
  <conditionalFormatting sqref="F39">
    <cfRule type="expression" dxfId="983" priority="193">
      <formula>AND(COUNT(F37:F40)&lt;2,IF(COUNT(E37:E40)=2,IF(AND(ISNUMBER(E39),COUNTIF(E37:E40,E39)=1,E39=MAX(E37:E40)),TRUE,FALSE)))</formula>
    </cfRule>
    <cfRule type="expression" dxfId="982" priority="197">
      <formula>AND(COUNT(F37:F40)&lt;2,IF(COUNT(D37:D40)=2,IF(AND(ISNUMBER(D39),COUNTIF(D37:D40,D39)=1,D39=MIN(D37:D40)),TRUE,FALSE)))</formula>
    </cfRule>
  </conditionalFormatting>
  <conditionalFormatting sqref="F40">
    <cfRule type="expression" dxfId="981" priority="192">
      <formula>AND(COUNT(F37:F40)&lt;2,IF(COUNT(E37:E40)=2,IF(AND(ISNUMBER(E40),COUNTIF(E37:E40,E40)=1,E40=MAX(E37:E40)),TRUE,FALSE)))</formula>
    </cfRule>
    <cfRule type="expression" dxfId="980" priority="196">
      <formula>AND(COUNT(F37:F40)&lt;2,IF(COUNT(D37:D40)=2,IF(AND(ISNUMBER(D40),COUNTIF(D37:D40,D40)=1,D40=MIN(D37:D40)),TRUE,FALSE)))</formula>
    </cfRule>
  </conditionalFormatting>
  <conditionalFormatting sqref="F37:F40">
    <cfRule type="aboveAverage" dxfId="979" priority="191"/>
  </conditionalFormatting>
  <conditionalFormatting sqref="D37">
    <cfRule type="expression" dxfId="978" priority="190">
      <formula>AND(COUNT(D37:D40)&lt;2,IF(ISNUMBER(C40),C37&gt;C40))</formula>
    </cfRule>
  </conditionalFormatting>
  <conditionalFormatting sqref="D38">
    <cfRule type="expression" dxfId="977" priority="189">
      <formula>AND(COUNT(D37:D40)&lt;2,IF(ISNUMBER(C39),C38&gt;C39))</formula>
    </cfRule>
  </conditionalFormatting>
  <conditionalFormatting sqref="D39">
    <cfRule type="expression" dxfId="976" priority="188">
      <formula>AND(COUNT(D37:D40)&lt;2,IF(ISNUMBER(C38),C39&gt;C38))</formula>
    </cfRule>
  </conditionalFormatting>
  <conditionalFormatting sqref="D40">
    <cfRule type="expression" dxfId="975" priority="187">
      <formula>AND(COUNT(D37:D40)&lt;2,IF(ISNUMBER(C37),C40&gt;C37))</formula>
    </cfRule>
  </conditionalFormatting>
  <conditionalFormatting sqref="D37:D40">
    <cfRule type="aboveAverage" dxfId="974" priority="186"/>
  </conditionalFormatting>
  <conditionalFormatting sqref="B43:B46">
    <cfRule type="duplicateValues" dxfId="973" priority="185"/>
  </conditionalFormatting>
  <conditionalFormatting sqref="G43:G46">
    <cfRule type="containsText" dxfId="972" priority="183" operator="containsText" text="2">
      <formula>NOT(ISERROR(SEARCH("2",G43)))</formula>
    </cfRule>
    <cfRule type="containsText" dxfId="971" priority="184" operator="containsText" text="1">
      <formula>NOT(ISERROR(SEARCH("1",G43)))</formula>
    </cfRule>
  </conditionalFormatting>
  <conditionalFormatting sqref="G46">
    <cfRule type="expression" dxfId="970" priority="182">
      <formula>B46="-"</formula>
    </cfRule>
  </conditionalFormatting>
  <conditionalFormatting sqref="C43 C46">
    <cfRule type="aboveAverage" dxfId="969" priority="181"/>
  </conditionalFormatting>
  <conditionalFormatting sqref="C44:C45">
    <cfRule type="aboveAverage" dxfId="968" priority="180"/>
  </conditionalFormatting>
  <conditionalFormatting sqref="E46">
    <cfRule type="expression" dxfId="967" priority="179">
      <formula>AND(COUNT(E43:E46)&lt;2,IF(ISNUMBER(C46),C43&gt;C46))</formula>
    </cfRule>
  </conditionalFormatting>
  <conditionalFormatting sqref="E43">
    <cfRule type="expression" dxfId="966" priority="178">
      <formula>AND(COUNT(E43:E46)&lt;2,IF(ISNUMBER(C43),C46&gt;C43))</formula>
    </cfRule>
  </conditionalFormatting>
  <conditionalFormatting sqref="E44">
    <cfRule type="expression" dxfId="965" priority="177">
      <formula>AND(COUNT(E43:E46)&lt;2,IF(ISNUMBER(C44),C45&gt;C44))</formula>
    </cfRule>
  </conditionalFormatting>
  <conditionalFormatting sqref="E45">
    <cfRule type="expression" dxfId="964" priority="176">
      <formula>AND(COUNT(E43:E46)&lt;2,IF(ISNUMBER(C45),C44&gt;C45))</formula>
    </cfRule>
  </conditionalFormatting>
  <conditionalFormatting sqref="E43:E46">
    <cfRule type="aboveAverage" dxfId="963" priority="175"/>
  </conditionalFormatting>
  <conditionalFormatting sqref="F43">
    <cfRule type="expression" dxfId="962" priority="170">
      <formula>AND(COUNT(F43:F46)&lt;2,IF(COUNT(E43:E46)=2,IF(AND(ISNUMBER(E43),COUNTIF(E43:E46,E43)=1,E43=MAX(E43:E46)),TRUE,FALSE)))</formula>
    </cfRule>
    <cfRule type="expression" dxfId="961" priority="174">
      <formula>AND(COUNT(F43:F46)&lt;2,IF(COUNT(D43:D46)=2,IF(AND(ISNUMBER(D43),COUNTIF(D43:D46,D43)=1,D43=MIN(D43:D46)),TRUE,FALSE)))</formula>
    </cfRule>
  </conditionalFormatting>
  <conditionalFormatting sqref="F44">
    <cfRule type="expression" dxfId="960" priority="169">
      <formula>AND(COUNT(F43:F46)&lt;2,IF(COUNT(E43:E46)=2,IF(AND(ISNUMBER(E44),COUNTIF(E43:E46,E44)=1,E44=MAX(E43:E46)),TRUE,FALSE)))</formula>
    </cfRule>
    <cfRule type="expression" dxfId="959" priority="173">
      <formula>AND(COUNT(F43:F46)&lt;2,IF(COUNT(D43:D46)=2,IF(AND(ISNUMBER(D44),COUNTIF(D43:D46,D44)=1,D44=MIN(D43:D46)),TRUE,FALSE)))</formula>
    </cfRule>
  </conditionalFormatting>
  <conditionalFormatting sqref="F45">
    <cfRule type="expression" dxfId="958" priority="168">
      <formula>AND(COUNT(F43:F46)&lt;2,IF(COUNT(E43:E46)=2,IF(AND(ISNUMBER(E45),COUNTIF(E43:E46,E45)=1,E45=MAX(E43:E46)),TRUE,FALSE)))</formula>
    </cfRule>
    <cfRule type="expression" dxfId="957" priority="172">
      <formula>AND(COUNT(F43:F46)&lt;2,IF(COUNT(D43:D46)=2,IF(AND(ISNUMBER(D45),COUNTIF(D43:D46,D45)=1,D45=MIN(D43:D46)),TRUE,FALSE)))</formula>
    </cfRule>
  </conditionalFormatting>
  <conditionalFormatting sqref="F46">
    <cfRule type="expression" dxfId="956" priority="167">
      <formula>AND(COUNT(F43:F46)&lt;2,IF(COUNT(E43:E46)=2,IF(AND(ISNUMBER(E46),COUNTIF(E43:E46,E46)=1,E46=MAX(E43:E46)),TRUE,FALSE)))</formula>
    </cfRule>
    <cfRule type="expression" dxfId="955" priority="171">
      <formula>AND(COUNT(F43:F46)&lt;2,IF(COUNT(D43:D46)=2,IF(AND(ISNUMBER(D46),COUNTIF(D43:D46,D46)=1,D46=MIN(D43:D46)),TRUE,FALSE)))</formula>
    </cfRule>
  </conditionalFormatting>
  <conditionalFormatting sqref="F43:F46">
    <cfRule type="aboveAverage" dxfId="954" priority="166"/>
  </conditionalFormatting>
  <conditionalFormatting sqref="D43">
    <cfRule type="expression" dxfId="953" priority="165">
      <formula>AND(COUNT(D43:D46)&lt;2,IF(ISNUMBER(C46),C43&gt;C46))</formula>
    </cfRule>
  </conditionalFormatting>
  <conditionalFormatting sqref="D44">
    <cfRule type="expression" dxfId="952" priority="164">
      <formula>AND(COUNT(D43:D46)&lt;2,IF(ISNUMBER(C45),C44&gt;C45))</formula>
    </cfRule>
  </conditionalFormatting>
  <conditionalFormatting sqref="D45">
    <cfRule type="expression" dxfId="951" priority="163">
      <formula>AND(COUNT(D43:D46)&lt;2,IF(ISNUMBER(C44),C45&gt;C44))</formula>
    </cfRule>
  </conditionalFormatting>
  <conditionalFormatting sqref="D46">
    <cfRule type="expression" dxfId="950" priority="162">
      <formula>AND(COUNT(D43:D46)&lt;2,IF(ISNUMBER(C43),C46&gt;C43))</formula>
    </cfRule>
  </conditionalFormatting>
  <conditionalFormatting sqref="D43:D46">
    <cfRule type="aboveAverage" dxfId="949" priority="161"/>
  </conditionalFormatting>
  <conditionalFormatting sqref="B49:B52">
    <cfRule type="duplicateValues" dxfId="948" priority="160"/>
  </conditionalFormatting>
  <conditionalFormatting sqref="G49:G52">
    <cfRule type="containsText" dxfId="947" priority="158" operator="containsText" text="2">
      <formula>NOT(ISERROR(SEARCH("2",G49)))</formula>
    </cfRule>
    <cfRule type="containsText" dxfId="946" priority="159" operator="containsText" text="1">
      <formula>NOT(ISERROR(SEARCH("1",G49)))</formula>
    </cfRule>
  </conditionalFormatting>
  <conditionalFormatting sqref="G52">
    <cfRule type="expression" dxfId="945" priority="157">
      <formula>B52="-"</formula>
    </cfRule>
  </conditionalFormatting>
  <conditionalFormatting sqref="C49 C52">
    <cfRule type="aboveAverage" dxfId="944" priority="156"/>
  </conditionalFormatting>
  <conditionalFormatting sqref="C50:C51">
    <cfRule type="aboveAverage" dxfId="943" priority="155"/>
  </conditionalFormatting>
  <conditionalFormatting sqref="E52">
    <cfRule type="expression" dxfId="942" priority="154">
      <formula>AND(COUNT(E49:E52)&lt;2,IF(ISNUMBER(C52),C49&gt;C52))</formula>
    </cfRule>
  </conditionalFormatting>
  <conditionalFormatting sqref="E49">
    <cfRule type="expression" dxfId="941" priority="153">
      <formula>AND(COUNT(E49:E52)&lt;2,IF(ISNUMBER(C49),C52&gt;C49))</formula>
    </cfRule>
  </conditionalFormatting>
  <conditionalFormatting sqref="E50">
    <cfRule type="expression" dxfId="940" priority="152">
      <formula>AND(COUNT(E49:E52)&lt;2,IF(ISNUMBER(C50),C51&gt;C50))</formula>
    </cfRule>
  </conditionalFormatting>
  <conditionalFormatting sqref="E51">
    <cfRule type="expression" dxfId="939" priority="151">
      <formula>AND(COUNT(E49:E52)&lt;2,IF(ISNUMBER(C51),C50&gt;C51))</formula>
    </cfRule>
  </conditionalFormatting>
  <conditionalFormatting sqref="E49:E52">
    <cfRule type="aboveAverage" dxfId="938" priority="150"/>
  </conditionalFormatting>
  <conditionalFormatting sqref="F49">
    <cfRule type="expression" dxfId="937" priority="145">
      <formula>AND(COUNT(F49:F52)&lt;2,IF(COUNT(E49:E52)=2,IF(AND(ISNUMBER(E49),COUNTIF(E49:E52,E49)=1,E49=MAX(E49:E52)),TRUE,FALSE)))</formula>
    </cfRule>
    <cfRule type="expression" dxfId="936" priority="149">
      <formula>AND(COUNT(F49:F52)&lt;2,IF(COUNT(D49:D52)=2,IF(AND(ISNUMBER(D49),COUNTIF(D49:D52,D49)=1,D49=MIN(D49:D52)),TRUE,FALSE)))</formula>
    </cfRule>
  </conditionalFormatting>
  <conditionalFormatting sqref="F50">
    <cfRule type="expression" dxfId="935" priority="144">
      <formula>AND(COUNT(F49:F52)&lt;2,IF(COUNT(E49:E52)=2,IF(AND(ISNUMBER(E50),COUNTIF(E49:E52,E50)=1,E50=MAX(E49:E52)),TRUE,FALSE)))</formula>
    </cfRule>
    <cfRule type="expression" dxfId="934" priority="148">
      <formula>AND(COUNT(F49:F52)&lt;2,IF(COUNT(D49:D52)=2,IF(AND(ISNUMBER(D50),COUNTIF(D49:D52,D50)=1,D50=MIN(D49:D52)),TRUE,FALSE)))</formula>
    </cfRule>
  </conditionalFormatting>
  <conditionalFormatting sqref="F51">
    <cfRule type="expression" dxfId="933" priority="143">
      <formula>AND(COUNT(F49:F52)&lt;2,IF(COUNT(E49:E52)=2,IF(AND(ISNUMBER(E51),COUNTIF(E49:E52,E51)=1,E51=MAX(E49:E52)),TRUE,FALSE)))</formula>
    </cfRule>
    <cfRule type="expression" dxfId="932" priority="147">
      <formula>AND(COUNT(F49:F52)&lt;2,IF(COUNT(D49:D52)=2,IF(AND(ISNUMBER(D51),COUNTIF(D49:D52,D51)=1,D51=MIN(D49:D52)),TRUE,FALSE)))</formula>
    </cfRule>
  </conditionalFormatting>
  <conditionalFormatting sqref="F52">
    <cfRule type="expression" dxfId="931" priority="142">
      <formula>AND(COUNT(F49:F52)&lt;2,IF(COUNT(E49:E52)=2,IF(AND(ISNUMBER(E52),COUNTIF(E49:E52,E52)=1,E52=MAX(E49:E52)),TRUE,FALSE)))</formula>
    </cfRule>
    <cfRule type="expression" dxfId="930" priority="146">
      <formula>AND(COUNT(F49:F52)&lt;2,IF(COUNT(D49:D52)=2,IF(AND(ISNUMBER(D52),COUNTIF(D49:D52,D52)=1,D52=MIN(D49:D52)),TRUE,FALSE)))</formula>
    </cfRule>
  </conditionalFormatting>
  <conditionalFormatting sqref="F49:F52">
    <cfRule type="aboveAverage" dxfId="929" priority="141"/>
  </conditionalFormatting>
  <conditionalFormatting sqref="D49">
    <cfRule type="expression" dxfId="928" priority="140">
      <formula>AND(COUNT(D49:D52)&lt;2,IF(ISNUMBER(C52),C49&gt;C52))</formula>
    </cfRule>
  </conditionalFormatting>
  <conditionalFormatting sqref="D50">
    <cfRule type="expression" dxfId="927" priority="139">
      <formula>AND(COUNT(D49:D52)&lt;2,IF(ISNUMBER(C51),C50&gt;C51))</formula>
    </cfRule>
  </conditionalFormatting>
  <conditionalFormatting sqref="D51">
    <cfRule type="expression" dxfId="926" priority="138">
      <formula>AND(COUNT(D49:D52)&lt;2,IF(ISNUMBER(C50),C51&gt;C50))</formula>
    </cfRule>
  </conditionalFormatting>
  <conditionalFormatting sqref="D52">
    <cfRule type="expression" dxfId="925" priority="137">
      <formula>AND(COUNT(D49:D52)&lt;2,IF(ISNUMBER(C49),C52&gt;C49))</formula>
    </cfRule>
  </conditionalFormatting>
  <conditionalFormatting sqref="D49:D52">
    <cfRule type="aboveAverage" dxfId="924" priority="136"/>
  </conditionalFormatting>
  <conditionalFormatting sqref="A102:A132">
    <cfRule type="cellIs" dxfId="923" priority="106" operator="equal">
      <formula>"-"</formula>
    </cfRule>
    <cfRule type="duplicateValues" dxfId="922" priority="135"/>
  </conditionalFormatting>
  <conditionalFormatting sqref="G177 G179 G181 G183 I178 I182 I185 I187">
    <cfRule type="containsBlanks" dxfId="921" priority="53">
      <formula>LEN(TRIM(G177))=0</formula>
    </cfRule>
  </conditionalFormatting>
  <conditionalFormatting sqref="G138 G140">
    <cfRule type="aboveAverage" dxfId="920" priority="105"/>
  </conditionalFormatting>
  <conditionalFormatting sqref="G142 G144">
    <cfRule type="aboveAverage" dxfId="919" priority="104"/>
  </conditionalFormatting>
  <conditionalFormatting sqref="I139 I143">
    <cfRule type="aboveAverage" dxfId="918" priority="103"/>
  </conditionalFormatting>
  <conditionalFormatting sqref="I146 I148">
    <cfRule type="aboveAverage" dxfId="917" priority="102"/>
  </conditionalFormatting>
  <conditionalFormatting sqref="G138 G140 G142 G144 I139 I143 I146 I148">
    <cfRule type="containsBlanks" dxfId="916" priority="101">
      <formula>LEN(TRIM(G138))=0</formula>
    </cfRule>
  </conditionalFormatting>
  <conditionalFormatting sqref="C102 C104">
    <cfRule type="aboveAverage" dxfId="915" priority="100"/>
  </conditionalFormatting>
  <conditionalFormatting sqref="C106 C108">
    <cfRule type="aboveAverage" dxfId="914" priority="99"/>
  </conditionalFormatting>
  <conditionalFormatting sqref="E103 E107">
    <cfRule type="aboveAverage" dxfId="913" priority="98"/>
  </conditionalFormatting>
  <conditionalFormatting sqref="C110 C112">
    <cfRule type="aboveAverage" dxfId="912" priority="97"/>
  </conditionalFormatting>
  <conditionalFormatting sqref="C114 C116">
    <cfRule type="aboveAverage" dxfId="911" priority="96"/>
  </conditionalFormatting>
  <conditionalFormatting sqref="E111 E115">
    <cfRule type="aboveAverage" dxfId="910" priority="95"/>
  </conditionalFormatting>
  <conditionalFormatting sqref="G105 G113">
    <cfRule type="aboveAverage" dxfId="909" priority="94"/>
  </conditionalFormatting>
  <conditionalFormatting sqref="C118 C120">
    <cfRule type="aboveAverage" dxfId="908" priority="93"/>
  </conditionalFormatting>
  <conditionalFormatting sqref="C122 C124">
    <cfRule type="aboveAverage" dxfId="907" priority="92"/>
  </conditionalFormatting>
  <conditionalFormatting sqref="E119 E123">
    <cfRule type="aboveAverage" dxfId="906" priority="91"/>
  </conditionalFormatting>
  <conditionalFormatting sqref="C126 C128">
    <cfRule type="aboveAverage" dxfId="905" priority="90"/>
  </conditionalFormatting>
  <conditionalFormatting sqref="C130 C132">
    <cfRule type="aboveAverage" dxfId="904" priority="89"/>
  </conditionalFormatting>
  <conditionalFormatting sqref="E127 E131">
    <cfRule type="aboveAverage" dxfId="903" priority="88"/>
  </conditionalFormatting>
  <conditionalFormatting sqref="G121 G129">
    <cfRule type="aboveAverage" dxfId="902" priority="87"/>
  </conditionalFormatting>
  <conditionalFormatting sqref="I131 I133">
    <cfRule type="aboveAverage" dxfId="901" priority="86"/>
  </conditionalFormatting>
  <conditionalFormatting sqref="C102 C104 C106 C108 C110 C112 C114 C116 C118 C120 C122 C124 C126 C128 C130 C132 E103 E107 E111 E115 E119 E123 E127 E131 G105 G113 G121 G129 I131 I133">
    <cfRule type="containsBlanks" dxfId="900" priority="85">
      <formula>LEN(TRIM(C102))=0</formula>
    </cfRule>
  </conditionalFormatting>
  <conditionalFormatting sqref="I109 I125">
    <cfRule type="aboveAverage" dxfId="899" priority="84"/>
  </conditionalFormatting>
  <conditionalFormatting sqref="I109 I125">
    <cfRule type="containsBlanks" dxfId="898" priority="83">
      <formula>LEN(TRIM(I109))=0</formula>
    </cfRule>
  </conditionalFormatting>
  <conditionalFormatting sqref="B7:B10">
    <cfRule type="duplicateValues" dxfId="897" priority="82"/>
  </conditionalFormatting>
  <conditionalFormatting sqref="G7:G10">
    <cfRule type="containsText" dxfId="896" priority="80" operator="containsText" text="2">
      <formula>NOT(ISERROR(SEARCH("2",G7)))</formula>
    </cfRule>
    <cfRule type="containsText" dxfId="895" priority="81" operator="containsText" text="1">
      <formula>NOT(ISERROR(SEARCH("1",G7)))</formula>
    </cfRule>
  </conditionalFormatting>
  <conditionalFormatting sqref="G10">
    <cfRule type="expression" dxfId="894" priority="79">
      <formula>B10="-"</formula>
    </cfRule>
  </conditionalFormatting>
  <conditionalFormatting sqref="C7 C10">
    <cfRule type="aboveAverage" dxfId="893" priority="78"/>
  </conditionalFormatting>
  <conditionalFormatting sqref="C8:C9">
    <cfRule type="aboveAverage" dxfId="892" priority="77"/>
  </conditionalFormatting>
  <conditionalFormatting sqref="E10">
    <cfRule type="expression" dxfId="891" priority="76">
      <formula>AND(COUNT(E7:E10)&lt;2,IF(ISNUMBER(C10),C7&gt;C10))</formula>
    </cfRule>
  </conditionalFormatting>
  <conditionalFormatting sqref="E7">
    <cfRule type="expression" dxfId="890" priority="75">
      <formula>AND(COUNT(E7:E10)&lt;2,IF(ISNUMBER(C7),C10&gt;C7))</formula>
    </cfRule>
  </conditionalFormatting>
  <conditionalFormatting sqref="E8">
    <cfRule type="expression" dxfId="889" priority="74">
      <formula>AND(COUNT(E7:E10)&lt;2,IF(ISNUMBER(C8),C9&gt;C8))</formula>
    </cfRule>
  </conditionalFormatting>
  <conditionalFormatting sqref="E9">
    <cfRule type="expression" dxfId="888" priority="73">
      <formula>AND(COUNT(E7:E10)&lt;2,IF(ISNUMBER(C9),C8&gt;C9))</formula>
    </cfRule>
  </conditionalFormatting>
  <conditionalFormatting sqref="E7:E10">
    <cfRule type="aboveAverage" dxfId="887" priority="72"/>
  </conditionalFormatting>
  <conditionalFormatting sqref="F7">
    <cfRule type="expression" dxfId="886" priority="67">
      <formula>AND(COUNT(F7:F10)&lt;2,IF(COUNT(E7:E10)=2,IF(AND(ISNUMBER(E7),COUNTIF(E7:E10,E7)=1,E7=MAX(E7:E10)),TRUE,FALSE)))</formula>
    </cfRule>
    <cfRule type="expression" dxfId="885" priority="71">
      <formula>AND(COUNT(F7:F10)&lt;2,IF(COUNT(D7:D10)=2,IF(AND(ISNUMBER(D7),COUNTIF(D7:D10,D7)=1,D7=MIN(D7:D10)),TRUE,FALSE)))</formula>
    </cfRule>
  </conditionalFormatting>
  <conditionalFormatting sqref="F8">
    <cfRule type="expression" dxfId="884" priority="66">
      <formula>AND(COUNT(F7:F10)&lt;2,IF(COUNT(E7:E10)=2,IF(AND(ISNUMBER(E8),COUNTIF(E7:E10,E8)=1,E8=MAX(E7:E10)),TRUE,FALSE)))</formula>
    </cfRule>
    <cfRule type="expression" dxfId="883" priority="70">
      <formula>AND(COUNT(F7:F10)&lt;2,IF(COUNT(D7:D10)=2,IF(AND(ISNUMBER(D8),COUNTIF(D7:D10,D8)=1,D8=MIN(D7:D10)),TRUE,FALSE)))</formula>
    </cfRule>
  </conditionalFormatting>
  <conditionalFormatting sqref="F9">
    <cfRule type="expression" dxfId="882" priority="65">
      <formula>AND(COUNT(F7:F10)&lt;2,IF(COUNT(E7:E10)=2,IF(AND(ISNUMBER(E9),COUNTIF(E7:E10,E9)=1,E9=MAX(E7:E10)),TRUE,FALSE)))</formula>
    </cfRule>
    <cfRule type="expression" dxfId="881" priority="69">
      <formula>AND(COUNT(F7:F10)&lt;2,IF(COUNT(D7:D10)=2,IF(AND(ISNUMBER(D9),COUNTIF(D7:D10,D9)=1,D9=MIN(D7:D10)),TRUE,FALSE)))</formula>
    </cfRule>
  </conditionalFormatting>
  <conditionalFormatting sqref="F10">
    <cfRule type="expression" dxfId="880" priority="64">
      <formula>AND(COUNT(F7:F10)&lt;2,IF(COUNT(E7:E10)=2,IF(AND(ISNUMBER(E10),COUNTIF(E7:E10,E10)=1,E10=MAX(E7:E10)),TRUE,FALSE)))</formula>
    </cfRule>
    <cfRule type="expression" dxfId="879" priority="68">
      <formula>AND(COUNT(F7:F10)&lt;2,IF(COUNT(D7:D10)=2,IF(AND(ISNUMBER(D10),COUNTIF(D7:D10,D10)=1,D10=MIN(D7:D10)),TRUE,FALSE)))</formula>
    </cfRule>
  </conditionalFormatting>
  <conditionalFormatting sqref="F7:F10">
    <cfRule type="aboveAverage" dxfId="878" priority="63"/>
  </conditionalFormatting>
  <conditionalFormatting sqref="D7">
    <cfRule type="expression" dxfId="877" priority="62">
      <formula>AND(COUNT(D7:D10)&lt;2,IF(ISNUMBER(C10),C7&gt;C10))</formula>
    </cfRule>
  </conditionalFormatting>
  <conditionalFormatting sqref="D8">
    <cfRule type="expression" dxfId="876" priority="61">
      <formula>AND(COUNT(D7:D10)&lt;2,IF(ISNUMBER(C9),C8&gt;C9))</formula>
    </cfRule>
  </conditionalFormatting>
  <conditionalFormatting sqref="D9">
    <cfRule type="expression" dxfId="875" priority="60">
      <formula>AND(COUNT(D7:D10)&lt;2,IF(ISNUMBER(C8),C9&gt;C8))</formula>
    </cfRule>
  </conditionalFormatting>
  <conditionalFormatting sqref="D10">
    <cfRule type="expression" dxfId="874" priority="59">
      <formula>AND(COUNT(D7:D10)&lt;2,IF(ISNUMBER(C7),C10&gt;C7))</formula>
    </cfRule>
  </conditionalFormatting>
  <conditionalFormatting sqref="D7:D10">
    <cfRule type="aboveAverage" dxfId="873" priority="58"/>
  </conditionalFormatting>
  <conditionalFormatting sqref="G177 G179">
    <cfRule type="aboveAverage" dxfId="872" priority="57"/>
  </conditionalFormatting>
  <conditionalFormatting sqref="G181 G183">
    <cfRule type="aboveAverage" dxfId="871" priority="56"/>
  </conditionalFormatting>
  <conditionalFormatting sqref="I178 I182">
    <cfRule type="aboveAverage" dxfId="870" priority="55"/>
  </conditionalFormatting>
  <conditionalFormatting sqref="I185 I187">
    <cfRule type="aboveAverage" dxfId="869" priority="54"/>
  </conditionalFormatting>
  <conditionalFormatting sqref="E155 E157">
    <cfRule type="aboveAverage" dxfId="868" priority="52"/>
  </conditionalFormatting>
  <conditionalFormatting sqref="E159 E161">
    <cfRule type="aboveAverage" dxfId="867" priority="51"/>
  </conditionalFormatting>
  <conditionalFormatting sqref="G156 G160">
    <cfRule type="aboveAverage" dxfId="866" priority="50"/>
  </conditionalFormatting>
  <conditionalFormatting sqref="E163 E165">
    <cfRule type="aboveAverage" dxfId="865" priority="49"/>
  </conditionalFormatting>
  <conditionalFormatting sqref="E167 E169">
    <cfRule type="aboveAverage" dxfId="864" priority="48"/>
  </conditionalFormatting>
  <conditionalFormatting sqref="G164 G168">
    <cfRule type="aboveAverage" dxfId="863" priority="47"/>
  </conditionalFormatting>
  <conditionalFormatting sqref="I158 I166">
    <cfRule type="aboveAverage" dxfId="862" priority="46"/>
  </conditionalFormatting>
  <conditionalFormatting sqref="I170 I172">
    <cfRule type="aboveAverage" dxfId="861" priority="45"/>
  </conditionalFormatting>
  <conditionalFormatting sqref="E155 E157 E159 E161 E163 E165 E167 E169 G156 G160 G164 G168 I158 I166 I170 I172">
    <cfRule type="containsBlanks" dxfId="860" priority="44">
      <formula>LEN(TRIM(E155))=0</formula>
    </cfRule>
  </conditionalFormatting>
  <conditionalFormatting sqref="G216 G218 G220 G222 I217 I221 I224 I226">
    <cfRule type="containsBlanks" dxfId="859" priority="14">
      <formula>LEN(TRIM(G216))=0</formula>
    </cfRule>
  </conditionalFormatting>
  <conditionalFormatting sqref="G216 G218">
    <cfRule type="aboveAverage" dxfId="858" priority="18"/>
  </conditionalFormatting>
  <conditionalFormatting sqref="G220 G222">
    <cfRule type="aboveAverage" dxfId="857" priority="17"/>
  </conditionalFormatting>
  <conditionalFormatting sqref="I217 I221">
    <cfRule type="aboveAverage" dxfId="856" priority="16"/>
  </conditionalFormatting>
  <conditionalFormatting sqref="I224 I226">
    <cfRule type="aboveAverage" dxfId="855" priority="15"/>
  </conditionalFormatting>
  <conditionalFormatting sqref="E194 E196">
    <cfRule type="aboveAverage" dxfId="854" priority="13"/>
  </conditionalFormatting>
  <conditionalFormatting sqref="E198 E200">
    <cfRule type="aboveAverage" dxfId="853" priority="12"/>
  </conditionalFormatting>
  <conditionalFormatting sqref="G195 G199">
    <cfRule type="aboveAverage" dxfId="852" priority="11"/>
  </conditionalFormatting>
  <conditionalFormatting sqref="E202 E204">
    <cfRule type="aboveAverage" dxfId="851" priority="10"/>
  </conditionalFormatting>
  <conditionalFormatting sqref="E206 E208">
    <cfRule type="aboveAverage" dxfId="850" priority="9"/>
  </conditionalFormatting>
  <conditionalFormatting sqref="G203 G207">
    <cfRule type="aboveAverage" dxfId="849" priority="8"/>
  </conditionalFormatting>
  <conditionalFormatting sqref="I197 I205">
    <cfRule type="aboveAverage" dxfId="848" priority="7"/>
  </conditionalFormatting>
  <conditionalFormatting sqref="I209 I211">
    <cfRule type="aboveAverage" dxfId="847" priority="6"/>
  </conditionalFormatting>
  <conditionalFormatting sqref="E194 E196 E198 E200 E202 E204 E206 E208 G195 G199 G203 G207 I197 I205 I209 I211">
    <cfRule type="containsBlanks" dxfId="846" priority="5">
      <formula>LEN(TRIM(E194))=0</formula>
    </cfRule>
  </conditionalFormatting>
  <conditionalFormatting sqref="B302">
    <cfRule type="expression" dxfId="845" priority="1">
      <formula>$A$302=3</formula>
    </cfRule>
  </conditionalFormatting>
  <conditionalFormatting sqref="B300:B302">
    <cfRule type="duplicateValues" dxfId="844" priority="4"/>
  </conditionalFormatting>
  <conditionalFormatting sqref="B300">
    <cfRule type="expression" dxfId="843" priority="3">
      <formula>$A$300=1</formula>
    </cfRule>
  </conditionalFormatting>
  <conditionalFormatting sqref="B301">
    <cfRule type="expression" dxfId="842" priority="2">
      <formula>$A$301=2</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rowBreaks count="4" manualBreakCount="4">
    <brk id="52" max="16383" man="1"/>
    <brk id="151" max="16383" man="1"/>
    <brk id="190" max="16383" man="1"/>
    <brk id="297"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335"/>
  <sheetViews>
    <sheetView showGridLines="0" showRowColHeaders="0" zoomScaleNormal="100" workbookViewId="0">
      <pane ySplit="2" topLeftCell="A3" activePane="bottomLeft" state="frozen"/>
      <selection activeCell="B1" sqref="B1"/>
      <selection pane="bottomLeft" activeCell="I1" sqref="I1"/>
    </sheetView>
  </sheetViews>
  <sheetFormatPr defaultRowHeight="12.75" x14ac:dyDescent="0.2"/>
  <cols>
    <col min="1" max="1" width="3.28515625" style="51" customWidth="1"/>
    <col min="2" max="2" width="16.42578125" style="51" bestFit="1" customWidth="1"/>
    <col min="3" max="3" width="7.28515625" style="51" customWidth="1"/>
    <col min="4" max="4" width="7.42578125" style="51" customWidth="1"/>
    <col min="5" max="5" width="9.140625" style="51"/>
    <col min="6" max="6" width="6.7109375" style="51" bestFit="1" customWidth="1"/>
    <col min="7" max="7" width="5.140625" style="51" customWidth="1"/>
    <col min="8" max="8" width="15" style="130" bestFit="1" customWidth="1"/>
    <col min="9" max="16" width="9.140625" style="51"/>
    <col min="17" max="17" width="0" style="51" hidden="1" customWidth="1"/>
    <col min="18" max="18" width="15" style="51" hidden="1" customWidth="1"/>
    <col min="19" max="19" width="6" style="51" hidden="1" customWidth="1"/>
    <col min="20" max="16384" width="9.140625" style="51"/>
  </cols>
  <sheetData>
    <row r="1" spans="1:19" x14ac:dyDescent="0.2">
      <c r="A1" s="605" t="str">
        <f>UPPER((Kalend!E23)&amp;" - "&amp;(Kalend!C23)&amp;" - "&amp;(Kalend!D23))</f>
        <v>8M - 28. EESTI MV - ÜKSIK</v>
      </c>
      <c r="E1" s="45" t="s">
        <v>166</v>
      </c>
      <c r="H1" s="46" t="str">
        <f>HYPERLINK("#Üldreiting!I1","Reiting")</f>
        <v>Reiting</v>
      </c>
      <c r="J1" s="130"/>
      <c r="Q1" s="683" t="s">
        <v>774</v>
      </c>
      <c r="R1" s="679"/>
      <c r="S1" s="679"/>
    </row>
    <row r="2" spans="1:19" x14ac:dyDescent="0.2">
      <c r="A2" s="67" t="str">
        <f>"Toimumisaeg: "&amp;(Kalend!A23)&amp;" kell "&amp;(Kalend!B23)</f>
        <v>Toimumisaeg: L, 04.08.2018 kell 10:30</v>
      </c>
    </row>
    <row r="3" spans="1:19" x14ac:dyDescent="0.2">
      <c r="A3" s="67" t="str">
        <f>"Toimumiskoht: "&amp;(Kalend!H23)</f>
        <v>Toimumiskoht: Jõhvi, Neptun</v>
      </c>
      <c r="Q3" s="681" t="s">
        <v>771</v>
      </c>
      <c r="R3" s="69"/>
      <c r="S3" s="69"/>
    </row>
    <row r="4" spans="1:19" x14ac:dyDescent="0.2">
      <c r="A4" s="67" t="str">
        <f>"Korraldaja: "&amp;(Kalend!I23)</f>
        <v>Korraldaja: Kohtla-Järve SHK, Ivar Viljaste</v>
      </c>
      <c r="Q4" s="667" t="s">
        <v>865</v>
      </c>
      <c r="R4" s="625"/>
      <c r="S4" s="625"/>
    </row>
    <row r="5" spans="1:19" s="130" customFormat="1" x14ac:dyDescent="0.2">
      <c r="Q5" s="667" t="s">
        <v>764</v>
      </c>
      <c r="R5" s="670" t="s">
        <v>765</v>
      </c>
      <c r="S5" s="670"/>
    </row>
    <row r="6" spans="1:19" s="130" customFormat="1" x14ac:dyDescent="0.2">
      <c r="A6" s="371" t="s">
        <v>563</v>
      </c>
      <c r="B6" s="816"/>
      <c r="C6" s="416" t="s">
        <v>572</v>
      </c>
      <c r="D6" s="371" t="s">
        <v>367</v>
      </c>
      <c r="E6" s="371" t="s">
        <v>368</v>
      </c>
      <c r="F6" s="416" t="s">
        <v>369</v>
      </c>
      <c r="G6" s="416" t="s">
        <v>25</v>
      </c>
      <c r="Q6" s="667" t="s">
        <v>769</v>
      </c>
      <c r="R6" s="625"/>
      <c r="S6" s="625"/>
    </row>
    <row r="7" spans="1:19" s="130" customFormat="1" x14ac:dyDescent="0.2">
      <c r="A7" s="371">
        <v>1</v>
      </c>
      <c r="B7" s="258" t="s">
        <v>54</v>
      </c>
      <c r="C7" s="817">
        <v>13</v>
      </c>
      <c r="D7" s="817">
        <v>13</v>
      </c>
      <c r="E7" s="200"/>
      <c r="F7" s="660"/>
      <c r="G7" s="200" t="str">
        <f>IF(AND(COUNT(F7:F10)=2,F7=MAX(F7:F10),COUNT(C7:F7)=3),A6&amp;"2",IF(AND(COUNT(E7:E10)=2,ISNUMBER(E7),E7=MIN(E7:E10),D7="",F7=""),A6&amp;"4",IF(AND(COUNT(D7:D10)=2,D7=MAX(D7:D10),E7="",F7=""),A6&amp;"1",IF(COUNT(F7:F10)=2,A6&amp;"3",""))))</f>
        <v>A1</v>
      </c>
      <c r="Q7" s="672">
        <f t="shared" ref="Q7:Q16" si="0">SUM(S300:AQ300)</f>
        <v>0</v>
      </c>
      <c r="R7" s="676" t="str">
        <f t="shared" ref="R7:R16" si="1">B300</f>
        <v>Katri Aavekukk</v>
      </c>
      <c r="S7" s="675">
        <f ca="1">IFERROR(INDEX(Üldreiting!$M:$M,MATCH(R7,Üldreiting!$H:$H,0)),"")</f>
        <v>1079</v>
      </c>
    </row>
    <row r="8" spans="1:19" s="130" customFormat="1" x14ac:dyDescent="0.2">
      <c r="A8" s="371">
        <v>2</v>
      </c>
      <c r="B8" s="208" t="s">
        <v>204</v>
      </c>
      <c r="C8" s="818">
        <v>10</v>
      </c>
      <c r="D8" s="817"/>
      <c r="E8" s="200">
        <f>IF(AND(B10="-",ISNUMBER(C8),C8&lt;C9),13,"")</f>
        <v>13</v>
      </c>
      <c r="F8" s="660">
        <v>13</v>
      </c>
      <c r="G8" s="200" t="str">
        <f>IF(AND(COUNT(F7:F10)=2,F8=MAX(F7:F10),COUNT(C8:F8)=3),A6&amp;"2",IF(AND(COUNT(E7:E10)=2,ISNUMBER(E8),E8=MIN(E7:E10),D8="",F8=""),A6&amp;"4",IF(AND(COUNT(D7:D10)=2,D8=MAX(D7:D10),E8="",F8=""),A6&amp;"1",IF(COUNT(F7:F10)=2,A6&amp;"3",""))))</f>
        <v>A2</v>
      </c>
      <c r="Q8" s="672">
        <f t="shared" si="0"/>
        <v>0</v>
      </c>
      <c r="R8" s="676" t="str">
        <f t="shared" si="1"/>
        <v>Varje Reede</v>
      </c>
      <c r="S8" s="675">
        <f ca="1">IFERROR(INDEX(Üldreiting!$M:$M,MATCH(R8,Üldreiting!$H:$H,0)),"")</f>
        <v>841</v>
      </c>
    </row>
    <row r="9" spans="1:19" s="130" customFormat="1" x14ac:dyDescent="0.2">
      <c r="A9" s="371">
        <v>3</v>
      </c>
      <c r="B9" s="208" t="s">
        <v>866</v>
      </c>
      <c r="C9" s="818">
        <v>13</v>
      </c>
      <c r="D9" s="200">
        <v>11</v>
      </c>
      <c r="E9" s="200" t="str">
        <f>IF(AND(B10="-",ISNUMBER(C9),C9&lt;C8),13,"")</f>
        <v/>
      </c>
      <c r="F9" s="660">
        <v>11</v>
      </c>
      <c r="G9" s="200" t="str">
        <f>IF(AND(COUNT(F7:F10)=2,F9=MAX(F7:F10),COUNT(C9:F9)=3),A6&amp;"2",IF(AND(COUNT(E7:E10)=2,ISNUMBER(E9),E9=MIN(E7:E10),D9="",F9=""),A6&amp;"4",IF(AND(COUNT(D7:D10)=2,D9=MAX(D7:D10),E9="",F9=""),A6&amp;"1",IF(COUNT(F7:F10)=2,A6&amp;"3",""))))</f>
        <v>A3</v>
      </c>
      <c r="Q9" s="672">
        <f t="shared" si="0"/>
        <v>0</v>
      </c>
      <c r="R9" s="676" t="str">
        <f t="shared" si="1"/>
        <v>Merike Aava</v>
      </c>
      <c r="S9" s="675">
        <f ca="1">IFERROR(INDEX(Üldreiting!$M:$M,MATCH(R9,Üldreiting!$H:$H,0)),"")</f>
        <v>536</v>
      </c>
    </row>
    <row r="10" spans="1:19" s="130" customFormat="1" x14ac:dyDescent="0.2">
      <c r="A10" s="371">
        <v>4</v>
      </c>
      <c r="B10" s="207" t="s">
        <v>573</v>
      </c>
      <c r="C10" s="817">
        <f>IF(B10="-",0,"")</f>
        <v>0</v>
      </c>
      <c r="D10" s="817"/>
      <c r="E10" s="200">
        <f>IF(B10="-",0,"")</f>
        <v>0</v>
      </c>
      <c r="F10" s="660"/>
      <c r="G10" s="200" t="str">
        <f>IF(AND(COUNT(F7:F10)=2,F10=MAX(F7:F10),COUNT(C10:F10)=3),A6&amp;"2",IF(AND(COUNT(E7:E10)=2,ISNUMBER(E10),E10=MIN(E7:E10),D10="",F10=""),A6&amp;"4",IF(AND(COUNT(D7:D10)=2,D10=MAX(D7:D10),E10="",F10=""),A6&amp;"1",IF(COUNT(F7:F10)=2,A6&amp;"3",""))))</f>
        <v>A4</v>
      </c>
      <c r="Q10" s="672">
        <f t="shared" si="0"/>
        <v>0</v>
      </c>
      <c r="R10" s="676" t="str">
        <f t="shared" si="1"/>
        <v>Maive Sein</v>
      </c>
      <c r="S10" s="675">
        <f ca="1">IFERROR(INDEX(Üldreiting!$M:$M,MATCH(R10,Üldreiting!$H:$H,0)),"")</f>
        <v>785</v>
      </c>
    </row>
    <row r="11" spans="1:19" s="130" customFormat="1" x14ac:dyDescent="0.2">
      <c r="A11" s="69"/>
      <c r="B11" s="819"/>
      <c r="C11" s="69"/>
      <c r="D11" s="69"/>
      <c r="E11" s="69"/>
      <c r="F11" s="69"/>
      <c r="G11" s="819" t="s">
        <v>573</v>
      </c>
      <c r="Q11" s="672">
        <f t="shared" si="0"/>
        <v>0</v>
      </c>
      <c r="R11" s="676" t="str">
        <f t="shared" si="1"/>
        <v>Aigi Orro</v>
      </c>
      <c r="S11" s="675">
        <f ca="1">IFERROR(INDEX(Üldreiting!$M:$M,MATCH(R11,Üldreiting!$H:$H,0)),"")</f>
        <v>918.5</v>
      </c>
    </row>
    <row r="12" spans="1:19" s="130" customFormat="1" x14ac:dyDescent="0.2">
      <c r="A12" s="371" t="s">
        <v>853</v>
      </c>
      <c r="B12" s="816"/>
      <c r="C12" s="416" t="s">
        <v>572</v>
      </c>
      <c r="D12" s="371" t="s">
        <v>367</v>
      </c>
      <c r="E12" s="371" t="s">
        <v>368</v>
      </c>
      <c r="F12" s="416" t="s">
        <v>369</v>
      </c>
      <c r="G12" s="416" t="s">
        <v>25</v>
      </c>
      <c r="Q12" s="672">
        <f t="shared" si="0"/>
        <v>0</v>
      </c>
      <c r="R12" s="676" t="str">
        <f t="shared" si="1"/>
        <v>Marge Mägi</v>
      </c>
      <c r="S12" s="675">
        <f ca="1">IFERROR(INDEX(Üldreiting!$M:$M,MATCH(R12,Üldreiting!$H:$H,0)),"")</f>
        <v>745</v>
      </c>
    </row>
    <row r="13" spans="1:19" s="130" customFormat="1" x14ac:dyDescent="0.2">
      <c r="A13" s="371">
        <v>1</v>
      </c>
      <c r="B13" s="258" t="s">
        <v>62</v>
      </c>
      <c r="C13" s="817">
        <v>13</v>
      </c>
      <c r="D13" s="817">
        <v>13</v>
      </c>
      <c r="E13" s="200"/>
      <c r="F13" s="660"/>
      <c r="G13" s="200" t="str">
        <f>IF(AND(COUNT(F13:F16)=2,F13=MAX(F13:F16),COUNT(C13:F13)=3),A12&amp;"2",IF(AND(COUNT(E13:E16)=2,ISNUMBER(E13),E13=MIN(E13:E16),D13="",F13=""),A12&amp;"4",IF(AND(COUNT(D13:D16)=2,D13=MAX(D13:D16),E13="",F13=""),A12&amp;"1",IF(COUNT(F13:F16)=2,A12&amp;"3",""))))</f>
        <v>B1</v>
      </c>
      <c r="Q13" s="672">
        <f t="shared" si="0"/>
        <v>0</v>
      </c>
      <c r="R13" s="676" t="str">
        <f t="shared" si="1"/>
        <v>Marta Ruus</v>
      </c>
      <c r="S13" s="675">
        <f ca="1">IFERROR(INDEX(Üldreiting!$M:$M,MATCH(R13,Üldreiting!$H:$H,0)),"")</f>
        <v>371</v>
      </c>
    </row>
    <row r="14" spans="1:19" s="130" customFormat="1" x14ac:dyDescent="0.2">
      <c r="A14" s="371">
        <v>2</v>
      </c>
      <c r="B14" s="208" t="s">
        <v>35</v>
      </c>
      <c r="C14" s="818">
        <v>8</v>
      </c>
      <c r="D14" s="817"/>
      <c r="E14" s="200">
        <f>IF(AND(B16="-",ISNUMBER(C14),C14&lt;C15),13,"")</f>
        <v>13</v>
      </c>
      <c r="F14" s="660">
        <v>13</v>
      </c>
      <c r="G14" s="200" t="str">
        <f>IF(AND(COUNT(F13:F16)=2,F14=MAX(F13:F16),COUNT(C14:F14)=3),A12&amp;"2",IF(AND(COUNT(E13:E16)=2,ISNUMBER(E14),E14=MIN(E13:E16),D14="",F14=""),A12&amp;"4",IF(AND(COUNT(D13:D16)=2,D14=MAX(D13:D16),E14="",F14=""),A12&amp;"1",IF(COUNT(F13:F16)=2,A12&amp;"3",""))))</f>
        <v>B2</v>
      </c>
      <c r="Q14" s="672">
        <f t="shared" si="0"/>
        <v>0</v>
      </c>
      <c r="R14" s="676" t="str">
        <f t="shared" si="1"/>
        <v>Mare Kingissepp</v>
      </c>
      <c r="S14" s="675">
        <f ca="1">IFERROR(INDEX(Üldreiting!$M:$M,MATCH(R14,Üldreiting!$H:$H,0)),"")</f>
        <v>726</v>
      </c>
    </row>
    <row r="15" spans="1:19" s="130" customFormat="1" x14ac:dyDescent="0.2">
      <c r="A15" s="371">
        <v>3</v>
      </c>
      <c r="B15" s="208" t="s">
        <v>381</v>
      </c>
      <c r="C15" s="818">
        <v>13</v>
      </c>
      <c r="D15" s="200">
        <v>11</v>
      </c>
      <c r="E15" s="200" t="str">
        <f>IF(AND(B16="-",ISNUMBER(C15),C15&lt;C14),13,"")</f>
        <v/>
      </c>
      <c r="F15" s="660">
        <v>6</v>
      </c>
      <c r="G15" s="200" t="str">
        <f>IF(AND(COUNT(F13:F16)=2,F15=MAX(F13:F16),COUNT(C15:F15)=3),A12&amp;"2",IF(AND(COUNT(E13:E16)=2,ISNUMBER(E15),E15=MIN(E13:E16),D15="",F15=""),A12&amp;"4",IF(AND(COUNT(D13:D16)=2,D15=MAX(D13:D16),E15="",F15=""),A12&amp;"1",IF(COUNT(F13:F16)=2,A12&amp;"3",""))))</f>
        <v>B3</v>
      </c>
      <c r="Q15" s="672">
        <f t="shared" si="0"/>
        <v>0</v>
      </c>
      <c r="R15" s="676" t="str">
        <f t="shared" si="1"/>
        <v>Triin Gretel Tauk</v>
      </c>
      <c r="S15" s="675">
        <f ca="1">IFERROR(INDEX(Üldreiting!$M:$M,MATCH(R15,Üldreiting!$H:$H,0)),"")</f>
        <v>160</v>
      </c>
    </row>
    <row r="16" spans="1:19" s="130" customFormat="1" x14ac:dyDescent="0.2">
      <c r="A16" s="371">
        <v>4</v>
      </c>
      <c r="B16" s="207" t="s">
        <v>573</v>
      </c>
      <c r="C16" s="817">
        <f>IF(B16="-",0,"")</f>
        <v>0</v>
      </c>
      <c r="D16" s="817"/>
      <c r="E16" s="200">
        <f>IF(B16="-",0,"")</f>
        <v>0</v>
      </c>
      <c r="F16" s="660"/>
      <c r="G16" s="200" t="str">
        <f>IF(AND(COUNT(F13:F16)=2,F16=MAX(F13:F16),COUNT(C16:F16)=3),A12&amp;"2",IF(AND(COUNT(E13:E16)=2,ISNUMBER(E16),E16=MIN(E13:E16),D16="",F16=""),A12&amp;"4",IF(AND(COUNT(D13:D16)=2,D16=MAX(D13:D16),E16="",F16=""),A12&amp;"1",IF(COUNT(F13:F16)=2,A12&amp;"3",""))))</f>
        <v>B4</v>
      </c>
      <c r="Q16" s="672">
        <f t="shared" si="0"/>
        <v>0</v>
      </c>
      <c r="R16" s="676" t="str">
        <f t="shared" si="1"/>
        <v>Oksana Sažina</v>
      </c>
      <c r="S16" s="675">
        <f ca="1">IFERROR(INDEX(Üldreiting!$M:$M,MATCH(R16,Üldreiting!$H:$H,0)),"")</f>
        <v>29</v>
      </c>
    </row>
    <row r="17" spans="1:7" s="130" customFormat="1" x14ac:dyDescent="0.2">
      <c r="A17" s="69"/>
      <c r="B17" s="69"/>
      <c r="C17" s="69"/>
      <c r="D17" s="69"/>
      <c r="E17" s="69"/>
      <c r="F17" s="69"/>
      <c r="G17" s="69"/>
    </row>
    <row r="18" spans="1:7" s="130" customFormat="1" x14ac:dyDescent="0.2">
      <c r="A18" s="371" t="s">
        <v>854</v>
      </c>
      <c r="B18" s="816"/>
      <c r="C18" s="416" t="s">
        <v>572</v>
      </c>
      <c r="D18" s="371" t="s">
        <v>367</v>
      </c>
      <c r="E18" s="371" t="s">
        <v>368</v>
      </c>
      <c r="F18" s="416" t="s">
        <v>369</v>
      </c>
      <c r="G18" s="416" t="s">
        <v>25</v>
      </c>
    </row>
    <row r="19" spans="1:7" s="130" customFormat="1" x14ac:dyDescent="0.2">
      <c r="A19" s="371">
        <v>1</v>
      </c>
      <c r="B19" s="258" t="s">
        <v>721</v>
      </c>
      <c r="C19" s="817">
        <v>13</v>
      </c>
      <c r="D19" s="817">
        <v>13</v>
      </c>
      <c r="E19" s="200"/>
      <c r="F19" s="660"/>
      <c r="G19" s="200" t="str">
        <f>IF(AND(COUNT(F19:F22)=2,F19=MAX(F19:F22),COUNT(C19:F19)=3),A18&amp;"2",IF(AND(COUNT(E19:E22)=2,ISNUMBER(E19),E19=MIN(E19:E22),D19="",F19=""),A18&amp;"4",IF(AND(COUNT(D19:D22)=2,D19=MAX(D19:D22),E19="",F19=""),A18&amp;"1",IF(COUNT(F19:F22)=2,A18&amp;"3",""))))</f>
        <v>C1</v>
      </c>
    </row>
    <row r="20" spans="1:7" s="130" customFormat="1" x14ac:dyDescent="0.2">
      <c r="A20" s="371">
        <v>2</v>
      </c>
      <c r="B20" s="208" t="s">
        <v>31</v>
      </c>
      <c r="C20" s="818">
        <v>13</v>
      </c>
      <c r="D20" s="817">
        <v>12</v>
      </c>
      <c r="E20" s="200" t="str">
        <f>IF(AND(B22="-",ISNUMBER(C20),C20&lt;C21),13,"")</f>
        <v/>
      </c>
      <c r="F20" s="660"/>
      <c r="G20" s="827" t="s">
        <v>504</v>
      </c>
    </row>
    <row r="21" spans="1:7" s="130" customFormat="1" x14ac:dyDescent="0.2">
      <c r="A21" s="371">
        <v>3</v>
      </c>
      <c r="B21" s="208" t="s">
        <v>868</v>
      </c>
      <c r="C21" s="818">
        <v>0</v>
      </c>
      <c r="D21" s="200"/>
      <c r="E21" s="200">
        <f>IF(AND(B22="-",ISNUMBER(C21),C21&lt;C20),13,"")</f>
        <v>13</v>
      </c>
      <c r="F21" s="660"/>
      <c r="G21" s="200" t="str">
        <f>IF(AND(COUNT(F19:F22)=2,F21=MAX(F19:F22),COUNT(C21:F21)=3),A18&amp;"2",IF(AND(COUNT(E19:E22)=2,ISNUMBER(E21),E21=MIN(E19:E22),D21="",F21=""),A18&amp;"4",IF(AND(COUNT(D19:D22)=2,D21=MAX(D19:D22),E21="",F21=""),A18&amp;"1",IF(COUNT(F19:F22)=2,A18&amp;"3",""))))</f>
        <v/>
      </c>
    </row>
    <row r="22" spans="1:7" s="130" customFormat="1" x14ac:dyDescent="0.2">
      <c r="A22" s="371">
        <v>4</v>
      </c>
      <c r="B22" s="207" t="s">
        <v>573</v>
      </c>
      <c r="C22" s="817">
        <f>IF(B22="-",0,"")</f>
        <v>0</v>
      </c>
      <c r="D22" s="817"/>
      <c r="E22" s="200">
        <f>IF(B22="-",0,"")</f>
        <v>0</v>
      </c>
      <c r="F22" s="660"/>
      <c r="G22" s="200" t="str">
        <f>IF(AND(COUNT(F19:F22)=2,F22=MAX(F19:F22),COUNT(C22:F22)=3),A18&amp;"2",IF(AND(COUNT(E19:E22)=2,ISNUMBER(E22),E22=MIN(E19:E22),D22="",F22=""),A18&amp;"4",IF(AND(COUNT(D19:D22)=2,D22=MAX(D19:D22),E22="",F22=""),A18&amp;"1",IF(COUNT(F19:F22)=2,A18&amp;"3",""))))</f>
        <v>C4</v>
      </c>
    </row>
    <row r="23" spans="1:7" s="130" customFormat="1" x14ac:dyDescent="0.2">
      <c r="A23" s="238"/>
      <c r="B23" s="238"/>
      <c r="C23" s="238"/>
      <c r="D23" s="238"/>
      <c r="E23" s="238"/>
      <c r="F23" s="238"/>
      <c r="G23" s="238"/>
    </row>
    <row r="24" spans="1:7" s="130" customFormat="1" x14ac:dyDescent="0.2">
      <c r="A24" s="371" t="s">
        <v>855</v>
      </c>
      <c r="B24" s="816"/>
      <c r="C24" s="416" t="s">
        <v>572</v>
      </c>
      <c r="D24" s="371" t="s">
        <v>367</v>
      </c>
      <c r="E24" s="371" t="s">
        <v>368</v>
      </c>
      <c r="F24" s="416" t="s">
        <v>369</v>
      </c>
      <c r="G24" s="416" t="s">
        <v>25</v>
      </c>
    </row>
    <row r="25" spans="1:7" s="130" customFormat="1" x14ac:dyDescent="0.2">
      <c r="A25" s="371">
        <v>1</v>
      </c>
      <c r="B25" s="258" t="s">
        <v>85</v>
      </c>
      <c r="C25" s="817">
        <v>13</v>
      </c>
      <c r="D25" s="817">
        <v>13</v>
      </c>
      <c r="E25" s="200"/>
      <c r="F25" s="660"/>
      <c r="G25" s="200" t="str">
        <f>IF(AND(COUNT(F25:F28)=2,F25=MAX(F25:F28),COUNT(C25:F25)=3),A24&amp;"2",IF(AND(COUNT(E25:E28)=2,ISNUMBER(E25),E25=MIN(E25:E28),D25="",F25=""),A24&amp;"4",IF(AND(COUNT(D25:D28)=2,D25=MAX(D25:D28),E25="",F25=""),A24&amp;"1",IF(COUNT(F25:F28)=2,A24&amp;"3",""))))</f>
        <v>D1</v>
      </c>
    </row>
    <row r="26" spans="1:7" s="130" customFormat="1" x14ac:dyDescent="0.2">
      <c r="A26" s="371">
        <v>2</v>
      </c>
      <c r="B26" s="208" t="s">
        <v>51</v>
      </c>
      <c r="C26" s="818">
        <v>13</v>
      </c>
      <c r="D26" s="817">
        <v>7</v>
      </c>
      <c r="E26" s="200" t="str">
        <f>IF(AND(B28="-",ISNUMBER(C26),C26&lt;C27),13,"")</f>
        <v/>
      </c>
      <c r="F26" s="660"/>
      <c r="G26" s="827" t="s">
        <v>502</v>
      </c>
    </row>
    <row r="27" spans="1:7" s="130" customFormat="1" x14ac:dyDescent="0.2">
      <c r="A27" s="371">
        <v>3</v>
      </c>
      <c r="B27" s="208" t="s">
        <v>867</v>
      </c>
      <c r="C27" s="818">
        <v>0</v>
      </c>
      <c r="D27" s="200"/>
      <c r="E27" s="200">
        <f>IF(AND(B28="-",ISNUMBER(C27),C27&lt;C26),13,"")</f>
        <v>13</v>
      </c>
      <c r="F27" s="660"/>
      <c r="G27" s="200" t="str">
        <f>IF(AND(COUNT(F25:F28)=2,F27=MAX(F25:F28),COUNT(C27:F27)=3),A24&amp;"2",IF(AND(COUNT(E25:E28)=2,ISNUMBER(E27),E27=MIN(E25:E28),D27="",F27=""),A24&amp;"4",IF(AND(COUNT(D25:D28)=2,D27=MAX(D25:D28),E27="",F27=""),A24&amp;"1",IF(COUNT(F25:F28)=2,A24&amp;"3",""))))</f>
        <v/>
      </c>
    </row>
    <row r="28" spans="1:7" s="130" customFormat="1" x14ac:dyDescent="0.2">
      <c r="A28" s="371">
        <v>4</v>
      </c>
      <c r="B28" s="207" t="s">
        <v>573</v>
      </c>
      <c r="C28" s="817">
        <f>IF(B28="-",0,"")</f>
        <v>0</v>
      </c>
      <c r="D28" s="817"/>
      <c r="E28" s="200">
        <f>IF(B28="-",0,"")</f>
        <v>0</v>
      </c>
      <c r="F28" s="660"/>
      <c r="G28" s="200" t="str">
        <f>IF(AND(COUNT(F25:F28)=2,F28=MAX(F25:F28),COUNT(C28:F28)=3),A24&amp;"2",IF(AND(COUNT(E25:E28)=2,ISNUMBER(E28),E28=MIN(E25:E28),D28="",F28=""),A24&amp;"4",IF(AND(COUNT(D25:D28)=2,D28=MAX(D25:D28),E28="",F28=""),A24&amp;"1",IF(COUNT(F25:F28)=2,A24&amp;"3",""))))</f>
        <v>D4</v>
      </c>
    </row>
    <row r="29" spans="1:7" s="130" customFormat="1" hidden="1" x14ac:dyDescent="0.2"/>
    <row r="30" spans="1:7" s="130" customFormat="1" hidden="1" x14ac:dyDescent="0.2">
      <c r="A30" s="371" t="s">
        <v>856</v>
      </c>
      <c r="B30" s="816"/>
      <c r="C30" s="416" t="s">
        <v>572</v>
      </c>
      <c r="D30" s="371" t="s">
        <v>367</v>
      </c>
      <c r="E30" s="371" t="s">
        <v>368</v>
      </c>
      <c r="F30" s="416" t="s">
        <v>369</v>
      </c>
      <c r="G30" s="416" t="s">
        <v>25</v>
      </c>
    </row>
    <row r="31" spans="1:7" s="130" customFormat="1" hidden="1" x14ac:dyDescent="0.2">
      <c r="A31" s="371">
        <v>1</v>
      </c>
      <c r="B31" s="258"/>
      <c r="C31" s="817"/>
      <c r="D31" s="817"/>
      <c r="E31" s="200"/>
      <c r="F31" s="660"/>
      <c r="G31" s="200" t="str">
        <f>IF(AND(COUNT(F31:F34)=2,F31=MAX(F31:F34),COUNT(C31:F31)=3),A30&amp;"2",IF(AND(COUNT(E31:E34)=2,ISNUMBER(E31),E31=MIN(E31:E34),D31="",F31=""),A30&amp;"4",IF(AND(COUNT(D31:D34)=2,D31=MAX(D31:D34),E31="",F31=""),A30&amp;"1",IF(COUNT(F31:F34)=2,A30&amp;"3",""))))</f>
        <v/>
      </c>
    </row>
    <row r="32" spans="1:7" s="130" customFormat="1" hidden="1" x14ac:dyDescent="0.2">
      <c r="A32" s="371">
        <v>2</v>
      </c>
      <c r="B32" s="208"/>
      <c r="C32" s="818"/>
      <c r="D32" s="817"/>
      <c r="E32" s="200" t="str">
        <f>IF(AND(B34="-",ISNUMBER(C32),C32&lt;C33),13,"")</f>
        <v/>
      </c>
      <c r="F32" s="660"/>
      <c r="G32" s="200" t="str">
        <f>IF(AND(COUNT(F31:F34)=2,F32=MAX(F31:F34),COUNT(C32:F32)=3),A30&amp;"2",IF(AND(COUNT(E31:E34)=2,ISNUMBER(E32),E32=MIN(E31:E34),D32="",F32=""),A30&amp;"4",IF(AND(COUNT(D31:D34)=2,D32=MAX(D31:D34),E32="",F32=""),A30&amp;"1",IF(COUNT(F31:F34)=2,A30&amp;"3",""))))</f>
        <v/>
      </c>
    </row>
    <row r="33" spans="1:7" s="130" customFormat="1" hidden="1" x14ac:dyDescent="0.2">
      <c r="A33" s="371">
        <v>3</v>
      </c>
      <c r="B33" s="208"/>
      <c r="C33" s="818"/>
      <c r="D33" s="200"/>
      <c r="E33" s="200" t="str">
        <f>IF(AND(B34="-",ISNUMBER(C33),C33&lt;C32),13,"")</f>
        <v/>
      </c>
      <c r="F33" s="660"/>
      <c r="G33" s="200" t="str">
        <f>IF(AND(COUNT(F31:F34)=2,F33=MAX(F31:F34),COUNT(C33:F33)=3),A30&amp;"2",IF(AND(COUNT(E31:E34)=2,ISNUMBER(E33),E33=MIN(E31:E34),D33="",F33=""),A30&amp;"4",IF(AND(COUNT(D31:D34)=2,D33=MAX(D31:D34),E33="",F33=""),A30&amp;"1",IF(COUNT(F31:F34)=2,A30&amp;"3",""))))</f>
        <v/>
      </c>
    </row>
    <row r="34" spans="1:7" s="130" customFormat="1" hidden="1" x14ac:dyDescent="0.2">
      <c r="A34" s="371">
        <v>4</v>
      </c>
      <c r="B34" s="207"/>
      <c r="C34" s="817" t="str">
        <f>IF(B34="-",0,"")</f>
        <v/>
      </c>
      <c r="D34" s="817"/>
      <c r="E34" s="200" t="str">
        <f>IF(B34="-",0,"")</f>
        <v/>
      </c>
      <c r="F34" s="660"/>
      <c r="G34" s="200" t="str">
        <f>IF(AND(COUNT(F31:F34)=2,F34=MAX(F31:F34),COUNT(C34:F34)=3),A30&amp;"2",IF(AND(COUNT(E31:E34)=2,ISNUMBER(E34),E34=MIN(E31:E34),D34="",F34=""),A30&amp;"4",IF(AND(COUNT(D31:D34)=2,D34=MAX(D31:D34),E34="",F34=""),A30&amp;"1",IF(COUNT(F31:F34)=2,A30&amp;"3",""))))</f>
        <v/>
      </c>
    </row>
    <row r="35" spans="1:7" s="130" customFormat="1" hidden="1" x14ac:dyDescent="0.2">
      <c r="A35" s="69"/>
      <c r="B35" s="819"/>
      <c r="C35" s="69"/>
      <c r="D35" s="69"/>
      <c r="E35" s="69"/>
      <c r="F35" s="69"/>
      <c r="G35" s="819" t="s">
        <v>573</v>
      </c>
    </row>
    <row r="36" spans="1:7" s="130" customFormat="1" hidden="1" x14ac:dyDescent="0.2">
      <c r="A36" s="371" t="s">
        <v>857</v>
      </c>
      <c r="B36" s="816"/>
      <c r="C36" s="416" t="s">
        <v>572</v>
      </c>
      <c r="D36" s="371" t="s">
        <v>367</v>
      </c>
      <c r="E36" s="371" t="s">
        <v>368</v>
      </c>
      <c r="F36" s="416" t="s">
        <v>369</v>
      </c>
      <c r="G36" s="416" t="s">
        <v>25</v>
      </c>
    </row>
    <row r="37" spans="1:7" s="130" customFormat="1" hidden="1" x14ac:dyDescent="0.2">
      <c r="A37" s="371">
        <v>1</v>
      </c>
      <c r="B37" s="258"/>
      <c r="C37" s="817"/>
      <c r="D37" s="817"/>
      <c r="E37" s="200"/>
      <c r="F37" s="660"/>
      <c r="G37" s="200" t="str">
        <f>IF(AND(COUNT(F37:F40)=2,F37=MAX(F37:F40),COUNT(C37:F37)=3),A36&amp;"2",IF(AND(COUNT(E37:E40)=2,ISNUMBER(E37),E37=MIN(E37:E40),D37="",F37=""),A36&amp;"4",IF(AND(COUNT(D37:D40)=2,D37=MAX(D37:D40),E37="",F37=""),A36&amp;"1",IF(COUNT(F37:F40)=2,A36&amp;"3",""))))</f>
        <v/>
      </c>
    </row>
    <row r="38" spans="1:7" s="130" customFormat="1" hidden="1" x14ac:dyDescent="0.2">
      <c r="A38" s="371">
        <v>2</v>
      </c>
      <c r="B38" s="208"/>
      <c r="C38" s="818"/>
      <c r="D38" s="817"/>
      <c r="E38" s="200" t="str">
        <f>IF(AND(B40="-",ISNUMBER(C38),C38&lt;C39),13,"")</f>
        <v/>
      </c>
      <c r="F38" s="660"/>
      <c r="G38" s="200" t="str">
        <f>IF(AND(COUNT(F37:F40)=2,F38=MAX(F37:F40),COUNT(C38:F38)=3),A36&amp;"2",IF(AND(COUNT(E37:E40)=2,ISNUMBER(E38),E38=MIN(E37:E40),D38="",F38=""),A36&amp;"4",IF(AND(COUNT(D37:D40)=2,D38=MAX(D37:D40),E38="",F38=""),A36&amp;"1",IF(COUNT(F37:F40)=2,A36&amp;"3",""))))</f>
        <v/>
      </c>
    </row>
    <row r="39" spans="1:7" s="130" customFormat="1" hidden="1" x14ac:dyDescent="0.2">
      <c r="A39" s="371">
        <v>3</v>
      </c>
      <c r="B39" s="208"/>
      <c r="C39" s="818"/>
      <c r="D39" s="200"/>
      <c r="E39" s="200" t="str">
        <f>IF(AND(B40="-",ISNUMBER(C39),C39&lt;C38),13,"")</f>
        <v/>
      </c>
      <c r="F39" s="660"/>
      <c r="G39" s="200" t="str">
        <f>IF(AND(COUNT(F37:F40)=2,F39=MAX(F37:F40),COUNT(C39:F39)=3),A36&amp;"2",IF(AND(COUNT(E37:E40)=2,ISNUMBER(E39),E39=MIN(E37:E40),D39="",F39=""),A36&amp;"4",IF(AND(COUNT(D37:D40)=2,D39=MAX(D37:D40),E39="",F39=""),A36&amp;"1",IF(COUNT(F37:F40)=2,A36&amp;"3",""))))</f>
        <v/>
      </c>
    </row>
    <row r="40" spans="1:7" s="130" customFormat="1" hidden="1" x14ac:dyDescent="0.2">
      <c r="A40" s="371">
        <v>4</v>
      </c>
      <c r="B40" s="207"/>
      <c r="C40" s="817" t="str">
        <f>IF(B40="-",0,"")</f>
        <v/>
      </c>
      <c r="D40" s="817"/>
      <c r="E40" s="200" t="str">
        <f>IF(B40="-",0,"")</f>
        <v/>
      </c>
      <c r="F40" s="660"/>
      <c r="G40" s="200" t="str">
        <f>IF(AND(COUNT(F37:F40)=2,F40=MAX(F37:F40),COUNT(C40:F40)=3),A36&amp;"2",IF(AND(COUNT(E37:E40)=2,ISNUMBER(E40),E40=MIN(E37:E40),D40="",F40=""),A36&amp;"4",IF(AND(COUNT(D37:D40)=2,D40=MAX(D37:D40),E40="",F40=""),A36&amp;"1",IF(COUNT(F37:F40)=2,A36&amp;"3",""))))</f>
        <v/>
      </c>
    </row>
    <row r="41" spans="1:7" s="130" customFormat="1" hidden="1" x14ac:dyDescent="0.2">
      <c r="A41" s="69"/>
      <c r="B41" s="69"/>
      <c r="C41" s="69"/>
      <c r="D41" s="69"/>
      <c r="E41" s="69"/>
      <c r="F41" s="69"/>
      <c r="G41" s="69"/>
    </row>
    <row r="42" spans="1:7" s="130" customFormat="1" hidden="1" x14ac:dyDescent="0.2">
      <c r="A42" s="371" t="s">
        <v>858</v>
      </c>
      <c r="B42" s="816"/>
      <c r="C42" s="416" t="s">
        <v>572</v>
      </c>
      <c r="D42" s="371" t="s">
        <v>367</v>
      </c>
      <c r="E42" s="371" t="s">
        <v>368</v>
      </c>
      <c r="F42" s="416" t="s">
        <v>369</v>
      </c>
      <c r="G42" s="416" t="s">
        <v>25</v>
      </c>
    </row>
    <row r="43" spans="1:7" s="130" customFormat="1" hidden="1" x14ac:dyDescent="0.2">
      <c r="A43" s="371">
        <v>1</v>
      </c>
      <c r="B43" s="258"/>
      <c r="C43" s="817"/>
      <c r="D43" s="817"/>
      <c r="E43" s="200"/>
      <c r="F43" s="660"/>
      <c r="G43" s="200" t="str">
        <f>IF(AND(COUNT(F43:F46)=2,F43=MAX(F43:F46),COUNT(C43:F43)=3),A42&amp;"2",IF(AND(COUNT(E43:E46)=2,ISNUMBER(E43),E43=MIN(E43:E46),D43="",F43=""),A42&amp;"4",IF(AND(COUNT(D43:D46)=2,D43=MAX(D43:D46),E43="",F43=""),A42&amp;"1",IF(COUNT(F43:F46)=2,A42&amp;"3",""))))</f>
        <v/>
      </c>
    </row>
    <row r="44" spans="1:7" s="130" customFormat="1" hidden="1" x14ac:dyDescent="0.2">
      <c r="A44" s="371">
        <v>2</v>
      </c>
      <c r="B44" s="208"/>
      <c r="C44" s="818"/>
      <c r="D44" s="817"/>
      <c r="E44" s="200" t="str">
        <f>IF(AND(B46="-",ISNUMBER(C44),C44&lt;C45),13,"")</f>
        <v/>
      </c>
      <c r="F44" s="660"/>
      <c r="G44" s="200" t="str">
        <f>IF(AND(COUNT(F43:F46)=2,F44=MAX(F43:F46),COUNT(C44:F44)=3),A42&amp;"2",IF(AND(COUNT(E43:E46)=2,ISNUMBER(E44),E44=MIN(E43:E46),D44="",F44=""),A42&amp;"4",IF(AND(COUNT(D43:D46)=2,D44=MAX(D43:D46),E44="",F44=""),A42&amp;"1",IF(COUNT(F43:F46)=2,A42&amp;"3",""))))</f>
        <v/>
      </c>
    </row>
    <row r="45" spans="1:7" s="130" customFormat="1" hidden="1" x14ac:dyDescent="0.2">
      <c r="A45" s="371">
        <v>3</v>
      </c>
      <c r="B45" s="208"/>
      <c r="C45" s="818"/>
      <c r="D45" s="200"/>
      <c r="E45" s="200" t="str">
        <f>IF(AND(B46="-",ISNUMBER(C45),C45&lt;C44),13,"")</f>
        <v/>
      </c>
      <c r="F45" s="660"/>
      <c r="G45" s="200" t="str">
        <f>IF(AND(COUNT(F43:F46)=2,F45=MAX(F43:F46),COUNT(C45:F45)=3),A42&amp;"2",IF(AND(COUNT(E43:E46)=2,ISNUMBER(E45),E45=MIN(E43:E46),D45="",F45=""),A42&amp;"4",IF(AND(COUNT(D43:D46)=2,D45=MAX(D43:D46),E45="",F45=""),A42&amp;"1",IF(COUNT(F43:F46)=2,A42&amp;"3",""))))</f>
        <v/>
      </c>
    </row>
    <row r="46" spans="1:7" s="130" customFormat="1" hidden="1" x14ac:dyDescent="0.2">
      <c r="A46" s="371">
        <v>4</v>
      </c>
      <c r="B46" s="207"/>
      <c r="C46" s="817" t="str">
        <f>IF(B46="-",0,"")</f>
        <v/>
      </c>
      <c r="D46" s="817"/>
      <c r="E46" s="200" t="str">
        <f>IF(B46="-",0,"")</f>
        <v/>
      </c>
      <c r="F46" s="660"/>
      <c r="G46" s="200" t="str">
        <f>IF(AND(COUNT(F43:F46)=2,F46=MAX(F43:F46),COUNT(C46:F46)=3),A42&amp;"2",IF(AND(COUNT(E43:E46)=2,ISNUMBER(E46),E46=MIN(E43:E46),D46="",F46=""),A42&amp;"4",IF(AND(COUNT(D43:D46)=2,D46=MAX(D43:D46),E46="",F46=""),A42&amp;"1",IF(COUNT(F43:F46)=2,A42&amp;"3",""))))</f>
        <v/>
      </c>
    </row>
    <row r="47" spans="1:7" s="130" customFormat="1" hidden="1" x14ac:dyDescent="0.2">
      <c r="A47" s="238"/>
      <c r="B47" s="238"/>
      <c r="C47" s="238"/>
      <c r="D47" s="238"/>
      <c r="E47" s="238"/>
      <c r="F47" s="238"/>
      <c r="G47" s="238"/>
    </row>
    <row r="48" spans="1:7" s="130" customFormat="1" hidden="1" x14ac:dyDescent="0.2">
      <c r="A48" s="371" t="s">
        <v>859</v>
      </c>
      <c r="B48" s="816"/>
      <c r="C48" s="416" t="s">
        <v>572</v>
      </c>
      <c r="D48" s="371" t="s">
        <v>367</v>
      </c>
      <c r="E48" s="371" t="s">
        <v>368</v>
      </c>
      <c r="F48" s="416" t="s">
        <v>369</v>
      </c>
      <c r="G48" s="416" t="s">
        <v>25</v>
      </c>
    </row>
    <row r="49" spans="1:12" s="130" customFormat="1" hidden="1" x14ac:dyDescent="0.2">
      <c r="A49" s="371">
        <v>1</v>
      </c>
      <c r="B49" s="258"/>
      <c r="C49" s="817"/>
      <c r="D49" s="817"/>
      <c r="E49" s="200"/>
      <c r="F49" s="660"/>
      <c r="G49" s="200" t="str">
        <f>IF(AND(COUNT(F49:F52)=2,F49=MAX(F49:F52),COUNT(C49:F49)=3),A48&amp;"2",IF(AND(COUNT(E49:E52)=2,ISNUMBER(E49),E49=MIN(E49:E52),D49="",F49=""),A48&amp;"4",IF(AND(COUNT(D49:D52)=2,D49=MAX(D49:D52),E49="",F49=""),A48&amp;"1",IF(COUNT(F49:F52)=2,A48&amp;"3",""))))</f>
        <v/>
      </c>
    </row>
    <row r="50" spans="1:12" s="130" customFormat="1" hidden="1" x14ac:dyDescent="0.2">
      <c r="A50" s="371">
        <v>2</v>
      </c>
      <c r="B50" s="208"/>
      <c r="C50" s="818"/>
      <c r="D50" s="817"/>
      <c r="E50" s="200" t="str">
        <f>IF(AND(B52="-",ISNUMBER(C50),C50&lt;C51),13,"")</f>
        <v/>
      </c>
      <c r="F50" s="660"/>
      <c r="G50" s="200" t="str">
        <f>IF(AND(COUNT(F49:F52)=2,F50=MAX(F49:F52),COUNT(C50:F50)=3),A48&amp;"2",IF(AND(COUNT(E49:E52)=2,ISNUMBER(E50),E50=MIN(E49:E52),D50="",F50=""),A48&amp;"4",IF(AND(COUNT(D49:D52)=2,D50=MAX(D49:D52),E50="",F50=""),A48&amp;"1",IF(COUNT(F49:F52)=2,A48&amp;"3",""))))</f>
        <v/>
      </c>
    </row>
    <row r="51" spans="1:12" s="130" customFormat="1" hidden="1" x14ac:dyDescent="0.2">
      <c r="A51" s="371">
        <v>3</v>
      </c>
      <c r="B51" s="208"/>
      <c r="C51" s="818"/>
      <c r="D51" s="200"/>
      <c r="E51" s="200" t="str">
        <f>IF(AND(B52="-",ISNUMBER(C51),C51&lt;C50),13,"")</f>
        <v/>
      </c>
      <c r="F51" s="660"/>
      <c r="G51" s="200" t="str">
        <f>IF(AND(COUNT(F49:F52)=2,F51=MAX(F49:F52),COUNT(C51:F51)=3),A48&amp;"2",IF(AND(COUNT(E49:E52)=2,ISNUMBER(E51),E51=MIN(E49:E52),D51="",F51=""),A48&amp;"4",IF(AND(COUNT(D49:D52)=2,D51=MAX(D49:D52),E51="",F51=""),A48&amp;"1",IF(COUNT(F49:F52)=2,A48&amp;"3",""))))</f>
        <v/>
      </c>
    </row>
    <row r="52" spans="1:12" s="130" customFormat="1" hidden="1" x14ac:dyDescent="0.2">
      <c r="A52" s="371">
        <v>4</v>
      </c>
      <c r="B52" s="207"/>
      <c r="C52" s="817" t="str">
        <f>IF(B52="-",0,"")</f>
        <v/>
      </c>
      <c r="D52" s="817"/>
      <c r="E52" s="200" t="str">
        <f>IF(B52="-",0,"")</f>
        <v/>
      </c>
      <c r="F52" s="660"/>
      <c r="G52" s="200" t="str">
        <f>IF(AND(COUNT(F49:F52)=2,F52=MAX(F49:F52),COUNT(C52:F52)=3),A48&amp;"2",IF(AND(COUNT(E49:E52)=2,ISNUMBER(E52),E52=MIN(E49:E52),D52="",F52=""),A48&amp;"4",IF(AND(COUNT(D49:D52)=2,D52=MAX(D49:D52),E52="",F52=""),A48&amp;"1",IF(COUNT(F49:F52)=2,A48&amp;"3",""))))</f>
        <v/>
      </c>
    </row>
    <row r="53" spans="1:12" s="130" customFormat="1" hidden="1" x14ac:dyDescent="0.2"/>
    <row r="54" spans="1:12" s="130" customFormat="1" hidden="1" x14ac:dyDescent="0.2"/>
    <row r="55" spans="1:12" s="130" customFormat="1" hidden="1" x14ac:dyDescent="0.2"/>
    <row r="56" spans="1:12" s="130" customFormat="1" hidden="1" x14ac:dyDescent="0.2"/>
    <row r="57" spans="1:12" s="130" customFormat="1" hidden="1" x14ac:dyDescent="0.2"/>
    <row r="58" spans="1:12" s="130" customFormat="1" hidden="1" x14ac:dyDescent="0.2"/>
    <row r="59" spans="1:12" s="130" customFormat="1" hidden="1" x14ac:dyDescent="0.2"/>
    <row r="60" spans="1:12" hidden="1" x14ac:dyDescent="0.2">
      <c r="A60" s="130"/>
      <c r="B60" s="130"/>
      <c r="C60" s="130"/>
      <c r="D60" s="130"/>
      <c r="E60" s="130"/>
      <c r="F60" s="130"/>
      <c r="G60" s="130"/>
      <c r="I60" s="130"/>
      <c r="J60" s="130"/>
      <c r="K60" s="130"/>
      <c r="L60" s="130"/>
    </row>
    <row r="61" spans="1:12" s="130" customFormat="1" hidden="1" x14ac:dyDescent="0.2"/>
    <row r="62" spans="1:12" s="130" customFormat="1" hidden="1" x14ac:dyDescent="0.2"/>
    <row r="63" spans="1:12" s="130" customFormat="1" hidden="1" x14ac:dyDescent="0.2"/>
    <row r="64" spans="1:12" s="130" customFormat="1" hidden="1" x14ac:dyDescent="0.2"/>
    <row r="65" spans="1:12" s="130" customFormat="1" hidden="1" x14ac:dyDescent="0.2"/>
    <row r="66" spans="1:12" s="130" customFormat="1" hidden="1" x14ac:dyDescent="0.2"/>
    <row r="67" spans="1:12" s="130" customFormat="1" hidden="1" x14ac:dyDescent="0.2"/>
    <row r="68" spans="1:12" s="130" customFormat="1" hidden="1" x14ac:dyDescent="0.2"/>
    <row r="69" spans="1:12" s="130" customFormat="1" hidden="1" x14ac:dyDescent="0.2"/>
    <row r="70" spans="1:12" s="130" customFormat="1" hidden="1" x14ac:dyDescent="0.2"/>
    <row r="71" spans="1:12" s="130" customFormat="1" hidden="1" x14ac:dyDescent="0.2"/>
    <row r="72" spans="1:12" s="130" customFormat="1" hidden="1" x14ac:dyDescent="0.2"/>
    <row r="73" spans="1:12" s="130" customFormat="1" hidden="1" x14ac:dyDescent="0.2"/>
    <row r="74" spans="1:12" s="130" customFormat="1" hidden="1" x14ac:dyDescent="0.2"/>
    <row r="75" spans="1:12" s="130" customFormat="1" hidden="1" x14ac:dyDescent="0.2"/>
    <row r="76" spans="1:12" hidden="1" x14ac:dyDescent="0.2">
      <c r="A76" s="130"/>
      <c r="B76" s="130"/>
      <c r="C76" s="130"/>
      <c r="D76" s="130"/>
      <c r="E76" s="130"/>
      <c r="F76" s="130"/>
      <c r="G76" s="130"/>
      <c r="I76" s="130"/>
      <c r="J76" s="130"/>
      <c r="K76" s="130"/>
      <c r="L76" s="130"/>
    </row>
    <row r="77" spans="1:12" hidden="1" x14ac:dyDescent="0.2">
      <c r="A77" s="130"/>
      <c r="B77" s="130"/>
      <c r="C77" s="130"/>
      <c r="D77" s="130"/>
      <c r="E77" s="130"/>
      <c r="F77" s="130"/>
      <c r="G77" s="130"/>
      <c r="I77" s="130"/>
      <c r="J77" s="130"/>
      <c r="K77" s="130"/>
      <c r="L77" s="130"/>
    </row>
    <row r="78" spans="1:12" hidden="1" x14ac:dyDescent="0.2">
      <c r="A78" s="130"/>
      <c r="B78" s="130"/>
      <c r="C78" s="130"/>
      <c r="D78" s="130"/>
      <c r="E78" s="130"/>
      <c r="F78" s="130"/>
      <c r="G78" s="130"/>
      <c r="I78" s="130"/>
      <c r="J78" s="130"/>
      <c r="K78" s="130"/>
      <c r="L78" s="130"/>
    </row>
    <row r="79" spans="1:12" hidden="1" x14ac:dyDescent="0.2">
      <c r="A79" s="130"/>
      <c r="B79" s="130"/>
      <c r="C79" s="130"/>
      <c r="D79" s="130"/>
      <c r="E79" s="130"/>
      <c r="F79" s="130"/>
      <c r="G79" s="130"/>
      <c r="I79" s="130"/>
      <c r="J79" s="130"/>
      <c r="K79" s="130"/>
      <c r="L79" s="130"/>
    </row>
    <row r="80" spans="1:12" hidden="1" x14ac:dyDescent="0.2">
      <c r="A80" s="130"/>
      <c r="B80" s="130"/>
      <c r="C80" s="130"/>
      <c r="D80" s="130"/>
      <c r="E80" s="130"/>
      <c r="F80" s="130"/>
      <c r="G80" s="130"/>
      <c r="I80" s="130"/>
      <c r="J80" s="130"/>
      <c r="K80" s="130"/>
      <c r="L80" s="130"/>
    </row>
    <row r="81" spans="1:12" hidden="1" x14ac:dyDescent="0.2">
      <c r="A81" s="130"/>
      <c r="B81" s="130"/>
      <c r="C81" s="130"/>
      <c r="D81" s="130"/>
      <c r="E81" s="130"/>
      <c r="F81" s="130"/>
      <c r="G81" s="130"/>
      <c r="I81" s="130"/>
      <c r="J81" s="130"/>
      <c r="K81" s="130"/>
      <c r="L81" s="130"/>
    </row>
    <row r="82" spans="1:12" hidden="1" x14ac:dyDescent="0.2">
      <c r="A82" s="130"/>
      <c r="B82" s="130"/>
      <c r="C82" s="130"/>
      <c r="D82" s="130"/>
      <c r="E82" s="130"/>
      <c r="F82" s="130"/>
      <c r="G82" s="130"/>
      <c r="I82" s="130"/>
      <c r="J82" s="130"/>
      <c r="K82" s="130"/>
      <c r="L82" s="130"/>
    </row>
    <row r="83" spans="1:12" hidden="1" x14ac:dyDescent="0.2">
      <c r="A83" s="130"/>
      <c r="B83" s="130"/>
      <c r="C83" s="130"/>
      <c r="D83" s="130"/>
      <c r="E83" s="130"/>
      <c r="F83" s="130"/>
      <c r="G83" s="130"/>
      <c r="I83" s="130"/>
      <c r="J83" s="130"/>
      <c r="K83" s="130"/>
      <c r="L83" s="130"/>
    </row>
    <row r="84" spans="1:12" hidden="1" x14ac:dyDescent="0.2">
      <c r="A84" s="130"/>
      <c r="B84" s="130"/>
      <c r="C84" s="130"/>
      <c r="D84" s="130"/>
      <c r="E84" s="130"/>
      <c r="F84" s="130"/>
      <c r="G84" s="130"/>
      <c r="I84" s="130"/>
      <c r="J84" s="130"/>
      <c r="K84" s="130"/>
      <c r="L84" s="130"/>
    </row>
    <row r="85" spans="1:12" hidden="1" x14ac:dyDescent="0.2">
      <c r="A85" s="130"/>
      <c r="B85" s="130"/>
      <c r="C85" s="130"/>
      <c r="D85" s="130"/>
      <c r="E85" s="130"/>
      <c r="F85" s="130"/>
      <c r="G85" s="130"/>
      <c r="I85" s="130"/>
      <c r="J85" s="130"/>
      <c r="K85" s="130"/>
      <c r="L85" s="130"/>
    </row>
    <row r="86" spans="1:12" hidden="1" x14ac:dyDescent="0.2">
      <c r="A86" s="130"/>
      <c r="B86" s="130"/>
      <c r="C86" s="130"/>
      <c r="D86" s="130"/>
      <c r="E86" s="130"/>
      <c r="F86" s="130"/>
      <c r="G86" s="130"/>
      <c r="I86" s="130"/>
      <c r="J86" s="130"/>
      <c r="K86" s="130"/>
      <c r="L86" s="130"/>
    </row>
    <row r="87" spans="1:12" hidden="1" x14ac:dyDescent="0.2">
      <c r="A87" s="130"/>
      <c r="B87" s="130"/>
      <c r="C87" s="130"/>
      <c r="D87" s="130"/>
      <c r="E87" s="130"/>
      <c r="F87" s="130"/>
      <c r="G87" s="130"/>
      <c r="I87" s="130"/>
      <c r="J87" s="130"/>
      <c r="K87" s="130"/>
      <c r="L87" s="130"/>
    </row>
    <row r="88" spans="1:12" hidden="1" x14ac:dyDescent="0.2">
      <c r="A88" s="130"/>
      <c r="B88" s="130"/>
      <c r="C88" s="130"/>
      <c r="D88" s="130"/>
      <c r="E88" s="130"/>
      <c r="F88" s="130"/>
      <c r="G88" s="130"/>
    </row>
    <row r="89" spans="1:12" hidden="1" x14ac:dyDescent="0.2">
      <c r="A89" s="130"/>
      <c r="B89" s="130"/>
      <c r="C89" s="130"/>
      <c r="D89" s="130"/>
      <c r="E89" s="130"/>
      <c r="F89" s="130"/>
      <c r="G89" s="130"/>
    </row>
    <row r="90" spans="1:12" hidden="1" x14ac:dyDescent="0.2">
      <c r="A90" s="130"/>
      <c r="B90" s="130"/>
      <c r="C90" s="130"/>
      <c r="D90" s="130"/>
      <c r="E90" s="130"/>
      <c r="F90" s="130"/>
      <c r="G90" s="130"/>
    </row>
    <row r="91" spans="1:12" hidden="1" x14ac:dyDescent="0.2">
      <c r="A91" s="130"/>
      <c r="B91" s="130"/>
      <c r="C91" s="130"/>
      <c r="D91" s="130"/>
      <c r="E91" s="130"/>
      <c r="F91" s="130"/>
      <c r="G91" s="130"/>
    </row>
    <row r="92" spans="1:12" hidden="1" x14ac:dyDescent="0.2">
      <c r="A92" s="130"/>
      <c r="B92" s="130"/>
      <c r="C92" s="130"/>
      <c r="D92" s="130"/>
      <c r="E92" s="130"/>
      <c r="F92" s="130"/>
      <c r="G92" s="130"/>
    </row>
    <row r="93" spans="1:12" hidden="1" x14ac:dyDescent="0.2">
      <c r="A93" s="130"/>
      <c r="B93" s="130"/>
      <c r="C93" s="130"/>
      <c r="D93" s="130"/>
      <c r="E93" s="130"/>
      <c r="F93" s="130"/>
      <c r="G93" s="130"/>
    </row>
    <row r="94" spans="1:12" hidden="1" x14ac:dyDescent="0.2">
      <c r="A94" s="130"/>
      <c r="B94" s="130"/>
      <c r="C94" s="130"/>
      <c r="D94" s="130"/>
      <c r="E94" s="130"/>
      <c r="F94" s="130"/>
      <c r="G94" s="130"/>
    </row>
    <row r="95" spans="1:12" hidden="1" x14ac:dyDescent="0.2">
      <c r="A95" s="130"/>
      <c r="B95" s="130"/>
      <c r="C95" s="130"/>
      <c r="D95" s="130"/>
      <c r="E95" s="130"/>
      <c r="F95" s="130"/>
      <c r="G95" s="130"/>
    </row>
    <row r="96" spans="1:12" hidden="1" x14ac:dyDescent="0.2">
      <c r="A96" s="130"/>
      <c r="B96" s="130"/>
      <c r="C96" s="130"/>
      <c r="D96" s="130"/>
      <c r="E96" s="130"/>
      <c r="F96" s="130"/>
      <c r="G96" s="130"/>
    </row>
    <row r="97" spans="1:12" hidden="1" x14ac:dyDescent="0.2">
      <c r="A97" s="130"/>
      <c r="B97" s="130"/>
      <c r="C97" s="130"/>
      <c r="D97" s="130"/>
      <c r="E97" s="130"/>
      <c r="F97" s="130"/>
      <c r="G97" s="130"/>
    </row>
    <row r="98" spans="1:12" hidden="1" x14ac:dyDescent="0.2">
      <c r="A98" s="130"/>
      <c r="B98" s="130"/>
      <c r="C98" s="130"/>
      <c r="D98" s="130"/>
      <c r="E98" s="130"/>
      <c r="F98" s="130"/>
      <c r="G98" s="130"/>
    </row>
    <row r="99" spans="1:12" x14ac:dyDescent="0.2">
      <c r="A99" s="130"/>
      <c r="B99" s="130"/>
      <c r="C99" s="130"/>
      <c r="D99" s="130"/>
      <c r="E99" s="130"/>
      <c r="F99" s="130"/>
      <c r="G99" s="130"/>
    </row>
    <row r="100" spans="1:12" x14ac:dyDescent="0.2">
      <c r="A100" s="239" t="s">
        <v>370</v>
      </c>
      <c r="B100" s="49"/>
      <c r="C100" s="203"/>
      <c r="D100" s="203"/>
      <c r="E100" s="204"/>
      <c r="F100" s="205"/>
      <c r="G100" s="74"/>
      <c r="I100" s="69"/>
      <c r="J100" s="69"/>
      <c r="K100" s="69"/>
      <c r="L100" s="69"/>
    </row>
    <row r="101" spans="1:12" x14ac:dyDescent="0.2">
      <c r="A101" s="74"/>
      <c r="B101" s="74"/>
      <c r="C101" s="74"/>
      <c r="D101" s="74"/>
      <c r="E101" s="74"/>
      <c r="F101" s="74"/>
      <c r="G101" s="74"/>
      <c r="I101" s="69"/>
      <c r="J101" s="69"/>
      <c r="K101" s="69"/>
      <c r="L101" s="69"/>
    </row>
    <row r="102" spans="1:12" x14ac:dyDescent="0.2">
      <c r="A102" s="240" t="s">
        <v>503</v>
      </c>
      <c r="B102" s="641" t="str">
        <f>IFERROR(INDEX(B$1:B$100,MATCH(A102,G$1:G$100,0)),"")</f>
        <v>Varje Reede</v>
      </c>
      <c r="C102" s="74">
        <v>13</v>
      </c>
      <c r="D102" s="74"/>
      <c r="E102" s="74"/>
      <c r="F102" s="74"/>
      <c r="G102" s="74"/>
      <c r="I102" s="262"/>
      <c r="J102" s="262"/>
      <c r="K102" s="262"/>
      <c r="L102" s="69"/>
    </row>
    <row r="103" spans="1:12" x14ac:dyDescent="0.2">
      <c r="A103" s="242"/>
      <c r="B103" s="649"/>
      <c r="C103" s="74" t="str">
        <f>IF(COUNT(C102,C104)=2,IF(C102&gt;C104,B102,B104),"")</f>
        <v>Varje Reede</v>
      </c>
      <c r="D103" s="69"/>
      <c r="E103" s="419">
        <v>13</v>
      </c>
      <c r="F103" s="74"/>
      <c r="G103" s="74"/>
      <c r="H103" s="74"/>
      <c r="I103" s="130"/>
      <c r="J103" s="69"/>
    </row>
    <row r="104" spans="1:12" x14ac:dyDescent="0.2">
      <c r="A104" s="242" t="s">
        <v>506</v>
      </c>
      <c r="B104" s="644" t="str">
        <f>IFERROR(INDEX(B$1:B$100,MATCH(A104,G$1:G$100,0)),"")</f>
        <v>Mare Kingissepp</v>
      </c>
      <c r="C104" s="646">
        <v>7</v>
      </c>
      <c r="D104" s="652"/>
      <c r="E104" s="74"/>
      <c r="F104" s="74"/>
      <c r="G104" s="74"/>
      <c r="H104" s="74"/>
      <c r="I104" s="130"/>
      <c r="J104" s="69"/>
    </row>
    <row r="105" spans="1:12" x14ac:dyDescent="0.2">
      <c r="A105" s="242"/>
      <c r="B105" s="645"/>
      <c r="C105" s="49"/>
      <c r="D105" s="653"/>
      <c r="E105" s="417" t="str">
        <f>IF(COUNT(E103,E107)=2,IF(E103&gt;E107,C103,C107),"")</f>
        <v>Varje Reede</v>
      </c>
      <c r="F105" s="69"/>
      <c r="G105" s="241">
        <v>5</v>
      </c>
      <c r="H105" s="74"/>
    </row>
    <row r="106" spans="1:12" x14ac:dyDescent="0.2">
      <c r="A106" s="242" t="s">
        <v>507</v>
      </c>
      <c r="B106" s="641" t="str">
        <f>IFERROR(INDEX(B$1:B$100,MATCH(A106,G$1:G$100,0)),"")</f>
        <v>Aigi Orro</v>
      </c>
      <c r="C106" s="74">
        <v>7</v>
      </c>
      <c r="D106" s="653"/>
      <c r="E106" s="646"/>
      <c r="F106" s="652"/>
      <c r="G106" s="74"/>
      <c r="H106" s="74"/>
    </row>
    <row r="107" spans="1:12" x14ac:dyDescent="0.2">
      <c r="A107" s="242"/>
      <c r="B107" s="649"/>
      <c r="C107" s="74" t="str">
        <f>IF(COUNT(C106,C108)=2,IF(C106&gt;C108,B106,B108),"")</f>
        <v>Merike Aava</v>
      </c>
      <c r="D107" s="655"/>
      <c r="E107" s="247">
        <v>10</v>
      </c>
      <c r="F107" s="653"/>
      <c r="G107" s="74"/>
      <c r="H107" s="74"/>
    </row>
    <row r="108" spans="1:12" x14ac:dyDescent="0.2">
      <c r="A108" s="242" t="s">
        <v>504</v>
      </c>
      <c r="B108" s="644" t="str">
        <f>IFERROR(INDEX(B$1:B$100,MATCH(A108,G$1:G$100,0)),"")</f>
        <v>Merike Aava</v>
      </c>
      <c r="C108" s="646">
        <v>13</v>
      </c>
      <c r="D108" s="69"/>
      <c r="E108" s="49"/>
      <c r="F108" s="653"/>
      <c r="G108" s="74"/>
      <c r="H108" s="74"/>
    </row>
    <row r="109" spans="1:12" ht="13.5" thickBot="1" x14ac:dyDescent="0.25">
      <c r="A109" s="41"/>
      <c r="B109" s="645"/>
      <c r="C109" s="74"/>
      <c r="D109" s="69"/>
      <c r="E109" s="49"/>
      <c r="F109" s="653"/>
      <c r="G109" s="74"/>
      <c r="H109" s="425" t="str">
        <f>IF(COUNT(G105,G113)=2,IF(G105&gt;G113,E105,E113),"")</f>
        <v>Katri Aavekukk</v>
      </c>
    </row>
    <row r="110" spans="1:12" x14ac:dyDescent="0.2">
      <c r="A110" s="240" t="s">
        <v>505</v>
      </c>
      <c r="B110" s="641" t="str">
        <f>IFERROR(INDEX(B$1:B$100,MATCH(A110,G$1:G$100,0)),"")</f>
        <v>Katri Aavekukk</v>
      </c>
      <c r="C110" s="74">
        <v>13</v>
      </c>
      <c r="D110" s="69"/>
      <c r="E110" s="49"/>
      <c r="F110" s="653"/>
      <c r="G110" s="251"/>
      <c r="H110" s="250" t="s">
        <v>589</v>
      </c>
    </row>
    <row r="111" spans="1:12" x14ac:dyDescent="0.2">
      <c r="A111" s="242"/>
      <c r="B111" s="649"/>
      <c r="C111" s="74" t="str">
        <f>IF(COUNT(C110,C112)=2,IF(C110&gt;C112,B110,B112),"")</f>
        <v>Katri Aavekukk</v>
      </c>
      <c r="D111" s="69"/>
      <c r="E111" s="247">
        <v>13</v>
      </c>
      <c r="F111" s="653"/>
      <c r="G111" s="49"/>
      <c r="H111" s="74"/>
    </row>
    <row r="112" spans="1:12" x14ac:dyDescent="0.2">
      <c r="A112" s="242" t="s">
        <v>502</v>
      </c>
      <c r="B112" s="644" t="str">
        <f>IFERROR(INDEX(B$1:B$100,MATCH(A112,G$1:G$100,0)),"")</f>
        <v>Marge Mägi</v>
      </c>
      <c r="C112" s="646">
        <v>4</v>
      </c>
      <c r="D112" s="652"/>
      <c r="E112" s="49"/>
      <c r="F112" s="653"/>
      <c r="G112" s="49"/>
      <c r="H112" s="74"/>
    </row>
    <row r="113" spans="1:8" x14ac:dyDescent="0.2">
      <c r="A113" s="242"/>
      <c r="B113" s="645"/>
      <c r="C113" s="49"/>
      <c r="D113" s="653"/>
      <c r="E113" s="417" t="str">
        <f>IF(COUNT(E111,E115)=2,IF(E111&gt;E115,C111,C115),"")</f>
        <v>Katri Aavekukk</v>
      </c>
      <c r="F113" s="655"/>
      <c r="G113" s="247">
        <v>13</v>
      </c>
      <c r="H113" s="74"/>
    </row>
    <row r="114" spans="1:8" ht="13.5" thickBot="1" x14ac:dyDescent="0.25">
      <c r="A114" s="242" t="s">
        <v>497</v>
      </c>
      <c r="B114" s="641" t="str">
        <f>IFERROR(INDEX(B$1:B$100,MATCH(A114,G$1:G$100,0)),"")</f>
        <v>Maive Sein</v>
      </c>
      <c r="C114" s="74">
        <v>13</v>
      </c>
      <c r="D114" s="653"/>
      <c r="E114" s="49"/>
      <c r="F114" s="69"/>
      <c r="G114" s="49"/>
      <c r="H114" s="425" t="str">
        <f>IF(COUNT(G105,G113)=2,IF(G105&lt;G113,E105,E113),"")</f>
        <v>Varje Reede</v>
      </c>
    </row>
    <row r="115" spans="1:8" x14ac:dyDescent="0.2">
      <c r="A115" s="242"/>
      <c r="B115" s="649"/>
      <c r="C115" s="74" t="str">
        <f>IF(COUNT(C114,C116)=2,IF(C114&gt;C116,B114,B116),"")</f>
        <v>Maive Sein</v>
      </c>
      <c r="D115" s="655"/>
      <c r="E115" s="247">
        <v>3</v>
      </c>
      <c r="F115" s="69"/>
      <c r="G115" s="49"/>
      <c r="H115" s="250" t="s">
        <v>590</v>
      </c>
    </row>
    <row r="116" spans="1:8" x14ac:dyDescent="0.2">
      <c r="A116" s="242" t="s">
        <v>508</v>
      </c>
      <c r="B116" s="644" t="str">
        <f>IFERROR(INDEX(B$1:B$100,MATCH(A116,G$1:G$100,0)),"")</f>
        <v>Marta Ruus</v>
      </c>
      <c r="C116" s="646">
        <v>10</v>
      </c>
      <c r="D116" s="69"/>
      <c r="E116" s="49"/>
      <c r="F116" s="69"/>
      <c r="G116" s="49"/>
      <c r="H116" s="74"/>
    </row>
    <row r="117" spans="1:8" x14ac:dyDescent="0.2">
      <c r="A117" s="41"/>
      <c r="B117" s="645"/>
      <c r="C117" s="74"/>
      <c r="D117" s="69"/>
      <c r="E117" s="418" t="str">
        <f>IF(COUNT(E103,E107)=2,IF(E103&lt;E107,C103,C107),"")</f>
        <v>Merike Aava</v>
      </c>
      <c r="F117" s="69"/>
      <c r="G117" s="247">
        <v>13</v>
      </c>
      <c r="H117" s="74"/>
    </row>
    <row r="118" spans="1:8" ht="13.5" thickBot="1" x14ac:dyDescent="0.25">
      <c r="A118" s="74"/>
      <c r="B118" s="74"/>
      <c r="C118" s="74"/>
      <c r="D118" s="69"/>
      <c r="E118" s="646"/>
      <c r="F118" s="652"/>
      <c r="G118" s="252"/>
      <c r="H118" s="425" t="str">
        <f>IF(COUNT(G117,G119)=2,IF(G117&gt;G119,E117,E119),"")</f>
        <v>Merike Aava</v>
      </c>
    </row>
    <row r="119" spans="1:8" x14ac:dyDescent="0.2">
      <c r="A119" s="74"/>
      <c r="B119" s="74"/>
      <c r="C119" s="74"/>
      <c r="D119" s="69"/>
      <c r="E119" s="417" t="str">
        <f>IF(COUNT(E111,E115)=2,IF(E111&lt;E115,C111,C115),"")</f>
        <v>Maive Sein</v>
      </c>
      <c r="F119" s="655"/>
      <c r="G119" s="247">
        <v>8</v>
      </c>
      <c r="H119" s="253" t="s">
        <v>591</v>
      </c>
    </row>
    <row r="120" spans="1:8" x14ac:dyDescent="0.2">
      <c r="A120" s="74"/>
      <c r="B120" s="74"/>
      <c r="C120" s="74"/>
      <c r="D120" s="69"/>
      <c r="E120" s="74"/>
      <c r="F120" s="69"/>
      <c r="G120" s="74"/>
      <c r="H120" s="49"/>
    </row>
    <row r="121" spans="1:8" ht="13.5" thickBot="1" x14ac:dyDescent="0.25">
      <c r="A121" s="74"/>
      <c r="B121" s="74"/>
      <c r="C121" s="74"/>
      <c r="D121" s="69"/>
      <c r="E121" s="49"/>
      <c r="F121" s="69"/>
      <c r="G121" s="74"/>
      <c r="H121" s="425" t="str">
        <f>IF(COUNT(G117,G119)=2,IF(G117&lt;G119,E117,E119),"")</f>
        <v>Maive Sein</v>
      </c>
    </row>
    <row r="122" spans="1:8" x14ac:dyDescent="0.2">
      <c r="A122" s="74"/>
      <c r="B122" s="74"/>
      <c r="C122" s="74"/>
      <c r="D122" s="69"/>
      <c r="E122" s="74"/>
      <c r="F122" s="69"/>
      <c r="G122" s="74"/>
      <c r="H122" s="41" t="s">
        <v>371</v>
      </c>
    </row>
    <row r="123" spans="1:8" x14ac:dyDescent="0.2">
      <c r="A123" s="74"/>
      <c r="B123" s="74"/>
      <c r="C123" s="417" t="str">
        <f>IF(COUNT(C102,C104)=2,IF(C102&lt;C104,B102,B104),"")</f>
        <v>Mare Kingissepp</v>
      </c>
      <c r="D123" s="69"/>
      <c r="E123" s="241">
        <v>9</v>
      </c>
      <c r="F123" s="69"/>
      <c r="G123" s="241"/>
      <c r="H123" s="74"/>
    </row>
    <row r="124" spans="1:8" x14ac:dyDescent="0.2">
      <c r="A124" s="74"/>
      <c r="B124" s="74"/>
      <c r="C124" s="647"/>
      <c r="D124" s="652"/>
      <c r="E124" s="643" t="str">
        <f>IF(COUNT(E123,E125)=2,IF(E123&gt;E125,C123,C125),"")</f>
        <v>Aigi Orro</v>
      </c>
      <c r="F124" s="69"/>
      <c r="G124" s="648">
        <v>13</v>
      </c>
      <c r="H124" s="74"/>
    </row>
    <row r="125" spans="1:8" x14ac:dyDescent="0.2">
      <c r="A125" s="74"/>
      <c r="B125" s="74"/>
      <c r="C125" s="417" t="str">
        <f>IF(COUNT(C106,C108)=2,IF(C106&lt;C108,B106,B108),"")</f>
        <v>Aigi Orro</v>
      </c>
      <c r="D125" s="655"/>
      <c r="E125" s="244">
        <v>13</v>
      </c>
      <c r="F125" s="652"/>
      <c r="G125" s="241"/>
      <c r="H125" s="74"/>
    </row>
    <row r="126" spans="1:8" ht="13.5" thickBot="1" x14ac:dyDescent="0.25">
      <c r="A126" s="74"/>
      <c r="B126" s="74"/>
      <c r="C126" s="241"/>
      <c r="D126" s="69"/>
      <c r="E126" s="247"/>
      <c r="F126" s="653"/>
      <c r="G126" s="241"/>
      <c r="H126" s="418" t="str">
        <f>IF(COUNT(G124,G128)=2,IF(G124&gt;G128,E124,E128),"")</f>
        <v>Aigi Orro</v>
      </c>
    </row>
    <row r="127" spans="1:8" x14ac:dyDescent="0.2">
      <c r="A127" s="74"/>
      <c r="B127" s="74"/>
      <c r="C127" s="417" t="str">
        <f>IF(COUNT(C110,C112)=2,IF(C110&lt;C112,B110,B112),"")</f>
        <v>Marge Mägi</v>
      </c>
      <c r="D127" s="69"/>
      <c r="E127" s="241">
        <v>13</v>
      </c>
      <c r="F127" s="653"/>
      <c r="G127" s="420"/>
      <c r="H127" s="250" t="s">
        <v>372</v>
      </c>
    </row>
    <row r="128" spans="1:8" x14ac:dyDescent="0.2">
      <c r="A128" s="74"/>
      <c r="B128" s="74"/>
      <c r="C128" s="647"/>
      <c r="D128" s="652"/>
      <c r="E128" s="643" t="str">
        <f>IF(COUNT(E127,E129)=2,IF(E127&gt;E129,C127,C129),"")</f>
        <v>Marge Mägi</v>
      </c>
      <c r="F128" s="655"/>
      <c r="G128" s="247">
        <v>5</v>
      </c>
      <c r="H128" s="49"/>
    </row>
    <row r="129" spans="1:8" ht="13.5" thickBot="1" x14ac:dyDescent="0.25">
      <c r="A129" s="74"/>
      <c r="B129" s="74"/>
      <c r="C129" s="417" t="str">
        <f>IF(COUNT(C114,C116)=2,IF(C114&lt;C116,B114,B116),"")</f>
        <v>Marta Ruus</v>
      </c>
      <c r="D129" s="655"/>
      <c r="E129" s="244">
        <v>11</v>
      </c>
      <c r="F129" s="69"/>
      <c r="G129" s="247"/>
      <c r="H129" s="425" t="str">
        <f>IF(COUNT(G124,G128)=2,IF(G124&lt;G128,E124,E128),"")</f>
        <v>Marge Mägi</v>
      </c>
    </row>
    <row r="130" spans="1:8" x14ac:dyDescent="0.2">
      <c r="A130" s="74"/>
      <c r="B130" s="74"/>
      <c r="C130" s="241"/>
      <c r="D130" s="69"/>
      <c r="E130" s="241"/>
      <c r="F130" s="69"/>
      <c r="G130" s="247"/>
      <c r="H130" s="250" t="s">
        <v>373</v>
      </c>
    </row>
    <row r="131" spans="1:8" x14ac:dyDescent="0.2">
      <c r="A131" s="74"/>
      <c r="B131" s="74"/>
      <c r="C131" s="247"/>
      <c r="D131" s="69"/>
      <c r="E131" s="418" t="str">
        <f>IF(COUNT(E123,E125)=2,IF(E123&lt;E125,C123,C125),"")</f>
        <v>Mare Kingissepp</v>
      </c>
      <c r="F131" s="69"/>
      <c r="G131" s="247">
        <v>9</v>
      </c>
      <c r="H131" s="49"/>
    </row>
    <row r="132" spans="1:8" ht="13.5" thickBot="1" x14ac:dyDescent="0.25">
      <c r="A132" s="74"/>
      <c r="B132" s="74"/>
      <c r="C132" s="247"/>
      <c r="D132" s="69"/>
      <c r="E132" s="646"/>
      <c r="F132" s="652"/>
      <c r="G132" s="252"/>
      <c r="H132" s="425" t="str">
        <f>IF(COUNT(G131,G133)=2,IF(G131&gt;G133,E131,E133),"")</f>
        <v>Marta Ruus</v>
      </c>
    </row>
    <row r="133" spans="1:8" x14ac:dyDescent="0.2">
      <c r="A133" s="74"/>
      <c r="B133" s="74"/>
      <c r="C133" s="247"/>
      <c r="D133" s="69"/>
      <c r="E133" s="417" t="str">
        <f>IF(COUNT(E127,E129)=2,IF(E127&lt;E129,C127,C129),"")</f>
        <v>Marta Ruus</v>
      </c>
      <c r="F133" s="655"/>
      <c r="G133" s="247">
        <v>13</v>
      </c>
      <c r="H133" s="253" t="s">
        <v>374</v>
      </c>
    </row>
    <row r="134" spans="1:8" x14ac:dyDescent="0.2">
      <c r="A134" s="74"/>
      <c r="B134" s="74"/>
      <c r="C134" s="49"/>
      <c r="D134" s="69"/>
      <c r="E134" s="74"/>
      <c r="F134" s="69"/>
      <c r="G134" s="74"/>
      <c r="H134" s="49"/>
    </row>
    <row r="135" spans="1:8" ht="13.5" thickBot="1" x14ac:dyDescent="0.25">
      <c r="A135" s="74"/>
      <c r="B135" s="74"/>
      <c r="C135" s="74"/>
      <c r="D135" s="69"/>
      <c r="E135" s="49"/>
      <c r="F135" s="69"/>
      <c r="G135" s="74"/>
      <c r="H135" s="252" t="str">
        <f>IF(COUNT(G131,G133)=2,IF(G131&lt;G133,E131,E133),"")</f>
        <v>Mare Kingissepp</v>
      </c>
    </row>
    <row r="136" spans="1:8" x14ac:dyDescent="0.2">
      <c r="A136" s="202"/>
      <c r="B136" s="260"/>
      <c r="C136" s="204"/>
      <c r="D136" s="69"/>
      <c r="E136" s="204"/>
      <c r="F136" s="69"/>
      <c r="G136" s="259"/>
      <c r="H136" s="250" t="s">
        <v>375</v>
      </c>
    </row>
    <row r="137" spans="1:8" x14ac:dyDescent="0.2">
      <c r="A137" s="415"/>
      <c r="B137" s="415"/>
      <c r="C137" s="415"/>
      <c r="D137" s="69"/>
      <c r="E137" s="415"/>
      <c r="F137" s="69"/>
      <c r="G137" s="415"/>
      <c r="H137" s="415"/>
    </row>
    <row r="138" spans="1:8" x14ac:dyDescent="0.2">
      <c r="A138" s="239" t="s">
        <v>593</v>
      </c>
      <c r="B138" s="49"/>
      <c r="C138" s="203"/>
      <c r="D138" s="69"/>
      <c r="E138" s="203"/>
      <c r="F138" s="69"/>
      <c r="G138" s="205"/>
      <c r="H138" s="74"/>
    </row>
    <row r="139" spans="1:8" x14ac:dyDescent="0.2">
      <c r="A139" s="74"/>
      <c r="B139" s="74"/>
      <c r="C139" s="74"/>
      <c r="D139" s="69"/>
      <c r="E139" s="74"/>
      <c r="F139" s="69"/>
      <c r="G139" s="74"/>
      <c r="H139" s="74"/>
    </row>
    <row r="140" spans="1:8" x14ac:dyDescent="0.2">
      <c r="A140" s="69"/>
      <c r="B140" s="242" t="s">
        <v>584</v>
      </c>
      <c r="C140" s="641" t="str">
        <f>IFERROR(INDEX(B$1:B$100,MATCH(B140,G$1:G$100,0)),"")</f>
        <v>Oksana Sažina</v>
      </c>
      <c r="D140" s="69"/>
      <c r="E140" s="241">
        <f>IF(C140="-",0,IF(C142="-",13,""))</f>
        <v>13</v>
      </c>
      <c r="F140" s="69"/>
      <c r="G140" s="241"/>
      <c r="H140" s="74"/>
    </row>
    <row r="141" spans="1:8" x14ac:dyDescent="0.2">
      <c r="A141" s="69"/>
      <c r="B141" s="242"/>
      <c r="C141" s="684"/>
      <c r="D141" s="686"/>
      <c r="E141" s="643" t="str">
        <f>IF(COUNT(E140,E142)=2,IF(E140&gt;E142,C140,C142),"")</f>
        <v>Oksana Sažina</v>
      </c>
      <c r="F141" s="69"/>
      <c r="G141" s="648">
        <v>9</v>
      </c>
      <c r="H141" s="74"/>
    </row>
    <row r="142" spans="1:8" x14ac:dyDescent="0.2">
      <c r="A142" s="69"/>
      <c r="B142" s="242"/>
      <c r="C142" s="650" t="s">
        <v>573</v>
      </c>
      <c r="D142" s="655"/>
      <c r="E142" s="244">
        <f>IF(C142="-",0,IF(C140="-",13,""))</f>
        <v>0</v>
      </c>
      <c r="F142" s="652"/>
      <c r="G142" s="241"/>
      <c r="H142" s="74"/>
    </row>
    <row r="143" spans="1:8" ht="13.5" thickBot="1" x14ac:dyDescent="0.25">
      <c r="A143" s="69"/>
      <c r="B143" s="242"/>
      <c r="C143" s="241"/>
      <c r="D143" s="69"/>
      <c r="E143" s="247"/>
      <c r="F143" s="653"/>
      <c r="G143" s="241"/>
      <c r="H143" s="418" t="str">
        <f>IF(COUNT(G141,G145)=2,IF(G141&gt;G145,E141,E145),"")</f>
        <v>Triin Gretel Tauk</v>
      </c>
    </row>
    <row r="144" spans="1:8" x14ac:dyDescent="0.2">
      <c r="A144" s="69"/>
      <c r="B144" s="242" t="s">
        <v>580</v>
      </c>
      <c r="C144" s="641" t="str">
        <f>IFERROR(INDEX(B$1:B$100,MATCH(B144,G$1:G$100,0)),"")</f>
        <v>Triin Gretel Tauk</v>
      </c>
      <c r="D144" s="69"/>
      <c r="E144" s="241">
        <f>IF(C144="-",0,IF(C146="-",13,""))</f>
        <v>13</v>
      </c>
      <c r="F144" s="653"/>
      <c r="G144" s="420"/>
      <c r="H144" s="250" t="s">
        <v>376</v>
      </c>
    </row>
    <row r="145" spans="1:8" x14ac:dyDescent="0.2">
      <c r="A145" s="69"/>
      <c r="B145" s="242"/>
      <c r="C145" s="684"/>
      <c r="D145" s="686"/>
      <c r="E145" s="643" t="str">
        <f>IF(COUNT(E144,E146)=2,IF(E144&gt;E146,C144,C146),"")</f>
        <v>Triin Gretel Tauk</v>
      </c>
      <c r="F145" s="655"/>
      <c r="G145" s="247">
        <v>13</v>
      </c>
      <c r="H145" s="49"/>
    </row>
    <row r="146" spans="1:8" ht="13.5" thickBot="1" x14ac:dyDescent="0.25">
      <c r="A146" s="69"/>
      <c r="B146" s="242"/>
      <c r="C146" s="650" t="s">
        <v>573</v>
      </c>
      <c r="D146" s="655"/>
      <c r="E146" s="244">
        <f>IF(C146="-",0,IF(C144="-",13,""))</f>
        <v>0</v>
      </c>
      <c r="F146" s="69"/>
      <c r="G146" s="247"/>
      <c r="H146" s="425" t="str">
        <f>IF(COUNT(G141,G145)=2,IF(G141&lt;G145,E141,E145),"")</f>
        <v>Oksana Sažina</v>
      </c>
    </row>
    <row r="147" spans="1:8" x14ac:dyDescent="0.2">
      <c r="A147" s="69"/>
      <c r="B147" s="74"/>
      <c r="C147" s="241"/>
      <c r="D147" s="69"/>
      <c r="E147" s="241"/>
      <c r="F147" s="69"/>
      <c r="G147" s="247"/>
      <c r="H147" s="250" t="s">
        <v>377</v>
      </c>
    </row>
    <row r="148" spans="1:8" x14ac:dyDescent="0.2">
      <c r="A148" s="69"/>
      <c r="B148" s="74"/>
      <c r="C148" s="247"/>
      <c r="D148" s="69"/>
      <c r="E148" s="418" t="str">
        <f>IF(COUNT(E140,E142)=2,IF(E140&lt;E142,C140,C142),"")</f>
        <v>-</v>
      </c>
      <c r="F148" s="69"/>
      <c r="G148" s="247"/>
      <c r="H148" s="49"/>
    </row>
    <row r="149" spans="1:8" ht="13.5" thickBot="1" x14ac:dyDescent="0.25">
      <c r="A149" s="69"/>
      <c r="B149" s="74"/>
      <c r="C149" s="247"/>
      <c r="D149" s="69"/>
      <c r="E149" s="646"/>
      <c r="F149" s="652"/>
      <c r="G149" s="252"/>
      <c r="H149" s="425" t="str">
        <f>IF(COUNT(G148,G150)=2,IF(G148&gt;G150,E148,E150),"")</f>
        <v/>
      </c>
    </row>
    <row r="150" spans="1:8" x14ac:dyDescent="0.2">
      <c r="A150" s="69"/>
      <c r="B150" s="74"/>
      <c r="C150" s="247"/>
      <c r="D150" s="69"/>
      <c r="E150" s="417" t="str">
        <f>IF(COUNT(E144,E146)=2,IF(E144&lt;E146,C144,C146),"")</f>
        <v>-</v>
      </c>
      <c r="F150" s="655"/>
      <c r="G150" s="247"/>
      <c r="H150" s="253"/>
    </row>
    <row r="151" spans="1:8" x14ac:dyDescent="0.2">
      <c r="A151" s="69"/>
      <c r="B151" s="74"/>
      <c r="C151" s="49"/>
      <c r="D151" s="69"/>
      <c r="E151" s="74"/>
      <c r="F151" s="69"/>
      <c r="G151" s="74"/>
      <c r="H151" s="49"/>
    </row>
    <row r="152" spans="1:8" ht="13.5" thickBot="1" x14ac:dyDescent="0.25">
      <c r="A152" s="69"/>
      <c r="B152" s="74"/>
      <c r="C152" s="74"/>
      <c r="D152" s="69"/>
      <c r="E152" s="49"/>
      <c r="F152" s="69"/>
      <c r="G152" s="74"/>
      <c r="H152" s="252" t="str">
        <f>IF(COUNT(G148,G150)=2,IF(G148&lt;G150,E148,E150),"")</f>
        <v/>
      </c>
    </row>
    <row r="153" spans="1:8" x14ac:dyDescent="0.2">
      <c r="A153" s="69"/>
      <c r="B153" s="69"/>
      <c r="C153" s="69"/>
      <c r="D153" s="69"/>
      <c r="E153" s="69"/>
      <c r="F153" s="69"/>
      <c r="G153" s="69"/>
      <c r="H153" s="253"/>
    </row>
    <row r="154" spans="1:8" hidden="1" x14ac:dyDescent="0.2">
      <c r="H154" s="51"/>
    </row>
    <row r="155" spans="1:8" hidden="1" x14ac:dyDescent="0.2">
      <c r="F155" s="130"/>
      <c r="G155" s="130"/>
      <c r="H155" s="51"/>
    </row>
    <row r="156" spans="1:8" hidden="1" x14ac:dyDescent="0.2"/>
    <row r="157" spans="1:8" hidden="1" x14ac:dyDescent="0.2"/>
    <row r="158" spans="1:8" hidden="1" x14ac:dyDescent="0.2"/>
    <row r="159" spans="1:8" hidden="1" x14ac:dyDescent="0.2"/>
    <row r="160" spans="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20" hidden="1" x14ac:dyDescent="0.2"/>
    <row r="290" spans="1:20" hidden="1" x14ac:dyDescent="0.2"/>
    <row r="291" spans="1:20" hidden="1" x14ac:dyDescent="0.2"/>
    <row r="292" spans="1:20" hidden="1" x14ac:dyDescent="0.2"/>
    <row r="293" spans="1:20" hidden="1" x14ac:dyDescent="0.2"/>
    <row r="294" spans="1:20" hidden="1" x14ac:dyDescent="0.2"/>
    <row r="295" spans="1:20" hidden="1" x14ac:dyDescent="0.2"/>
    <row r="296" spans="1:20" hidden="1" x14ac:dyDescent="0.2">
      <c r="A296" s="78"/>
      <c r="B296" s="78"/>
      <c r="C296" s="78"/>
      <c r="D296" s="78"/>
      <c r="E296" s="78"/>
      <c r="F296" s="78"/>
      <c r="G296" s="78"/>
      <c r="H296" s="78"/>
      <c r="I296" s="78"/>
      <c r="J296" s="78"/>
      <c r="K296" s="78"/>
      <c r="L296" s="78"/>
      <c r="M296" s="78"/>
      <c r="N296" s="78"/>
      <c r="O296" s="78"/>
      <c r="P296" s="78"/>
      <c r="T296" s="78"/>
    </row>
    <row r="297" spans="1:20" hidden="1" x14ac:dyDescent="0.2">
      <c r="A297" s="78"/>
      <c r="B297" s="78"/>
      <c r="C297" s="78"/>
      <c r="D297" s="78"/>
      <c r="E297" s="78"/>
      <c r="F297" s="78"/>
      <c r="G297" s="78"/>
      <c r="H297" s="78"/>
      <c r="I297" s="78"/>
      <c r="J297" s="78"/>
      <c r="K297" s="78"/>
      <c r="L297" s="78"/>
      <c r="M297" s="78"/>
      <c r="N297" s="78"/>
      <c r="O297" s="78"/>
      <c r="P297" s="78"/>
      <c r="T297" s="78"/>
    </row>
    <row r="298" spans="1:20" x14ac:dyDescent="0.2">
      <c r="A298" s="78"/>
      <c r="B298" s="78"/>
      <c r="C298" s="78"/>
      <c r="D298" s="78"/>
      <c r="E298" s="78"/>
      <c r="F298" s="78"/>
      <c r="G298" s="78"/>
      <c r="H298" s="78"/>
      <c r="I298" s="78"/>
      <c r="J298" s="78"/>
      <c r="K298" s="78"/>
      <c r="L298" s="78"/>
      <c r="M298" s="78"/>
      <c r="N298" s="78"/>
      <c r="O298" s="78"/>
      <c r="P298" s="78"/>
      <c r="T298" s="78"/>
    </row>
    <row r="299" spans="1:20" x14ac:dyDescent="0.2">
      <c r="A299" s="78"/>
      <c r="B299" s="78"/>
      <c r="C299" s="663" t="s">
        <v>220</v>
      </c>
      <c r="D299" s="775" t="s">
        <v>28</v>
      </c>
      <c r="E299" s="78"/>
      <c r="F299" s="78"/>
      <c r="G299" s="78"/>
      <c r="H299" s="78"/>
      <c r="I299" s="78"/>
      <c r="J299" s="78"/>
      <c r="K299" s="78"/>
      <c r="L299" s="78"/>
      <c r="M299" s="78"/>
      <c r="N299" s="78"/>
      <c r="O299" s="78"/>
      <c r="P299" s="78"/>
      <c r="T299" s="78"/>
    </row>
    <row r="300" spans="1:20" x14ac:dyDescent="0.2">
      <c r="A300" s="113">
        <v>1</v>
      </c>
      <c r="B300" s="680" t="str">
        <f t="shared" ref="B300:B309" si="2">IFERROR(INDEX($H$100:$H$300,MATCH($A300&amp;"*",$H$101:$H$301,0)),"")</f>
        <v>Katri Aavekukk</v>
      </c>
      <c r="C300" s="664">
        <v>173</v>
      </c>
      <c r="D300" s="776">
        <v>105</v>
      </c>
      <c r="E300" s="78"/>
      <c r="F300" s="78"/>
      <c r="G300" s="78"/>
      <c r="H300" s="78"/>
      <c r="I300" s="78"/>
      <c r="J300" s="78"/>
      <c r="K300" s="78"/>
      <c r="L300" s="78"/>
      <c r="M300" s="78"/>
      <c r="N300" s="78"/>
      <c r="O300" s="78"/>
      <c r="P300" s="78"/>
      <c r="T300" s="78"/>
    </row>
    <row r="301" spans="1:20" x14ac:dyDescent="0.2">
      <c r="A301" s="113">
        <v>2</v>
      </c>
      <c r="B301" s="261" t="str">
        <f t="shared" si="2"/>
        <v>Varje Reede</v>
      </c>
      <c r="C301" s="665">
        <v>158</v>
      </c>
      <c r="D301" s="776">
        <v>93</v>
      </c>
      <c r="E301" s="78"/>
      <c r="F301" s="78"/>
      <c r="G301" s="78"/>
      <c r="H301" s="78"/>
      <c r="I301" s="78"/>
      <c r="J301" s="78"/>
      <c r="K301" s="78"/>
      <c r="L301" s="78"/>
      <c r="M301" s="78"/>
      <c r="N301" s="78"/>
      <c r="O301" s="78"/>
      <c r="P301" s="78"/>
      <c r="T301" s="78"/>
    </row>
    <row r="302" spans="1:20" x14ac:dyDescent="0.2">
      <c r="A302" s="113">
        <v>3</v>
      </c>
      <c r="B302" s="261" t="str">
        <f t="shared" si="2"/>
        <v>Merike Aava</v>
      </c>
      <c r="C302" s="665">
        <v>146</v>
      </c>
      <c r="D302" s="776">
        <v>83</v>
      </c>
      <c r="E302" s="78"/>
      <c r="F302" s="78"/>
      <c r="G302" s="78"/>
      <c r="H302" s="78"/>
      <c r="I302" s="78"/>
      <c r="J302" s="78"/>
      <c r="K302" s="78"/>
      <c r="L302" s="78"/>
      <c r="M302" s="78"/>
      <c r="N302" s="78"/>
      <c r="O302" s="78"/>
      <c r="P302" s="78"/>
      <c r="T302" s="78"/>
    </row>
    <row r="303" spans="1:20" x14ac:dyDescent="0.2">
      <c r="A303" s="113">
        <v>4</v>
      </c>
      <c r="B303" s="201" t="str">
        <f t="shared" si="2"/>
        <v>Maive Sein</v>
      </c>
      <c r="C303" s="665">
        <v>135</v>
      </c>
      <c r="D303" s="776">
        <v>74</v>
      </c>
      <c r="E303" s="78"/>
      <c r="F303" s="78"/>
      <c r="G303" s="78"/>
      <c r="H303" s="78"/>
      <c r="I303" s="78"/>
      <c r="J303" s="78"/>
      <c r="K303" s="78"/>
      <c r="L303" s="78"/>
      <c r="M303" s="78"/>
      <c r="N303" s="78"/>
      <c r="O303" s="78"/>
      <c r="P303" s="78"/>
      <c r="T303" s="78"/>
    </row>
    <row r="304" spans="1:20" x14ac:dyDescent="0.2">
      <c r="A304" s="113">
        <v>5</v>
      </c>
      <c r="B304" s="201" t="str">
        <f t="shared" si="2"/>
        <v>Aigi Orro</v>
      </c>
      <c r="C304" s="665">
        <v>126</v>
      </c>
      <c r="D304" s="776">
        <v>65</v>
      </c>
      <c r="E304" s="78"/>
      <c r="F304" s="78"/>
      <c r="G304" s="78"/>
      <c r="H304" s="78"/>
      <c r="I304" s="78"/>
      <c r="J304" s="78"/>
      <c r="K304" s="78"/>
      <c r="L304" s="78"/>
      <c r="M304" s="78"/>
      <c r="N304" s="78"/>
      <c r="O304" s="78"/>
      <c r="P304" s="78"/>
      <c r="T304" s="78"/>
    </row>
    <row r="305" spans="1:20" x14ac:dyDescent="0.2">
      <c r="A305" s="113">
        <v>6</v>
      </c>
      <c r="B305" s="201" t="str">
        <f t="shared" si="2"/>
        <v>Marge Mägi</v>
      </c>
      <c r="C305" s="665">
        <v>119</v>
      </c>
      <c r="D305" s="776">
        <v>57</v>
      </c>
      <c r="E305" s="78"/>
      <c r="F305" s="78"/>
      <c r="G305" s="78"/>
      <c r="H305" s="78"/>
      <c r="I305" s="78"/>
      <c r="J305" s="78"/>
      <c r="K305" s="78"/>
      <c r="L305" s="78"/>
      <c r="M305" s="78"/>
      <c r="N305" s="78"/>
      <c r="O305" s="78"/>
      <c r="P305" s="78"/>
      <c r="T305" s="78"/>
    </row>
    <row r="306" spans="1:20" x14ac:dyDescent="0.2">
      <c r="A306" s="113">
        <v>7</v>
      </c>
      <c r="B306" s="201" t="str">
        <f t="shared" si="2"/>
        <v>Marta Ruus</v>
      </c>
      <c r="C306" s="665">
        <v>111</v>
      </c>
      <c r="D306" s="776">
        <v>50</v>
      </c>
      <c r="E306" s="78"/>
      <c r="F306" s="78"/>
      <c r="G306" s="78"/>
      <c r="H306" s="78"/>
      <c r="I306" s="78"/>
      <c r="J306" s="78"/>
      <c r="K306" s="78"/>
      <c r="L306" s="78"/>
      <c r="M306" s="78"/>
      <c r="N306" s="78"/>
      <c r="O306" s="78"/>
      <c r="P306" s="78"/>
      <c r="T306" s="78"/>
    </row>
    <row r="307" spans="1:20" x14ac:dyDescent="0.2">
      <c r="A307" s="113">
        <v>8</v>
      </c>
      <c r="B307" s="201" t="str">
        <f t="shared" si="2"/>
        <v>Mare Kingissepp</v>
      </c>
      <c r="C307" s="665">
        <v>104</v>
      </c>
      <c r="D307" s="776">
        <v>42</v>
      </c>
      <c r="E307" s="78"/>
      <c r="F307" s="78"/>
      <c r="G307" s="78"/>
      <c r="H307" s="78"/>
      <c r="I307" s="78"/>
      <c r="J307" s="78"/>
      <c r="K307" s="78"/>
      <c r="L307" s="78"/>
      <c r="M307" s="78"/>
      <c r="N307" s="78"/>
      <c r="O307" s="78"/>
      <c r="P307" s="78"/>
      <c r="T307" s="78"/>
    </row>
    <row r="308" spans="1:20" x14ac:dyDescent="0.2">
      <c r="A308" s="113">
        <v>9</v>
      </c>
      <c r="B308" s="201" t="str">
        <f t="shared" si="2"/>
        <v>Triin Gretel Tauk</v>
      </c>
      <c r="C308" s="665">
        <v>96</v>
      </c>
      <c r="D308" s="776">
        <v>35</v>
      </c>
      <c r="E308" s="78"/>
      <c r="F308" s="78"/>
      <c r="G308" s="78"/>
      <c r="H308" s="78"/>
      <c r="I308" s="78"/>
      <c r="J308" s="78"/>
      <c r="K308" s="78"/>
      <c r="L308" s="78"/>
      <c r="M308" s="78"/>
      <c r="N308" s="78"/>
      <c r="O308" s="78"/>
      <c r="P308" s="78"/>
      <c r="T308" s="78"/>
    </row>
    <row r="309" spans="1:20" x14ac:dyDescent="0.2">
      <c r="A309" s="113">
        <v>10</v>
      </c>
      <c r="B309" s="201" t="str">
        <f t="shared" si="2"/>
        <v>Oksana Sažina</v>
      </c>
      <c r="C309" s="665">
        <v>90</v>
      </c>
      <c r="D309" s="776">
        <v>29</v>
      </c>
      <c r="E309" s="78"/>
      <c r="F309" s="78"/>
      <c r="G309" s="78"/>
      <c r="H309" s="78"/>
      <c r="I309" s="78"/>
      <c r="J309" s="78"/>
      <c r="K309" s="78"/>
      <c r="L309" s="78"/>
      <c r="M309" s="78"/>
      <c r="N309" s="78"/>
      <c r="O309" s="78"/>
      <c r="P309" s="78"/>
      <c r="T309" s="78"/>
    </row>
    <row r="310" spans="1:20" hidden="1" x14ac:dyDescent="0.2">
      <c r="A310" s="78"/>
      <c r="B310" s="78"/>
      <c r="C310" s="665">
        <v>84</v>
      </c>
      <c r="D310" s="776">
        <v>23</v>
      </c>
      <c r="E310" s="78"/>
      <c r="F310" s="78"/>
      <c r="G310" s="78"/>
      <c r="H310" s="78"/>
      <c r="I310" s="78"/>
      <c r="J310" s="78"/>
      <c r="K310" s="78"/>
      <c r="L310" s="78"/>
      <c r="M310" s="78"/>
      <c r="N310" s="78"/>
      <c r="O310" s="78"/>
      <c r="P310" s="78"/>
      <c r="Q310" s="78"/>
      <c r="R310" s="78"/>
      <c r="S310" s="78"/>
      <c r="T310" s="78"/>
    </row>
    <row r="311" spans="1:20" hidden="1" x14ac:dyDescent="0.2">
      <c r="A311" s="78"/>
      <c r="B311" s="78"/>
      <c r="C311" s="666">
        <v>78</v>
      </c>
      <c r="D311" s="776">
        <v>17</v>
      </c>
      <c r="E311" s="78"/>
      <c r="F311" s="78"/>
      <c r="G311" s="78"/>
      <c r="H311" s="78"/>
      <c r="I311" s="78"/>
      <c r="J311" s="78"/>
      <c r="K311" s="78"/>
      <c r="L311" s="78"/>
      <c r="M311" s="78"/>
      <c r="N311" s="78"/>
      <c r="O311" s="78"/>
      <c r="P311" s="78"/>
      <c r="Q311" s="78"/>
      <c r="R311" s="78"/>
      <c r="S311" s="78"/>
      <c r="T311" s="78"/>
    </row>
    <row r="312" spans="1:20" hidden="1" x14ac:dyDescent="0.2">
      <c r="A312" s="78"/>
      <c r="B312" s="78"/>
      <c r="C312" s="666">
        <v>74</v>
      </c>
      <c r="D312" s="776">
        <v>12</v>
      </c>
      <c r="E312" s="78"/>
      <c r="F312" s="78"/>
      <c r="G312" s="78"/>
      <c r="H312" s="78"/>
      <c r="I312" s="78"/>
      <c r="J312" s="78"/>
      <c r="K312" s="78"/>
      <c r="L312" s="78"/>
      <c r="M312" s="78"/>
      <c r="N312" s="78"/>
      <c r="O312" s="78"/>
      <c r="P312" s="78"/>
      <c r="Q312" s="78"/>
      <c r="R312" s="78"/>
      <c r="S312" s="78"/>
      <c r="T312" s="78"/>
    </row>
    <row r="313" spans="1:20" hidden="1" x14ac:dyDescent="0.2">
      <c r="A313" s="78"/>
      <c r="B313" s="78"/>
      <c r="C313" s="666">
        <v>69</v>
      </c>
      <c r="D313" s="776">
        <v>8</v>
      </c>
      <c r="E313" s="78"/>
      <c r="F313" s="78"/>
      <c r="G313" s="78"/>
      <c r="H313" s="78"/>
      <c r="I313" s="78"/>
      <c r="J313" s="78"/>
      <c r="K313" s="78"/>
      <c r="L313" s="78"/>
      <c r="M313" s="78"/>
      <c r="N313" s="78"/>
      <c r="O313" s="78"/>
      <c r="P313" s="78"/>
      <c r="Q313" s="78"/>
      <c r="R313" s="78"/>
      <c r="S313" s="78"/>
      <c r="T313" s="78"/>
    </row>
    <row r="314" spans="1:20" hidden="1" x14ac:dyDescent="0.2">
      <c r="A314" s="78"/>
      <c r="B314" s="78"/>
      <c r="C314" s="666">
        <v>65</v>
      </c>
      <c r="D314" s="776">
        <v>5</v>
      </c>
      <c r="E314" s="78"/>
      <c r="F314" s="78"/>
      <c r="G314" s="78"/>
      <c r="H314" s="78"/>
      <c r="I314" s="78"/>
      <c r="J314" s="78"/>
      <c r="K314" s="78"/>
      <c r="L314" s="78"/>
      <c r="M314" s="78"/>
      <c r="N314" s="78"/>
      <c r="O314" s="78"/>
      <c r="P314" s="78"/>
      <c r="Q314" s="78"/>
      <c r="R314" s="78"/>
      <c r="S314" s="78"/>
      <c r="T314" s="78"/>
    </row>
    <row r="315" spans="1:20" hidden="1" x14ac:dyDescent="0.2">
      <c r="A315" s="78"/>
      <c r="B315" s="78"/>
      <c r="C315" s="666">
        <v>60</v>
      </c>
      <c r="D315" s="776">
        <v>3</v>
      </c>
      <c r="E315" s="78"/>
      <c r="F315" s="78"/>
      <c r="G315" s="78"/>
      <c r="H315" s="78"/>
      <c r="I315" s="78"/>
      <c r="J315" s="78"/>
      <c r="K315" s="78"/>
      <c r="L315" s="78"/>
      <c r="M315" s="78"/>
      <c r="N315" s="78"/>
      <c r="O315" s="78"/>
      <c r="P315" s="78"/>
      <c r="Q315" s="78"/>
      <c r="R315" s="78"/>
      <c r="S315" s="78"/>
      <c r="T315" s="78"/>
    </row>
    <row r="316" spans="1:20" hidden="1" x14ac:dyDescent="0.2">
      <c r="A316" s="78"/>
      <c r="B316" s="78"/>
      <c r="C316" s="666">
        <v>56</v>
      </c>
      <c r="D316" s="776">
        <v>1</v>
      </c>
      <c r="E316" s="78"/>
      <c r="F316" s="78"/>
      <c r="G316" s="78"/>
      <c r="H316" s="78"/>
      <c r="I316" s="78"/>
      <c r="J316" s="78"/>
      <c r="K316" s="78"/>
      <c r="L316" s="78"/>
      <c r="M316" s="78"/>
      <c r="N316" s="78"/>
      <c r="O316" s="78"/>
      <c r="P316" s="78"/>
      <c r="Q316" s="78"/>
      <c r="R316" s="78"/>
      <c r="S316" s="78"/>
      <c r="T316" s="78"/>
    </row>
    <row r="317" spans="1:20" hidden="1" x14ac:dyDescent="0.2">
      <c r="A317" s="78"/>
      <c r="B317" s="78"/>
      <c r="C317" s="666">
        <v>51</v>
      </c>
      <c r="D317" s="776">
        <v>1</v>
      </c>
      <c r="E317" s="78"/>
      <c r="F317" s="78"/>
      <c r="G317" s="78"/>
      <c r="H317" s="78"/>
      <c r="I317" s="78"/>
      <c r="J317" s="78"/>
      <c r="K317" s="78"/>
      <c r="L317" s="78"/>
      <c r="M317" s="78"/>
      <c r="N317" s="78"/>
      <c r="O317" s="78"/>
      <c r="P317" s="78"/>
      <c r="Q317" s="78"/>
      <c r="R317" s="78"/>
      <c r="S317" s="78"/>
      <c r="T317" s="78"/>
    </row>
    <row r="318" spans="1:20" hidden="1" x14ac:dyDescent="0.2">
      <c r="A318" s="78"/>
      <c r="B318" s="78"/>
      <c r="C318" s="666">
        <v>47</v>
      </c>
      <c r="D318" s="776">
        <v>1</v>
      </c>
      <c r="E318" s="78"/>
      <c r="F318" s="78"/>
      <c r="G318" s="78"/>
      <c r="H318" s="78"/>
      <c r="I318" s="78"/>
      <c r="J318" s="78"/>
      <c r="K318" s="78"/>
      <c r="L318" s="78"/>
      <c r="M318" s="78"/>
      <c r="N318" s="78"/>
      <c r="O318" s="78"/>
      <c r="P318" s="78"/>
      <c r="Q318" s="78"/>
      <c r="R318" s="78"/>
      <c r="S318" s="78"/>
      <c r="T318" s="78"/>
    </row>
    <row r="319" spans="1:20" hidden="1" x14ac:dyDescent="0.2">
      <c r="A319" s="78"/>
      <c r="B319" s="78"/>
      <c r="C319" s="666">
        <v>42</v>
      </c>
      <c r="D319" s="776">
        <v>1</v>
      </c>
      <c r="E319" s="78"/>
      <c r="F319" s="78"/>
      <c r="G319" s="78"/>
      <c r="H319" s="78"/>
      <c r="I319" s="78"/>
      <c r="J319" s="78"/>
      <c r="K319" s="78"/>
      <c r="L319" s="78"/>
      <c r="M319" s="78"/>
      <c r="N319" s="78"/>
      <c r="O319" s="78"/>
      <c r="P319" s="78"/>
      <c r="Q319" s="78"/>
      <c r="R319" s="78"/>
      <c r="S319" s="78"/>
      <c r="T319" s="78"/>
    </row>
    <row r="320" spans="1:20" hidden="1" x14ac:dyDescent="0.2">
      <c r="A320" s="78"/>
      <c r="B320" s="78"/>
      <c r="C320" s="666">
        <v>38</v>
      </c>
      <c r="D320" s="776">
        <v>1</v>
      </c>
      <c r="E320" s="78"/>
      <c r="F320" s="78"/>
      <c r="G320" s="78"/>
      <c r="H320" s="78"/>
      <c r="I320" s="78"/>
      <c r="J320" s="78"/>
      <c r="K320" s="78"/>
      <c r="L320" s="78"/>
      <c r="M320" s="78"/>
      <c r="N320" s="78"/>
      <c r="O320" s="78"/>
      <c r="P320" s="78"/>
      <c r="Q320" s="78"/>
      <c r="R320" s="78"/>
      <c r="S320" s="78"/>
      <c r="T320" s="78"/>
    </row>
    <row r="321" spans="1:20" hidden="1" x14ac:dyDescent="0.2">
      <c r="A321" s="78"/>
      <c r="B321" s="78"/>
      <c r="C321" s="666">
        <v>33</v>
      </c>
      <c r="D321" s="776">
        <v>1</v>
      </c>
      <c r="E321" s="78"/>
      <c r="F321" s="78"/>
      <c r="G321" s="78"/>
      <c r="H321" s="78"/>
      <c r="I321" s="78"/>
      <c r="J321" s="78"/>
      <c r="K321" s="78"/>
      <c r="L321" s="78"/>
      <c r="M321" s="78"/>
      <c r="N321" s="78"/>
      <c r="O321" s="78"/>
      <c r="P321" s="78"/>
      <c r="Q321" s="78"/>
      <c r="R321" s="78"/>
      <c r="S321" s="78"/>
      <c r="T321" s="78"/>
    </row>
    <row r="322" spans="1:20" hidden="1" x14ac:dyDescent="0.2">
      <c r="A322" s="78"/>
      <c r="B322" s="78"/>
      <c r="C322" s="666">
        <v>29</v>
      </c>
      <c r="D322" s="776">
        <v>1</v>
      </c>
      <c r="E322" s="78"/>
      <c r="F322" s="78"/>
      <c r="G322" s="78"/>
      <c r="H322" s="78"/>
      <c r="I322" s="78"/>
      <c r="J322" s="78"/>
      <c r="K322" s="78"/>
      <c r="L322" s="78"/>
      <c r="M322" s="78"/>
      <c r="N322" s="78"/>
      <c r="O322" s="78"/>
      <c r="P322" s="78"/>
      <c r="Q322" s="78"/>
      <c r="R322" s="78"/>
      <c r="S322" s="78"/>
      <c r="T322" s="78"/>
    </row>
    <row r="323" spans="1:20" hidden="1" x14ac:dyDescent="0.2">
      <c r="A323" s="78"/>
      <c r="B323" s="78"/>
      <c r="C323" s="666">
        <v>24</v>
      </c>
      <c r="D323" s="776">
        <v>1</v>
      </c>
      <c r="E323" s="78"/>
      <c r="F323" s="78"/>
      <c r="G323" s="78"/>
      <c r="H323" s="78"/>
      <c r="I323" s="78"/>
      <c r="J323" s="78"/>
      <c r="K323" s="78"/>
      <c r="L323" s="78"/>
      <c r="M323" s="78"/>
      <c r="N323" s="78"/>
      <c r="O323" s="78"/>
      <c r="P323" s="78"/>
      <c r="Q323" s="78"/>
      <c r="R323" s="78"/>
      <c r="S323" s="78"/>
      <c r="T323" s="78"/>
    </row>
    <row r="324" spans="1:20" hidden="1" x14ac:dyDescent="0.2">
      <c r="A324" s="78"/>
      <c r="B324" s="78"/>
      <c r="C324" s="666">
        <v>21</v>
      </c>
      <c r="D324" s="776">
        <v>1</v>
      </c>
      <c r="E324" s="78"/>
      <c r="F324" s="78"/>
      <c r="G324" s="78"/>
      <c r="H324" s="78"/>
      <c r="I324" s="78"/>
      <c r="J324" s="78"/>
      <c r="K324" s="78"/>
      <c r="L324" s="78"/>
      <c r="M324" s="78"/>
      <c r="N324" s="78"/>
      <c r="O324" s="78"/>
      <c r="P324" s="78"/>
      <c r="Q324" s="78"/>
      <c r="R324" s="78"/>
      <c r="S324" s="78"/>
      <c r="T324" s="78"/>
    </row>
    <row r="325" spans="1:20" hidden="1" x14ac:dyDescent="0.2">
      <c r="A325" s="78"/>
      <c r="B325" s="78"/>
      <c r="C325" s="666">
        <v>18</v>
      </c>
      <c r="D325" s="776">
        <v>1</v>
      </c>
      <c r="E325" s="78"/>
      <c r="F325" s="78"/>
      <c r="G325" s="78"/>
      <c r="H325" s="78"/>
      <c r="I325" s="78"/>
      <c r="J325" s="78"/>
      <c r="K325" s="78"/>
      <c r="L325" s="78"/>
      <c r="M325" s="78"/>
      <c r="N325" s="78"/>
      <c r="O325" s="78"/>
      <c r="P325" s="78"/>
      <c r="Q325" s="78"/>
      <c r="R325" s="78"/>
      <c r="S325" s="78"/>
      <c r="T325" s="78"/>
    </row>
    <row r="326" spans="1:20" hidden="1" x14ac:dyDescent="0.2">
      <c r="A326" s="78"/>
      <c r="B326" s="78"/>
      <c r="C326" s="666">
        <v>16</v>
      </c>
      <c r="D326" s="776">
        <v>1</v>
      </c>
      <c r="E326" s="78"/>
      <c r="F326" s="78"/>
      <c r="G326" s="78"/>
      <c r="H326" s="78"/>
      <c r="I326" s="78"/>
      <c r="J326" s="78"/>
      <c r="K326" s="78"/>
      <c r="L326" s="78"/>
      <c r="M326" s="78"/>
      <c r="N326" s="78"/>
      <c r="O326" s="78"/>
      <c r="P326" s="78"/>
      <c r="Q326" s="78"/>
      <c r="R326" s="78"/>
      <c r="S326" s="78"/>
      <c r="T326" s="78"/>
    </row>
    <row r="327" spans="1:20" hidden="1" x14ac:dyDescent="0.2">
      <c r="A327" s="78"/>
      <c r="B327" s="78"/>
      <c r="C327" s="666">
        <v>14</v>
      </c>
      <c r="D327" s="776">
        <v>1</v>
      </c>
      <c r="E327" s="78"/>
      <c r="F327" s="78"/>
      <c r="G327" s="78"/>
      <c r="H327" s="78"/>
      <c r="I327" s="78"/>
      <c r="J327" s="78"/>
      <c r="K327" s="78"/>
      <c r="L327" s="78"/>
      <c r="M327" s="78"/>
      <c r="N327" s="78"/>
      <c r="O327" s="78"/>
      <c r="P327" s="78"/>
      <c r="Q327" s="78"/>
      <c r="R327" s="78"/>
      <c r="S327" s="78"/>
      <c r="T327" s="78"/>
    </row>
    <row r="328" spans="1:20" hidden="1" x14ac:dyDescent="0.2">
      <c r="A328" s="78"/>
      <c r="B328" s="78"/>
      <c r="C328" s="666">
        <v>12</v>
      </c>
      <c r="D328" s="776">
        <v>1</v>
      </c>
      <c r="E328" s="78"/>
      <c r="F328" s="78"/>
      <c r="G328" s="78"/>
      <c r="H328" s="78"/>
      <c r="I328" s="78"/>
      <c r="J328" s="78"/>
      <c r="K328" s="78"/>
      <c r="L328" s="78"/>
      <c r="M328" s="78"/>
      <c r="N328" s="78"/>
      <c r="O328" s="78"/>
      <c r="P328" s="78"/>
      <c r="Q328" s="78"/>
      <c r="R328" s="78"/>
      <c r="S328" s="78"/>
      <c r="T328" s="78"/>
    </row>
    <row r="329" spans="1:20" hidden="1" x14ac:dyDescent="0.2">
      <c r="A329" s="78"/>
      <c r="B329" s="78"/>
      <c r="C329" s="666">
        <v>10</v>
      </c>
      <c r="D329" s="776">
        <v>1</v>
      </c>
      <c r="E329" s="78"/>
      <c r="F329" s="78"/>
      <c r="G329" s="78"/>
      <c r="H329" s="78"/>
      <c r="I329" s="78"/>
      <c r="J329" s="78"/>
      <c r="K329" s="78"/>
      <c r="L329" s="78"/>
      <c r="M329" s="78"/>
      <c r="N329" s="78"/>
      <c r="O329" s="78"/>
      <c r="P329" s="78"/>
      <c r="Q329" s="78"/>
      <c r="R329" s="78"/>
      <c r="S329" s="78"/>
      <c r="T329" s="78"/>
    </row>
    <row r="330" spans="1:20" hidden="1" x14ac:dyDescent="0.2">
      <c r="A330" s="78"/>
      <c r="B330" s="78"/>
      <c r="C330" s="666">
        <v>8</v>
      </c>
      <c r="D330" s="776">
        <v>1</v>
      </c>
      <c r="E330" s="78"/>
      <c r="F330" s="78"/>
      <c r="G330" s="78"/>
      <c r="H330" s="78"/>
      <c r="I330" s="78"/>
      <c r="J330" s="78"/>
      <c r="K330" s="78"/>
      <c r="L330" s="78"/>
      <c r="M330" s="78"/>
      <c r="N330" s="78"/>
      <c r="O330" s="78"/>
      <c r="P330" s="78"/>
      <c r="Q330" s="78"/>
      <c r="R330" s="78"/>
      <c r="S330" s="78"/>
      <c r="T330" s="78"/>
    </row>
    <row r="331" spans="1:20" hidden="1" x14ac:dyDescent="0.2">
      <c r="A331" s="78"/>
      <c r="B331" s="78"/>
      <c r="C331" s="666">
        <v>6</v>
      </c>
      <c r="D331" s="776">
        <v>1</v>
      </c>
      <c r="E331" s="78"/>
      <c r="F331" s="78"/>
      <c r="G331" s="78"/>
      <c r="H331" s="78"/>
      <c r="I331" s="78"/>
      <c r="J331" s="78"/>
      <c r="K331" s="78"/>
      <c r="L331" s="78"/>
      <c r="M331" s="78"/>
      <c r="N331" s="78"/>
      <c r="O331" s="78"/>
      <c r="P331" s="78"/>
      <c r="Q331" s="78"/>
      <c r="R331" s="78"/>
      <c r="S331" s="78"/>
      <c r="T331" s="78"/>
    </row>
    <row r="332" spans="1:20" hidden="1" x14ac:dyDescent="0.2">
      <c r="A332" s="78"/>
      <c r="B332" s="78"/>
      <c r="C332" s="666">
        <v>3</v>
      </c>
      <c r="D332" s="776">
        <v>1</v>
      </c>
      <c r="E332" s="78"/>
      <c r="F332" s="78"/>
      <c r="G332" s="78"/>
      <c r="H332" s="78"/>
      <c r="I332" s="78"/>
      <c r="J332" s="78"/>
      <c r="K332" s="78"/>
      <c r="L332" s="78"/>
      <c r="M332" s="78"/>
      <c r="N332" s="78"/>
      <c r="O332" s="78"/>
      <c r="P332" s="78"/>
      <c r="Q332" s="78"/>
      <c r="R332" s="78"/>
      <c r="S332" s="78"/>
      <c r="T332" s="78"/>
    </row>
    <row r="333" spans="1:20" hidden="1" x14ac:dyDescent="0.2">
      <c r="A333" s="78"/>
      <c r="B333" s="78"/>
      <c r="C333" s="666">
        <v>0</v>
      </c>
      <c r="D333" s="78"/>
      <c r="E333" s="78"/>
      <c r="F333" s="78"/>
      <c r="G333" s="78"/>
      <c r="H333" s="78"/>
      <c r="I333" s="78"/>
      <c r="J333" s="78"/>
      <c r="K333" s="78"/>
      <c r="L333" s="78"/>
      <c r="M333" s="78"/>
      <c r="N333" s="78"/>
      <c r="O333" s="78"/>
      <c r="P333" s="78"/>
      <c r="Q333" s="78"/>
      <c r="R333" s="78"/>
      <c r="S333" s="78"/>
      <c r="T333" s="78"/>
    </row>
    <row r="334" spans="1:20" x14ac:dyDescent="0.2">
      <c r="A334" s="78"/>
      <c r="B334" s="78"/>
      <c r="C334" s="69"/>
      <c r="D334" s="78"/>
      <c r="E334" s="78"/>
      <c r="F334" s="78"/>
      <c r="G334" s="78"/>
      <c r="H334" s="78"/>
      <c r="I334" s="78"/>
      <c r="J334" s="78"/>
      <c r="K334" s="78"/>
      <c r="L334" s="78"/>
      <c r="M334" s="78"/>
      <c r="N334" s="78"/>
      <c r="O334" s="78"/>
      <c r="P334" s="78"/>
      <c r="Q334" s="78"/>
      <c r="R334" s="78"/>
      <c r="S334" s="78"/>
      <c r="T334" s="78"/>
    </row>
    <row r="335" spans="1:20" x14ac:dyDescent="0.2">
      <c r="A335" s="78"/>
      <c r="B335" s="78"/>
      <c r="C335" s="78"/>
      <c r="D335" s="78"/>
      <c r="E335" s="78"/>
      <c r="F335" s="78"/>
      <c r="G335" s="78"/>
      <c r="H335" s="78"/>
      <c r="I335" s="78"/>
      <c r="J335" s="78"/>
      <c r="K335" s="78"/>
      <c r="L335" s="78"/>
      <c r="M335" s="78"/>
      <c r="N335" s="78"/>
      <c r="O335" s="78"/>
      <c r="P335" s="78"/>
      <c r="Q335" s="78"/>
      <c r="R335" s="78"/>
      <c r="S335" s="78"/>
      <c r="T335" s="78"/>
    </row>
  </sheetData>
  <conditionalFormatting sqref="B25:B28">
    <cfRule type="duplicateValues" dxfId="841" priority="246"/>
  </conditionalFormatting>
  <conditionalFormatting sqref="G25:G28">
    <cfRule type="containsText" dxfId="840" priority="244" operator="containsText" text="2">
      <formula>NOT(ISERROR(SEARCH("2",G25)))</formula>
    </cfRule>
    <cfRule type="containsText" dxfId="839" priority="245" operator="containsText" text="1">
      <formula>NOT(ISERROR(SEARCH("1",G25)))</formula>
    </cfRule>
  </conditionalFormatting>
  <conditionalFormatting sqref="G28">
    <cfRule type="expression" dxfId="838" priority="243">
      <formula>B28="-"</formula>
    </cfRule>
  </conditionalFormatting>
  <conditionalFormatting sqref="C25">
    <cfRule type="aboveAverage" dxfId="837" priority="242"/>
  </conditionalFormatting>
  <conditionalFormatting sqref="C26:C27">
    <cfRule type="aboveAverage" dxfId="836" priority="241"/>
  </conditionalFormatting>
  <conditionalFormatting sqref="E25">
    <cfRule type="expression" dxfId="835" priority="239">
      <formula>AND(COUNT(E25:E28)&lt;2,IF(ISNUMBER(C25),C28&gt;C25))</formula>
    </cfRule>
  </conditionalFormatting>
  <conditionalFormatting sqref="E26">
    <cfRule type="expression" dxfId="834" priority="238">
      <formula>AND(COUNT(E25:E28)&lt;2,IF(ISNUMBER(C26),C27&gt;C26))</formula>
    </cfRule>
  </conditionalFormatting>
  <conditionalFormatting sqref="E25:E26">
    <cfRule type="aboveAverage" dxfId="833" priority="236"/>
  </conditionalFormatting>
  <conditionalFormatting sqref="F25">
    <cfRule type="expression" dxfId="832" priority="231">
      <formula>AND(COUNT(F25:F28)&lt;2,IF(COUNT(E25:E28)=2,IF(AND(ISNUMBER(E25),COUNTIF(E25:E28,E25)=1,E25=MAX(E25:E28)),TRUE,FALSE)))</formula>
    </cfRule>
    <cfRule type="expression" dxfId="831" priority="235">
      <formula>AND(COUNT(F25:F28)&lt;2,IF(COUNT(D25:D28)=2,IF(AND(ISNUMBER(D25),COUNTIF(D25:D28,D25)=1,D25=MIN(D25:D28)),TRUE,FALSE)))</formula>
    </cfRule>
  </conditionalFormatting>
  <conditionalFormatting sqref="F26">
    <cfRule type="expression" dxfId="830" priority="230">
      <formula>AND(COUNT(F25:F28)&lt;2,IF(COUNT(E25:E28)=2,IF(AND(ISNUMBER(E26),COUNTIF(E25:E28,E26)=1,E26=MAX(E25:E28)),TRUE,FALSE)))</formula>
    </cfRule>
    <cfRule type="expression" dxfId="829" priority="234">
      <formula>AND(COUNT(F25:F28)&lt;2,IF(COUNT(D25:D28)=2,IF(AND(ISNUMBER(D26),COUNTIF(D25:D28,D26)=1,D26=MIN(D25:D28)),TRUE,FALSE)))</formula>
    </cfRule>
  </conditionalFormatting>
  <conditionalFormatting sqref="F27">
    <cfRule type="expression" dxfId="828" priority="229">
      <formula>AND(COUNT(F25:F28)&lt;2,IF(COUNT(E25:E28)=2,IF(AND(ISNUMBER(E27),COUNTIF(E25:E28,E27)=1,E27=MAX(E25:E28)),TRUE,FALSE)))</formula>
    </cfRule>
    <cfRule type="expression" dxfId="827" priority="233">
      <formula>AND(COUNT(F25:F28)&lt;2,IF(COUNT(D25:D28)=2,IF(AND(ISNUMBER(D27),COUNTIF(D25:D28,D27)=1,D27=MIN(D25:D28)),TRUE,FALSE)))</formula>
    </cfRule>
  </conditionalFormatting>
  <conditionalFormatting sqref="F28">
    <cfRule type="expression" dxfId="826" priority="228">
      <formula>AND(COUNT(F25:F28)&lt;2,IF(COUNT(E25:E28)=2,IF(AND(ISNUMBER(E28),COUNTIF(E25:E28,E28)=1,E28=MAX(E25:E28)),TRUE,FALSE)))</formula>
    </cfRule>
    <cfRule type="expression" dxfId="825" priority="232">
      <formula>AND(COUNT(F25:F28)&lt;2,IF(COUNT(D25:D28)=2,IF(AND(ISNUMBER(D28),COUNTIF(D25:D28,D28)=1,D28=MIN(D25:D28)),TRUE,FALSE)))</formula>
    </cfRule>
  </conditionalFormatting>
  <conditionalFormatting sqref="F25:F28">
    <cfRule type="aboveAverage" dxfId="824" priority="227"/>
  </conditionalFormatting>
  <conditionalFormatting sqref="D25">
    <cfRule type="expression" dxfId="823" priority="226">
      <formula>AND(COUNT(D25:D28)&lt;2,IF(ISNUMBER(C28),C25&gt;C28))</formula>
    </cfRule>
  </conditionalFormatting>
  <conditionalFormatting sqref="D26">
    <cfRule type="expression" dxfId="822" priority="225">
      <formula>AND(COUNT(D25:D28)&lt;2,IF(ISNUMBER(C27),C26&gt;C27))</formula>
    </cfRule>
  </conditionalFormatting>
  <conditionalFormatting sqref="D27">
    <cfRule type="expression" dxfId="821" priority="224">
      <formula>AND(COUNT(D25:D28)&lt;2,IF(ISNUMBER(C26),C27&gt;C26))</formula>
    </cfRule>
  </conditionalFormatting>
  <conditionalFormatting sqref="D28">
    <cfRule type="expression" dxfId="820" priority="223">
      <formula>AND(COUNT(D25:D28)&lt;2,IF(ISNUMBER(C25),C28&gt;C25))</formula>
    </cfRule>
  </conditionalFormatting>
  <conditionalFormatting sqref="D25:D28">
    <cfRule type="aboveAverage" dxfId="819" priority="222"/>
  </conditionalFormatting>
  <conditionalFormatting sqref="B13:B16">
    <cfRule type="duplicateValues" dxfId="818" priority="221"/>
  </conditionalFormatting>
  <conditionalFormatting sqref="G13:G16">
    <cfRule type="containsText" dxfId="817" priority="219" operator="containsText" text="2">
      <formula>NOT(ISERROR(SEARCH("2",G13)))</formula>
    </cfRule>
    <cfRule type="containsText" dxfId="816" priority="220" operator="containsText" text="1">
      <formula>NOT(ISERROR(SEARCH("1",G13)))</formula>
    </cfRule>
  </conditionalFormatting>
  <conditionalFormatting sqref="G16">
    <cfRule type="expression" dxfId="815" priority="218">
      <formula>B16="-"</formula>
    </cfRule>
  </conditionalFormatting>
  <conditionalFormatting sqref="C13 C16">
    <cfRule type="aboveAverage" dxfId="814" priority="217"/>
  </conditionalFormatting>
  <conditionalFormatting sqref="C14:C15">
    <cfRule type="aboveAverage" dxfId="813" priority="216"/>
  </conditionalFormatting>
  <conditionalFormatting sqref="E16">
    <cfRule type="expression" dxfId="812" priority="215">
      <formula>AND(COUNT(E13:E16)&lt;2,IF(ISNUMBER(C16),C13&gt;C16))</formula>
    </cfRule>
  </conditionalFormatting>
  <conditionalFormatting sqref="E13">
    <cfRule type="expression" dxfId="811" priority="214">
      <formula>AND(COUNT(E13:E16)&lt;2,IF(ISNUMBER(C13),C16&gt;C13))</formula>
    </cfRule>
  </conditionalFormatting>
  <conditionalFormatting sqref="E14">
    <cfRule type="expression" dxfId="810" priority="213">
      <formula>AND(COUNT(E13:E16)&lt;2,IF(ISNUMBER(C14),C15&gt;C14))</formula>
    </cfRule>
  </conditionalFormatting>
  <conditionalFormatting sqref="E15">
    <cfRule type="expression" dxfId="809" priority="212">
      <formula>AND(COUNT(E13:E16)&lt;2,IF(ISNUMBER(C15),C14&gt;C15))</formula>
    </cfRule>
  </conditionalFormatting>
  <conditionalFormatting sqref="E13:E16">
    <cfRule type="aboveAverage" dxfId="808" priority="211"/>
  </conditionalFormatting>
  <conditionalFormatting sqref="F13">
    <cfRule type="expression" dxfId="807" priority="206">
      <formula>AND(COUNT(F13:F16)&lt;2,IF(COUNT(E13:E16)=2,IF(AND(ISNUMBER(E13),COUNTIF(E13:E16,E13)=1,E13=MAX(E13:E16)),TRUE,FALSE)))</formula>
    </cfRule>
    <cfRule type="expression" dxfId="806" priority="210">
      <formula>AND(COUNT(F13:F16)&lt;2,IF(COUNT(D13:D16)=2,IF(AND(ISNUMBER(D13),COUNTIF(D13:D16,D13)=1,D13=MIN(D13:D16)),TRUE,FALSE)))</formula>
    </cfRule>
  </conditionalFormatting>
  <conditionalFormatting sqref="F14">
    <cfRule type="expression" dxfId="805" priority="205">
      <formula>AND(COUNT(F13:F16)&lt;2,IF(COUNT(E13:E16)=2,IF(AND(ISNUMBER(E14),COUNTIF(E13:E16,E14)=1,E14=MAX(E13:E16)),TRUE,FALSE)))</formula>
    </cfRule>
    <cfRule type="expression" dxfId="804" priority="209">
      <formula>AND(COUNT(F13:F16)&lt;2,IF(COUNT(D13:D16)=2,IF(AND(ISNUMBER(D14),COUNTIF(D13:D16,D14)=1,D14=MIN(D13:D16)),TRUE,FALSE)))</formula>
    </cfRule>
  </conditionalFormatting>
  <conditionalFormatting sqref="F15">
    <cfRule type="expression" dxfId="803" priority="204">
      <formula>AND(COUNT(F13:F16)&lt;2,IF(COUNT(E13:E16)=2,IF(AND(ISNUMBER(E15),COUNTIF(E13:E16,E15)=1,E15=MAX(E13:E16)),TRUE,FALSE)))</formula>
    </cfRule>
    <cfRule type="expression" dxfId="802" priority="208">
      <formula>AND(COUNT(F13:F16)&lt;2,IF(COUNT(D13:D16)=2,IF(AND(ISNUMBER(D15),COUNTIF(D13:D16,D15)=1,D15=MIN(D13:D16)),TRUE,FALSE)))</formula>
    </cfRule>
  </conditionalFormatting>
  <conditionalFormatting sqref="F16">
    <cfRule type="expression" dxfId="801" priority="203">
      <formula>AND(COUNT(F13:F16)&lt;2,IF(COUNT(E13:E16)=2,IF(AND(ISNUMBER(E16),COUNTIF(E13:E16,E16)=1,E16=MAX(E13:E16)),TRUE,FALSE)))</formula>
    </cfRule>
    <cfRule type="expression" dxfId="800" priority="207">
      <formula>AND(COUNT(F13:F16)&lt;2,IF(COUNT(D13:D16)=2,IF(AND(ISNUMBER(D16),COUNTIF(D13:D16,D16)=1,D16=MIN(D13:D16)),TRUE,FALSE)))</formula>
    </cfRule>
  </conditionalFormatting>
  <conditionalFormatting sqref="F13:F16">
    <cfRule type="aboveAverage" dxfId="799" priority="202"/>
  </conditionalFormatting>
  <conditionalFormatting sqref="D13">
    <cfRule type="expression" dxfId="798" priority="201">
      <formula>AND(COUNT(D13:D16)&lt;2,IF(ISNUMBER(C16),C13&gt;C16))</formula>
    </cfRule>
  </conditionalFormatting>
  <conditionalFormatting sqref="D14">
    <cfRule type="expression" dxfId="797" priority="200">
      <formula>AND(COUNT(D13:D16)&lt;2,IF(ISNUMBER(C15),C14&gt;C15))</formula>
    </cfRule>
  </conditionalFormatting>
  <conditionalFormatting sqref="D15">
    <cfRule type="expression" dxfId="796" priority="199">
      <formula>AND(COUNT(D13:D16)&lt;2,IF(ISNUMBER(C14),C15&gt;C14))</formula>
    </cfRule>
  </conditionalFormatting>
  <conditionalFormatting sqref="D16">
    <cfRule type="expression" dxfId="795" priority="198">
      <formula>AND(COUNT(D13:D16)&lt;2,IF(ISNUMBER(C13),C16&gt;C13))</formula>
    </cfRule>
  </conditionalFormatting>
  <conditionalFormatting sqref="D13:D16">
    <cfRule type="aboveAverage" dxfId="794" priority="197"/>
  </conditionalFormatting>
  <conditionalFormatting sqref="B19:B22">
    <cfRule type="duplicateValues" dxfId="793" priority="196"/>
  </conditionalFormatting>
  <conditionalFormatting sqref="G19:G22">
    <cfRule type="containsText" dxfId="792" priority="194" operator="containsText" text="2">
      <formula>NOT(ISERROR(SEARCH("2",G19)))</formula>
    </cfRule>
    <cfRule type="containsText" dxfId="791" priority="195" operator="containsText" text="1">
      <formula>NOT(ISERROR(SEARCH("1",G19)))</formula>
    </cfRule>
  </conditionalFormatting>
  <conditionalFormatting sqref="G22">
    <cfRule type="expression" dxfId="790" priority="193">
      <formula>B22="-"</formula>
    </cfRule>
  </conditionalFormatting>
  <conditionalFormatting sqref="C19 C22">
    <cfRule type="aboveAverage" dxfId="789" priority="192"/>
  </conditionalFormatting>
  <conditionalFormatting sqref="C20:C21">
    <cfRule type="aboveAverage" dxfId="788" priority="191"/>
  </conditionalFormatting>
  <conditionalFormatting sqref="E22">
    <cfRule type="expression" dxfId="787" priority="190">
      <formula>AND(COUNT(E19:E22)&lt;2,IF(ISNUMBER(C22),C19&gt;C22))</formula>
    </cfRule>
  </conditionalFormatting>
  <conditionalFormatting sqref="E19">
    <cfRule type="expression" dxfId="786" priority="189">
      <formula>AND(COUNT(E19:E22)&lt;2,IF(ISNUMBER(C19),C22&gt;C19))</formula>
    </cfRule>
  </conditionalFormatting>
  <conditionalFormatting sqref="E20">
    <cfRule type="expression" dxfId="785" priority="188">
      <formula>AND(COUNT(E19:E22)&lt;2,IF(ISNUMBER(C20),C21&gt;C20))</formula>
    </cfRule>
  </conditionalFormatting>
  <conditionalFormatting sqref="E21">
    <cfRule type="expression" dxfId="784" priority="187">
      <formula>AND(COUNT(E19:E22)&lt;2,IF(ISNUMBER(C21),C20&gt;C21))</formula>
    </cfRule>
  </conditionalFormatting>
  <conditionalFormatting sqref="E19:E22">
    <cfRule type="aboveAverage" dxfId="783" priority="186"/>
  </conditionalFormatting>
  <conditionalFormatting sqref="F19">
    <cfRule type="expression" dxfId="782" priority="181">
      <formula>AND(COUNT(F19:F22)&lt;2,IF(COUNT(E19:E22)=2,IF(AND(ISNUMBER(E19),COUNTIF(E19:E22,E19)=1,E19=MAX(E19:E22)),TRUE,FALSE)))</formula>
    </cfRule>
    <cfRule type="expression" dxfId="781" priority="185">
      <formula>AND(COUNT(F19:F22)&lt;2,IF(COUNT(D19:D22)=2,IF(AND(ISNUMBER(D19),COUNTIF(D19:D22,D19)=1,D19=MIN(D19:D22)),TRUE,FALSE)))</formula>
    </cfRule>
  </conditionalFormatting>
  <conditionalFormatting sqref="F20">
    <cfRule type="expression" dxfId="780" priority="180">
      <formula>AND(COUNT(F19:F22)&lt;2,IF(COUNT(E19:E22)=2,IF(AND(ISNUMBER(E20),COUNTIF(E19:E22,E20)=1,E20=MAX(E19:E22)),TRUE,FALSE)))</formula>
    </cfRule>
    <cfRule type="expression" dxfId="779" priority="184">
      <formula>AND(COUNT(F19:F22)&lt;2,IF(COUNT(D19:D22)=2,IF(AND(ISNUMBER(D20),COUNTIF(D19:D22,D20)=1,D20=MIN(D19:D22)),TRUE,FALSE)))</formula>
    </cfRule>
  </conditionalFormatting>
  <conditionalFormatting sqref="F21">
    <cfRule type="expression" dxfId="778" priority="179">
      <formula>AND(COUNT(F19:F22)&lt;2,IF(COUNT(E19:E22)=2,IF(AND(ISNUMBER(E21),COUNTIF(E19:E22,E21)=1,E21=MAX(E19:E22)),TRUE,FALSE)))</formula>
    </cfRule>
    <cfRule type="expression" dxfId="777" priority="183">
      <formula>AND(COUNT(F19:F22)&lt;2,IF(COUNT(D19:D22)=2,IF(AND(ISNUMBER(D21),COUNTIF(D19:D22,D21)=1,D21=MIN(D19:D22)),TRUE,FALSE)))</formula>
    </cfRule>
  </conditionalFormatting>
  <conditionalFormatting sqref="F22">
    <cfRule type="expression" dxfId="776" priority="178">
      <formula>AND(COUNT(F19:F22)&lt;2,IF(COUNT(E19:E22)=2,IF(AND(ISNUMBER(E22),COUNTIF(E19:E22,E22)=1,E22=MAX(E19:E22)),TRUE,FALSE)))</formula>
    </cfRule>
    <cfRule type="expression" dxfId="775" priority="182">
      <formula>AND(COUNT(F19:F22)&lt;2,IF(COUNT(D19:D22)=2,IF(AND(ISNUMBER(D22),COUNTIF(D19:D22,D22)=1,D22=MIN(D19:D22)),TRUE,FALSE)))</formula>
    </cfRule>
  </conditionalFormatting>
  <conditionalFormatting sqref="F19:F22">
    <cfRule type="aboveAverage" dxfId="774" priority="177"/>
  </conditionalFormatting>
  <conditionalFormatting sqref="D19">
    <cfRule type="expression" dxfId="773" priority="176">
      <formula>AND(COUNT(D19:D22)&lt;2,IF(ISNUMBER(C22),C19&gt;C22))</formula>
    </cfRule>
  </conditionalFormatting>
  <conditionalFormatting sqref="D20">
    <cfRule type="expression" dxfId="772" priority="175">
      <formula>AND(COUNT(D19:D22)&lt;2,IF(ISNUMBER(C21),C20&gt;C21))</formula>
    </cfRule>
  </conditionalFormatting>
  <conditionalFormatting sqref="D21">
    <cfRule type="expression" dxfId="771" priority="174">
      <formula>AND(COUNT(D19:D22)&lt;2,IF(ISNUMBER(C20),C21&gt;C20))</formula>
    </cfRule>
  </conditionalFormatting>
  <conditionalFormatting sqref="D22">
    <cfRule type="expression" dxfId="770" priority="173">
      <formula>AND(COUNT(D19:D22)&lt;2,IF(ISNUMBER(C19),C22&gt;C19))</formula>
    </cfRule>
  </conditionalFormatting>
  <conditionalFormatting sqref="D19:D22">
    <cfRule type="aboveAverage" dxfId="769" priority="172"/>
  </conditionalFormatting>
  <conditionalFormatting sqref="B31:B34">
    <cfRule type="duplicateValues" dxfId="768" priority="171"/>
  </conditionalFormatting>
  <conditionalFormatting sqref="G31:G34">
    <cfRule type="containsText" dxfId="767" priority="169" operator="containsText" text="2">
      <formula>NOT(ISERROR(SEARCH("2",G31)))</formula>
    </cfRule>
    <cfRule type="containsText" dxfId="766" priority="170" operator="containsText" text="1">
      <formula>NOT(ISERROR(SEARCH("1",G31)))</formula>
    </cfRule>
  </conditionalFormatting>
  <conditionalFormatting sqref="G34">
    <cfRule type="expression" dxfId="765" priority="168">
      <formula>B34="-"</formula>
    </cfRule>
  </conditionalFormatting>
  <conditionalFormatting sqref="C31 C34">
    <cfRule type="aboveAverage" dxfId="764" priority="167"/>
  </conditionalFormatting>
  <conditionalFormatting sqref="C32:C33">
    <cfRule type="aboveAverage" dxfId="763" priority="166"/>
  </conditionalFormatting>
  <conditionalFormatting sqref="E34">
    <cfRule type="expression" dxfId="762" priority="165">
      <formula>AND(COUNT(E31:E34)&lt;2,IF(ISNUMBER(C34),C31&gt;C34))</formula>
    </cfRule>
  </conditionalFormatting>
  <conditionalFormatting sqref="E31">
    <cfRule type="expression" dxfId="761" priority="164">
      <formula>AND(COUNT(E31:E34)&lt;2,IF(ISNUMBER(C31),C34&gt;C31))</formula>
    </cfRule>
  </conditionalFormatting>
  <conditionalFormatting sqref="E32">
    <cfRule type="expression" dxfId="760" priority="163">
      <formula>AND(COUNT(E31:E34)&lt;2,IF(ISNUMBER(C32),C33&gt;C32))</formula>
    </cfRule>
  </conditionalFormatting>
  <conditionalFormatting sqref="E33">
    <cfRule type="expression" dxfId="759" priority="162">
      <formula>AND(COUNT(E31:E34)&lt;2,IF(ISNUMBER(C33),C32&gt;C33))</formula>
    </cfRule>
  </conditionalFormatting>
  <conditionalFormatting sqref="E31:E34">
    <cfRule type="aboveAverage" dxfId="758" priority="161"/>
  </conditionalFormatting>
  <conditionalFormatting sqref="F31">
    <cfRule type="expression" dxfId="757" priority="156">
      <formula>AND(COUNT(F31:F34)&lt;2,IF(COUNT(E31:E34)=2,IF(AND(ISNUMBER(E31),COUNTIF(E31:E34,E31)=1,E31=MAX(E31:E34)),TRUE,FALSE)))</formula>
    </cfRule>
    <cfRule type="expression" dxfId="756" priority="160">
      <formula>AND(COUNT(F31:F34)&lt;2,IF(COUNT(D31:D34)=2,IF(AND(ISNUMBER(D31),COUNTIF(D31:D34,D31)=1,D31=MIN(D31:D34)),TRUE,FALSE)))</formula>
    </cfRule>
  </conditionalFormatting>
  <conditionalFormatting sqref="F32">
    <cfRule type="expression" dxfId="755" priority="155">
      <formula>AND(COUNT(F31:F34)&lt;2,IF(COUNT(E31:E34)=2,IF(AND(ISNUMBER(E32),COUNTIF(E31:E34,E32)=1,E32=MAX(E31:E34)),TRUE,FALSE)))</formula>
    </cfRule>
    <cfRule type="expression" dxfId="754" priority="159">
      <formula>AND(COUNT(F31:F34)&lt;2,IF(COUNT(D31:D34)=2,IF(AND(ISNUMBER(D32),COUNTIF(D31:D34,D32)=1,D32=MIN(D31:D34)),TRUE,FALSE)))</formula>
    </cfRule>
  </conditionalFormatting>
  <conditionalFormatting sqref="F33">
    <cfRule type="expression" dxfId="753" priority="154">
      <formula>AND(COUNT(F31:F34)&lt;2,IF(COUNT(E31:E34)=2,IF(AND(ISNUMBER(E33),COUNTIF(E31:E34,E33)=1,E33=MAX(E31:E34)),TRUE,FALSE)))</formula>
    </cfRule>
    <cfRule type="expression" dxfId="752" priority="158">
      <formula>AND(COUNT(F31:F34)&lt;2,IF(COUNT(D31:D34)=2,IF(AND(ISNUMBER(D33),COUNTIF(D31:D34,D33)=1,D33=MIN(D31:D34)),TRUE,FALSE)))</formula>
    </cfRule>
  </conditionalFormatting>
  <conditionalFormatting sqref="F34">
    <cfRule type="expression" dxfId="751" priority="153">
      <formula>AND(COUNT(F31:F34)&lt;2,IF(COUNT(E31:E34)=2,IF(AND(ISNUMBER(E34),COUNTIF(E31:E34,E34)=1,E34=MAX(E31:E34)),TRUE,FALSE)))</formula>
    </cfRule>
    <cfRule type="expression" dxfId="750" priority="157">
      <formula>AND(COUNT(F31:F34)&lt;2,IF(COUNT(D31:D34)=2,IF(AND(ISNUMBER(D34),COUNTIF(D31:D34,D34)=1,D34=MIN(D31:D34)),TRUE,FALSE)))</formula>
    </cfRule>
  </conditionalFormatting>
  <conditionalFormatting sqref="F31:F34">
    <cfRule type="aboveAverage" dxfId="749" priority="152"/>
  </conditionalFormatting>
  <conditionalFormatting sqref="D31">
    <cfRule type="expression" dxfId="748" priority="151">
      <formula>AND(COUNT(D31:D34)&lt;2,IF(ISNUMBER(C34),C31&gt;C34))</formula>
    </cfRule>
  </conditionalFormatting>
  <conditionalFormatting sqref="D32">
    <cfRule type="expression" dxfId="747" priority="150">
      <formula>AND(COUNT(D31:D34)&lt;2,IF(ISNUMBER(C33),C32&gt;C33))</formula>
    </cfRule>
  </conditionalFormatting>
  <conditionalFormatting sqref="D33">
    <cfRule type="expression" dxfId="746" priority="149">
      <formula>AND(COUNT(D31:D34)&lt;2,IF(ISNUMBER(C32),C33&gt;C32))</formula>
    </cfRule>
  </conditionalFormatting>
  <conditionalFormatting sqref="D34">
    <cfRule type="expression" dxfId="745" priority="148">
      <formula>AND(COUNT(D31:D34)&lt;2,IF(ISNUMBER(C31),C34&gt;C31))</formula>
    </cfRule>
  </conditionalFormatting>
  <conditionalFormatting sqref="D31:D34">
    <cfRule type="aboveAverage" dxfId="744" priority="147"/>
  </conditionalFormatting>
  <conditionalFormatting sqref="B37:B40">
    <cfRule type="duplicateValues" dxfId="743" priority="146"/>
  </conditionalFormatting>
  <conditionalFormatting sqref="G37:G40">
    <cfRule type="containsText" dxfId="742" priority="144" operator="containsText" text="2">
      <formula>NOT(ISERROR(SEARCH("2",G37)))</formula>
    </cfRule>
    <cfRule type="containsText" dxfId="741" priority="145" operator="containsText" text="1">
      <formula>NOT(ISERROR(SEARCH("1",G37)))</formula>
    </cfRule>
  </conditionalFormatting>
  <conditionalFormatting sqref="G40">
    <cfRule type="expression" dxfId="740" priority="143">
      <formula>B40="-"</formula>
    </cfRule>
  </conditionalFormatting>
  <conditionalFormatting sqref="C37 C40">
    <cfRule type="aboveAverage" dxfId="739" priority="142"/>
  </conditionalFormatting>
  <conditionalFormatting sqref="C38:C39">
    <cfRule type="aboveAverage" dxfId="738" priority="141"/>
  </conditionalFormatting>
  <conditionalFormatting sqref="E40">
    <cfRule type="expression" dxfId="737" priority="140">
      <formula>AND(COUNT(E37:E40)&lt;2,IF(ISNUMBER(C40),C37&gt;C40))</formula>
    </cfRule>
  </conditionalFormatting>
  <conditionalFormatting sqref="E37">
    <cfRule type="expression" dxfId="736" priority="139">
      <formula>AND(COUNT(E37:E40)&lt;2,IF(ISNUMBER(C37),C40&gt;C37))</formula>
    </cfRule>
  </conditionalFormatting>
  <conditionalFormatting sqref="E38">
    <cfRule type="expression" dxfId="735" priority="138">
      <formula>AND(COUNT(E37:E40)&lt;2,IF(ISNUMBER(C38),C39&gt;C38))</formula>
    </cfRule>
  </conditionalFormatting>
  <conditionalFormatting sqref="E39">
    <cfRule type="expression" dxfId="734" priority="137">
      <formula>AND(COUNT(E37:E40)&lt;2,IF(ISNUMBER(C39),C38&gt;C39))</formula>
    </cfRule>
  </conditionalFormatting>
  <conditionalFormatting sqref="E37:E40">
    <cfRule type="aboveAverage" dxfId="733" priority="136"/>
  </conditionalFormatting>
  <conditionalFormatting sqref="F37">
    <cfRule type="expression" dxfId="732" priority="131">
      <formula>AND(COUNT(F37:F40)&lt;2,IF(COUNT(E37:E40)=2,IF(AND(ISNUMBER(E37),COUNTIF(E37:E40,E37)=1,E37=MAX(E37:E40)),TRUE,FALSE)))</formula>
    </cfRule>
    <cfRule type="expression" dxfId="731" priority="135">
      <formula>AND(COUNT(F37:F40)&lt;2,IF(COUNT(D37:D40)=2,IF(AND(ISNUMBER(D37),COUNTIF(D37:D40,D37)=1,D37=MIN(D37:D40)),TRUE,FALSE)))</formula>
    </cfRule>
  </conditionalFormatting>
  <conditionalFormatting sqref="F38">
    <cfRule type="expression" dxfId="730" priority="130">
      <formula>AND(COUNT(F37:F40)&lt;2,IF(COUNT(E37:E40)=2,IF(AND(ISNUMBER(E38),COUNTIF(E37:E40,E38)=1,E38=MAX(E37:E40)),TRUE,FALSE)))</formula>
    </cfRule>
    <cfRule type="expression" dxfId="729" priority="134">
      <formula>AND(COUNT(F37:F40)&lt;2,IF(COUNT(D37:D40)=2,IF(AND(ISNUMBER(D38),COUNTIF(D37:D40,D38)=1,D38=MIN(D37:D40)),TRUE,FALSE)))</formula>
    </cfRule>
  </conditionalFormatting>
  <conditionalFormatting sqref="F39">
    <cfRule type="expression" dxfId="728" priority="129">
      <formula>AND(COUNT(F37:F40)&lt;2,IF(COUNT(E37:E40)=2,IF(AND(ISNUMBER(E39),COUNTIF(E37:E40,E39)=1,E39=MAX(E37:E40)),TRUE,FALSE)))</formula>
    </cfRule>
    <cfRule type="expression" dxfId="727" priority="133">
      <formula>AND(COUNT(F37:F40)&lt;2,IF(COUNT(D37:D40)=2,IF(AND(ISNUMBER(D39),COUNTIF(D37:D40,D39)=1,D39=MIN(D37:D40)),TRUE,FALSE)))</formula>
    </cfRule>
  </conditionalFormatting>
  <conditionalFormatting sqref="F40">
    <cfRule type="expression" dxfId="726" priority="128">
      <formula>AND(COUNT(F37:F40)&lt;2,IF(COUNT(E37:E40)=2,IF(AND(ISNUMBER(E40),COUNTIF(E37:E40,E40)=1,E40=MAX(E37:E40)),TRUE,FALSE)))</formula>
    </cfRule>
    <cfRule type="expression" dxfId="725" priority="132">
      <formula>AND(COUNT(F37:F40)&lt;2,IF(COUNT(D37:D40)=2,IF(AND(ISNUMBER(D40),COUNTIF(D37:D40,D40)=1,D40=MIN(D37:D40)),TRUE,FALSE)))</formula>
    </cfRule>
  </conditionalFormatting>
  <conditionalFormatting sqref="F37:F40">
    <cfRule type="aboveAverage" dxfId="724" priority="127"/>
  </conditionalFormatting>
  <conditionalFormatting sqref="D37">
    <cfRule type="expression" dxfId="723" priority="126">
      <formula>AND(COUNT(D37:D40)&lt;2,IF(ISNUMBER(C40),C37&gt;C40))</formula>
    </cfRule>
  </conditionalFormatting>
  <conditionalFormatting sqref="D38">
    <cfRule type="expression" dxfId="722" priority="125">
      <formula>AND(COUNT(D37:D40)&lt;2,IF(ISNUMBER(C39),C38&gt;C39))</formula>
    </cfRule>
  </conditionalFormatting>
  <conditionalFormatting sqref="D39">
    <cfRule type="expression" dxfId="721" priority="124">
      <formula>AND(COUNT(D37:D40)&lt;2,IF(ISNUMBER(C38),C39&gt;C38))</formula>
    </cfRule>
  </conditionalFormatting>
  <conditionalFormatting sqref="D40">
    <cfRule type="expression" dxfId="720" priority="123">
      <formula>AND(COUNT(D37:D40)&lt;2,IF(ISNUMBER(C37),C40&gt;C37))</formula>
    </cfRule>
  </conditionalFormatting>
  <conditionalFormatting sqref="D37:D40">
    <cfRule type="aboveAverage" dxfId="719" priority="122"/>
  </conditionalFormatting>
  <conditionalFormatting sqref="B43:B46">
    <cfRule type="duplicateValues" dxfId="718" priority="121"/>
  </conditionalFormatting>
  <conditionalFormatting sqref="G43:G46">
    <cfRule type="containsText" dxfId="717" priority="119" operator="containsText" text="2">
      <formula>NOT(ISERROR(SEARCH("2",G43)))</formula>
    </cfRule>
    <cfRule type="containsText" dxfId="716" priority="120" operator="containsText" text="1">
      <formula>NOT(ISERROR(SEARCH("1",G43)))</formula>
    </cfRule>
  </conditionalFormatting>
  <conditionalFormatting sqref="G46">
    <cfRule type="expression" dxfId="715" priority="118">
      <formula>B46="-"</formula>
    </cfRule>
  </conditionalFormatting>
  <conditionalFormatting sqref="C43 C46">
    <cfRule type="aboveAverage" dxfId="714" priority="117"/>
  </conditionalFormatting>
  <conditionalFormatting sqref="C44:C45">
    <cfRule type="aboveAverage" dxfId="713" priority="116"/>
  </conditionalFormatting>
  <conditionalFormatting sqref="E46">
    <cfRule type="expression" dxfId="712" priority="115">
      <formula>AND(COUNT(E43:E46)&lt;2,IF(ISNUMBER(C46),C43&gt;C46))</formula>
    </cfRule>
  </conditionalFormatting>
  <conditionalFormatting sqref="E43">
    <cfRule type="expression" dxfId="711" priority="114">
      <formula>AND(COUNT(E43:E46)&lt;2,IF(ISNUMBER(C43),C46&gt;C43))</formula>
    </cfRule>
  </conditionalFormatting>
  <conditionalFormatting sqref="E44">
    <cfRule type="expression" dxfId="710" priority="113">
      <formula>AND(COUNT(E43:E46)&lt;2,IF(ISNUMBER(C44),C45&gt;C44))</formula>
    </cfRule>
  </conditionalFormatting>
  <conditionalFormatting sqref="E45">
    <cfRule type="expression" dxfId="709" priority="112">
      <formula>AND(COUNT(E43:E46)&lt;2,IF(ISNUMBER(C45),C44&gt;C45))</formula>
    </cfRule>
  </conditionalFormatting>
  <conditionalFormatting sqref="E43:E46">
    <cfRule type="aboveAverage" dxfId="708" priority="111"/>
  </conditionalFormatting>
  <conditionalFormatting sqref="F43">
    <cfRule type="expression" dxfId="707" priority="106">
      <formula>AND(COUNT(F43:F46)&lt;2,IF(COUNT(E43:E46)=2,IF(AND(ISNUMBER(E43),COUNTIF(E43:E46,E43)=1,E43=MAX(E43:E46)),TRUE,FALSE)))</formula>
    </cfRule>
    <cfRule type="expression" dxfId="706" priority="110">
      <formula>AND(COUNT(F43:F46)&lt;2,IF(COUNT(D43:D46)=2,IF(AND(ISNUMBER(D43),COUNTIF(D43:D46,D43)=1,D43=MIN(D43:D46)),TRUE,FALSE)))</formula>
    </cfRule>
  </conditionalFormatting>
  <conditionalFormatting sqref="F44">
    <cfRule type="expression" dxfId="705" priority="105">
      <formula>AND(COUNT(F43:F46)&lt;2,IF(COUNT(E43:E46)=2,IF(AND(ISNUMBER(E44),COUNTIF(E43:E46,E44)=1,E44=MAX(E43:E46)),TRUE,FALSE)))</formula>
    </cfRule>
    <cfRule type="expression" dxfId="704" priority="109">
      <formula>AND(COUNT(F43:F46)&lt;2,IF(COUNT(D43:D46)=2,IF(AND(ISNUMBER(D44),COUNTIF(D43:D46,D44)=1,D44=MIN(D43:D46)),TRUE,FALSE)))</formula>
    </cfRule>
  </conditionalFormatting>
  <conditionalFormatting sqref="F45">
    <cfRule type="expression" dxfId="703" priority="104">
      <formula>AND(COUNT(F43:F46)&lt;2,IF(COUNT(E43:E46)=2,IF(AND(ISNUMBER(E45),COUNTIF(E43:E46,E45)=1,E45=MAX(E43:E46)),TRUE,FALSE)))</formula>
    </cfRule>
    <cfRule type="expression" dxfId="702" priority="108">
      <formula>AND(COUNT(F43:F46)&lt;2,IF(COUNT(D43:D46)=2,IF(AND(ISNUMBER(D45),COUNTIF(D43:D46,D45)=1,D45=MIN(D43:D46)),TRUE,FALSE)))</formula>
    </cfRule>
  </conditionalFormatting>
  <conditionalFormatting sqref="F46">
    <cfRule type="expression" dxfId="701" priority="103">
      <formula>AND(COUNT(F43:F46)&lt;2,IF(COUNT(E43:E46)=2,IF(AND(ISNUMBER(E46),COUNTIF(E43:E46,E46)=1,E46=MAX(E43:E46)),TRUE,FALSE)))</formula>
    </cfRule>
    <cfRule type="expression" dxfId="700" priority="107">
      <formula>AND(COUNT(F43:F46)&lt;2,IF(COUNT(D43:D46)=2,IF(AND(ISNUMBER(D46),COUNTIF(D43:D46,D46)=1,D46=MIN(D43:D46)),TRUE,FALSE)))</formula>
    </cfRule>
  </conditionalFormatting>
  <conditionalFormatting sqref="F43:F46">
    <cfRule type="aboveAverage" dxfId="699" priority="102"/>
  </conditionalFormatting>
  <conditionalFormatting sqref="D43">
    <cfRule type="expression" dxfId="698" priority="101">
      <formula>AND(COUNT(D43:D46)&lt;2,IF(ISNUMBER(C46),C43&gt;C46))</formula>
    </cfRule>
  </conditionalFormatting>
  <conditionalFormatting sqref="D44">
    <cfRule type="expression" dxfId="697" priority="100">
      <formula>AND(COUNT(D43:D46)&lt;2,IF(ISNUMBER(C45),C44&gt;C45))</formula>
    </cfRule>
  </conditionalFormatting>
  <conditionalFormatting sqref="D45">
    <cfRule type="expression" dxfId="696" priority="99">
      <formula>AND(COUNT(D43:D46)&lt;2,IF(ISNUMBER(C44),C45&gt;C44))</formula>
    </cfRule>
  </conditionalFormatting>
  <conditionalFormatting sqref="D46">
    <cfRule type="expression" dxfId="695" priority="98">
      <formula>AND(COUNT(D43:D46)&lt;2,IF(ISNUMBER(C43),C46&gt;C43))</formula>
    </cfRule>
  </conditionalFormatting>
  <conditionalFormatting sqref="D43:D46">
    <cfRule type="aboveAverage" dxfId="694" priority="97"/>
  </conditionalFormatting>
  <conditionalFormatting sqref="B49:B52">
    <cfRule type="duplicateValues" dxfId="693" priority="96"/>
  </conditionalFormatting>
  <conditionalFormatting sqref="G49:G52">
    <cfRule type="containsText" dxfId="692" priority="94" operator="containsText" text="2">
      <formula>NOT(ISERROR(SEARCH("2",G49)))</formula>
    </cfRule>
    <cfRule type="containsText" dxfId="691" priority="95" operator="containsText" text="1">
      <formula>NOT(ISERROR(SEARCH("1",G49)))</formula>
    </cfRule>
  </conditionalFormatting>
  <conditionalFormatting sqref="G52">
    <cfRule type="expression" dxfId="690" priority="93">
      <formula>B52="-"</formula>
    </cfRule>
  </conditionalFormatting>
  <conditionalFormatting sqref="C49 C52">
    <cfRule type="aboveAverage" dxfId="689" priority="92"/>
  </conditionalFormatting>
  <conditionalFormatting sqref="C50:C51">
    <cfRule type="aboveAverage" dxfId="688" priority="91"/>
  </conditionalFormatting>
  <conditionalFormatting sqref="E52">
    <cfRule type="expression" dxfId="687" priority="90">
      <formula>AND(COUNT(E49:E52)&lt;2,IF(ISNUMBER(C52),C49&gt;C52))</formula>
    </cfRule>
  </conditionalFormatting>
  <conditionalFormatting sqref="E49">
    <cfRule type="expression" dxfId="686" priority="89">
      <formula>AND(COUNT(E49:E52)&lt;2,IF(ISNUMBER(C49),C52&gt;C49))</formula>
    </cfRule>
  </conditionalFormatting>
  <conditionalFormatting sqref="E50">
    <cfRule type="expression" dxfId="685" priority="88">
      <formula>AND(COUNT(E49:E52)&lt;2,IF(ISNUMBER(C50),C51&gt;C50))</formula>
    </cfRule>
  </conditionalFormatting>
  <conditionalFormatting sqref="E51">
    <cfRule type="expression" dxfId="684" priority="87">
      <formula>AND(COUNT(E49:E52)&lt;2,IF(ISNUMBER(C51),C50&gt;C51))</formula>
    </cfRule>
  </conditionalFormatting>
  <conditionalFormatting sqref="E49:E52">
    <cfRule type="aboveAverage" dxfId="683" priority="86"/>
  </conditionalFormatting>
  <conditionalFormatting sqref="F49">
    <cfRule type="expression" dxfId="682" priority="81">
      <formula>AND(COUNT(F49:F52)&lt;2,IF(COUNT(E49:E52)=2,IF(AND(ISNUMBER(E49),COUNTIF(E49:E52,E49)=1,E49=MAX(E49:E52)),TRUE,FALSE)))</formula>
    </cfRule>
    <cfRule type="expression" dxfId="681" priority="85">
      <formula>AND(COUNT(F49:F52)&lt;2,IF(COUNT(D49:D52)=2,IF(AND(ISNUMBER(D49),COUNTIF(D49:D52,D49)=1,D49=MIN(D49:D52)),TRUE,FALSE)))</formula>
    </cfRule>
  </conditionalFormatting>
  <conditionalFormatting sqref="F50">
    <cfRule type="expression" dxfId="680" priority="80">
      <formula>AND(COUNT(F49:F52)&lt;2,IF(COUNT(E49:E52)=2,IF(AND(ISNUMBER(E50),COUNTIF(E49:E52,E50)=1,E50=MAX(E49:E52)),TRUE,FALSE)))</formula>
    </cfRule>
    <cfRule type="expression" dxfId="679" priority="84">
      <formula>AND(COUNT(F49:F52)&lt;2,IF(COUNT(D49:D52)=2,IF(AND(ISNUMBER(D50),COUNTIF(D49:D52,D50)=1,D50=MIN(D49:D52)),TRUE,FALSE)))</formula>
    </cfRule>
  </conditionalFormatting>
  <conditionalFormatting sqref="F51">
    <cfRule type="expression" dxfId="678" priority="79">
      <formula>AND(COUNT(F49:F52)&lt;2,IF(COUNT(E49:E52)=2,IF(AND(ISNUMBER(E51),COUNTIF(E49:E52,E51)=1,E51=MAX(E49:E52)),TRUE,FALSE)))</formula>
    </cfRule>
    <cfRule type="expression" dxfId="677" priority="83">
      <formula>AND(COUNT(F49:F52)&lt;2,IF(COUNT(D49:D52)=2,IF(AND(ISNUMBER(D51),COUNTIF(D49:D52,D51)=1,D51=MIN(D49:D52)),TRUE,FALSE)))</formula>
    </cfRule>
  </conditionalFormatting>
  <conditionalFormatting sqref="F52">
    <cfRule type="expression" dxfId="676" priority="78">
      <formula>AND(COUNT(F49:F52)&lt;2,IF(COUNT(E49:E52)=2,IF(AND(ISNUMBER(E52),COUNTIF(E49:E52,E52)=1,E52=MAX(E49:E52)),TRUE,FALSE)))</formula>
    </cfRule>
    <cfRule type="expression" dxfId="675" priority="82">
      <formula>AND(COUNT(F49:F52)&lt;2,IF(COUNT(D49:D52)=2,IF(AND(ISNUMBER(D52),COUNTIF(D49:D52,D52)=1,D52=MIN(D49:D52)),TRUE,FALSE)))</formula>
    </cfRule>
  </conditionalFormatting>
  <conditionalFormatting sqref="F49:F52">
    <cfRule type="aboveAverage" dxfId="674" priority="77"/>
  </conditionalFormatting>
  <conditionalFormatting sqref="D49">
    <cfRule type="expression" dxfId="673" priority="76">
      <formula>AND(COUNT(D49:D52)&lt;2,IF(ISNUMBER(C52),C49&gt;C52))</formula>
    </cfRule>
  </conditionalFormatting>
  <conditionalFormatting sqref="D50">
    <cfRule type="expression" dxfId="672" priority="75">
      <formula>AND(COUNT(D49:D52)&lt;2,IF(ISNUMBER(C51),C50&gt;C51))</formula>
    </cfRule>
  </conditionalFormatting>
  <conditionalFormatting sqref="D51">
    <cfRule type="expression" dxfId="671" priority="74">
      <formula>AND(COUNT(D49:D52)&lt;2,IF(ISNUMBER(C50),C51&gt;C50))</formula>
    </cfRule>
  </conditionalFormatting>
  <conditionalFormatting sqref="D52">
    <cfRule type="expression" dxfId="670" priority="73">
      <formula>AND(COUNT(D49:D52)&lt;2,IF(ISNUMBER(C49),C52&gt;C49))</formula>
    </cfRule>
  </conditionalFormatting>
  <conditionalFormatting sqref="D49:D52">
    <cfRule type="aboveAverage" dxfId="669" priority="72"/>
  </conditionalFormatting>
  <conditionalFormatting sqref="B7:B10">
    <cfRule type="duplicateValues" dxfId="668" priority="71"/>
  </conditionalFormatting>
  <conditionalFormatting sqref="G7:G10">
    <cfRule type="containsText" dxfId="667" priority="69" operator="containsText" text="2">
      <formula>NOT(ISERROR(SEARCH("2",G7)))</formula>
    </cfRule>
    <cfRule type="containsText" dxfId="666" priority="70" operator="containsText" text="1">
      <formula>NOT(ISERROR(SEARCH("1",G7)))</formula>
    </cfRule>
  </conditionalFormatting>
  <conditionalFormatting sqref="G10">
    <cfRule type="expression" dxfId="665" priority="68">
      <formula>B10="-"</formula>
    </cfRule>
  </conditionalFormatting>
  <conditionalFormatting sqref="C7 C10">
    <cfRule type="aboveAverage" dxfId="664" priority="67"/>
  </conditionalFormatting>
  <conditionalFormatting sqref="C8:C9">
    <cfRule type="aboveAverage" dxfId="663" priority="66"/>
  </conditionalFormatting>
  <conditionalFormatting sqref="E10">
    <cfRule type="expression" dxfId="662" priority="65">
      <formula>AND(COUNT(E7:E10)&lt;2,IF(ISNUMBER(C10),C7&gt;C10))</formula>
    </cfRule>
  </conditionalFormatting>
  <conditionalFormatting sqref="E7">
    <cfRule type="expression" dxfId="661" priority="64">
      <formula>AND(COUNT(E7:E10)&lt;2,IF(ISNUMBER(C7),C10&gt;C7))</formula>
    </cfRule>
  </conditionalFormatting>
  <conditionalFormatting sqref="E8">
    <cfRule type="expression" dxfId="660" priority="63">
      <formula>AND(COUNT(E7:E10)&lt;2,IF(ISNUMBER(C8),C9&gt;C8))</formula>
    </cfRule>
  </conditionalFormatting>
  <conditionalFormatting sqref="E9">
    <cfRule type="expression" dxfId="659" priority="62">
      <formula>AND(COUNT(E7:E10)&lt;2,IF(ISNUMBER(C9),C8&gt;C9))</formula>
    </cfRule>
  </conditionalFormatting>
  <conditionalFormatting sqref="E7:E10">
    <cfRule type="aboveAverage" dxfId="658" priority="61"/>
  </conditionalFormatting>
  <conditionalFormatting sqref="F7">
    <cfRule type="expression" dxfId="657" priority="56">
      <formula>AND(COUNT(F7:F10)&lt;2,IF(COUNT(E7:E10)=2,IF(AND(ISNUMBER(E7),COUNTIF(E7:E10,E7)=1,E7=MAX(E7:E10)),TRUE,FALSE)))</formula>
    </cfRule>
    <cfRule type="expression" dxfId="656" priority="60">
      <formula>AND(COUNT(F7:F10)&lt;2,IF(COUNT(D7:D10)=2,IF(AND(ISNUMBER(D7),COUNTIF(D7:D10,D7)=1,D7=MIN(D7:D10)),TRUE,FALSE)))</formula>
    </cfRule>
  </conditionalFormatting>
  <conditionalFormatting sqref="F8">
    <cfRule type="expression" dxfId="655" priority="55">
      <formula>AND(COUNT(F7:F10)&lt;2,IF(COUNT(E7:E10)=2,IF(AND(ISNUMBER(E8),COUNTIF(E7:E10,E8)=1,E8=MAX(E7:E10)),TRUE,FALSE)))</formula>
    </cfRule>
    <cfRule type="expression" dxfId="654" priority="59">
      <formula>AND(COUNT(F7:F10)&lt;2,IF(COUNT(D7:D10)=2,IF(AND(ISNUMBER(D8),COUNTIF(D7:D10,D8)=1,D8=MIN(D7:D10)),TRUE,FALSE)))</formula>
    </cfRule>
  </conditionalFormatting>
  <conditionalFormatting sqref="F9">
    <cfRule type="expression" dxfId="653" priority="54">
      <formula>AND(COUNT(F7:F10)&lt;2,IF(COUNT(E7:E10)=2,IF(AND(ISNUMBER(E9),COUNTIF(E7:E10,E9)=1,E9=MAX(E7:E10)),TRUE,FALSE)))</formula>
    </cfRule>
    <cfRule type="expression" dxfId="652" priority="58">
      <formula>AND(COUNT(F7:F10)&lt;2,IF(COUNT(D7:D10)=2,IF(AND(ISNUMBER(D9),COUNTIF(D7:D10,D9)=1,D9=MIN(D7:D10)),TRUE,FALSE)))</formula>
    </cfRule>
  </conditionalFormatting>
  <conditionalFormatting sqref="F10">
    <cfRule type="expression" dxfId="651" priority="53">
      <formula>AND(COUNT(F7:F10)&lt;2,IF(COUNT(E7:E10)=2,IF(AND(ISNUMBER(E10),COUNTIF(E7:E10,E10)=1,E10=MAX(E7:E10)),TRUE,FALSE)))</formula>
    </cfRule>
    <cfRule type="expression" dxfId="650" priority="57">
      <formula>AND(COUNT(F7:F10)&lt;2,IF(COUNT(D7:D10)=2,IF(AND(ISNUMBER(D10),COUNTIF(D7:D10,D10)=1,D10=MIN(D7:D10)),TRUE,FALSE)))</formula>
    </cfRule>
  </conditionalFormatting>
  <conditionalFormatting sqref="F7:F10">
    <cfRule type="aboveAverage" dxfId="649" priority="52"/>
  </conditionalFormatting>
  <conditionalFormatting sqref="D7">
    <cfRule type="expression" dxfId="648" priority="51">
      <formula>AND(COUNT(D7:D10)&lt;2,IF(ISNUMBER(C10),C7&gt;C10))</formula>
    </cfRule>
  </conditionalFormatting>
  <conditionalFormatting sqref="D8">
    <cfRule type="expression" dxfId="647" priority="50">
      <formula>AND(COUNT(D7:D10)&lt;2,IF(ISNUMBER(C9),C8&gt;C9))</formula>
    </cfRule>
  </conditionalFormatting>
  <conditionalFormatting sqref="D9">
    <cfRule type="expression" dxfId="646" priority="49">
      <formula>AND(COUNT(D7:D10)&lt;2,IF(ISNUMBER(C8),C9&gt;C8))</formula>
    </cfRule>
  </conditionalFormatting>
  <conditionalFormatting sqref="D10">
    <cfRule type="expression" dxfId="645" priority="48">
      <formula>AND(COUNT(D7:D10)&lt;2,IF(ISNUMBER(C7),C10&gt;C7))</formula>
    </cfRule>
  </conditionalFormatting>
  <conditionalFormatting sqref="D7:D10">
    <cfRule type="aboveAverage" dxfId="644" priority="47"/>
  </conditionalFormatting>
  <conditionalFormatting sqref="C28">
    <cfRule type="aboveAverage" dxfId="643" priority="46"/>
  </conditionalFormatting>
  <conditionalFormatting sqref="E28">
    <cfRule type="expression" dxfId="642" priority="45">
      <formula>AND(COUNT(E25:E28)&lt;2,IF(ISNUMBER(C28),C25&gt;C28))</formula>
    </cfRule>
  </conditionalFormatting>
  <conditionalFormatting sqref="E27">
    <cfRule type="expression" dxfId="641" priority="44">
      <formula>AND(COUNT(E25:E28)&lt;2,IF(ISNUMBER(C27),C26&gt;C27))</formula>
    </cfRule>
  </conditionalFormatting>
  <conditionalFormatting sqref="E27:E28">
    <cfRule type="aboveAverage" dxfId="640" priority="43"/>
  </conditionalFormatting>
  <conditionalFormatting sqref="A102:A116">
    <cfRule type="cellIs" dxfId="639" priority="41" operator="equal">
      <formula>"-"</formula>
    </cfRule>
    <cfRule type="duplicateValues" dxfId="638" priority="42"/>
  </conditionalFormatting>
  <conditionalFormatting sqref="G131 G133">
    <cfRule type="containsBlanks" dxfId="637" priority="39">
      <formula>LEN(TRIM(G131))=0</formula>
    </cfRule>
    <cfRule type="aboveAverage" dxfId="636" priority="40"/>
  </conditionalFormatting>
  <conditionalFormatting sqref="E123 E125">
    <cfRule type="containsBlanks" dxfId="635" priority="37">
      <formula>LEN(TRIM(E123))=0</formula>
    </cfRule>
    <cfRule type="aboveAverage" dxfId="634" priority="38"/>
  </conditionalFormatting>
  <conditionalFormatting sqref="G117 G119">
    <cfRule type="aboveAverage" dxfId="633" priority="36"/>
  </conditionalFormatting>
  <conditionalFormatting sqref="G117 G119">
    <cfRule type="containsBlanks" dxfId="632" priority="35">
      <formula>LEN(TRIM(G117))=0</formula>
    </cfRule>
  </conditionalFormatting>
  <conditionalFormatting sqref="E103 E107">
    <cfRule type="containsBlanks" dxfId="631" priority="33">
      <formula>LEN(TRIM(E103))=0</formula>
    </cfRule>
    <cfRule type="aboveAverage" dxfId="630" priority="34"/>
  </conditionalFormatting>
  <conditionalFormatting sqref="E111 E115">
    <cfRule type="containsBlanks" dxfId="629" priority="31">
      <formula>LEN(TRIM(E111))=0</formula>
    </cfRule>
    <cfRule type="aboveAverage" dxfId="628" priority="32"/>
  </conditionalFormatting>
  <conditionalFormatting sqref="G105 G113">
    <cfRule type="containsBlanks" dxfId="627" priority="29">
      <formula>LEN(TRIM(G105))=0</formula>
    </cfRule>
    <cfRule type="aboveAverage" dxfId="626" priority="30"/>
  </conditionalFormatting>
  <conditionalFormatting sqref="E127 E129">
    <cfRule type="containsBlanks" dxfId="625" priority="27">
      <formula>LEN(TRIM(E127))=0</formula>
    </cfRule>
    <cfRule type="aboveAverage" dxfId="624" priority="28"/>
  </conditionalFormatting>
  <conditionalFormatting sqref="C114 C116">
    <cfRule type="containsBlanks" dxfId="623" priority="17">
      <formula>LEN(TRIM(C114))=0</formula>
    </cfRule>
    <cfRule type="aboveAverage" dxfId="622" priority="18"/>
  </conditionalFormatting>
  <conditionalFormatting sqref="C110 C112">
    <cfRule type="containsBlanks" dxfId="621" priority="19">
      <formula>LEN(TRIM(C110))=0</formula>
    </cfRule>
    <cfRule type="aboveAverage" dxfId="620" priority="20"/>
  </conditionalFormatting>
  <conditionalFormatting sqref="C106 C108">
    <cfRule type="containsBlanks" dxfId="619" priority="21">
      <formula>LEN(TRIM(C106))=0</formula>
    </cfRule>
    <cfRule type="aboveAverage" dxfId="618" priority="22"/>
  </conditionalFormatting>
  <conditionalFormatting sqref="C102 C104">
    <cfRule type="containsBlanks" dxfId="617" priority="23">
      <formula>LEN(TRIM(C102))=0</formula>
    </cfRule>
    <cfRule type="aboveAverage" dxfId="616" priority="24"/>
  </conditionalFormatting>
  <conditionalFormatting sqref="G124 G128">
    <cfRule type="containsBlanks" dxfId="615" priority="25">
      <formula>LEN(TRIM(G124))=0</formula>
    </cfRule>
    <cfRule type="aboveAverage" dxfId="614" priority="26"/>
  </conditionalFormatting>
  <conditionalFormatting sqref="G148 G150">
    <cfRule type="containsBlanks" dxfId="613" priority="15">
      <formula>LEN(TRIM(G148))=0</formula>
    </cfRule>
    <cfRule type="aboveAverage" dxfId="612" priority="16"/>
  </conditionalFormatting>
  <conditionalFormatting sqref="G141 G145">
    <cfRule type="containsBlanks" dxfId="611" priority="9">
      <formula>LEN(TRIM(G141))=0</formula>
    </cfRule>
    <cfRule type="aboveAverage" dxfId="610" priority="10"/>
  </conditionalFormatting>
  <conditionalFormatting sqref="R7:R16">
    <cfRule type="expression" dxfId="609" priority="8">
      <formula>AND(S7="",COUNTIF(R7,"*,*")=0)</formula>
    </cfRule>
  </conditionalFormatting>
  <conditionalFormatting sqref="B302">
    <cfRule type="expression" dxfId="608" priority="4">
      <formula>$A$302=3</formula>
    </cfRule>
  </conditionalFormatting>
  <conditionalFormatting sqref="B300:B302">
    <cfRule type="duplicateValues" dxfId="607" priority="7"/>
  </conditionalFormatting>
  <conditionalFormatting sqref="B300">
    <cfRule type="expression" dxfId="606" priority="6">
      <formula>$A$300=1</formula>
    </cfRule>
  </conditionalFormatting>
  <conditionalFormatting sqref="B301">
    <cfRule type="expression" dxfId="605" priority="5">
      <formula>$A$301=2</formula>
    </cfRule>
  </conditionalFormatting>
  <conditionalFormatting sqref="E140 E142">
    <cfRule type="aboveAverage" dxfId="604" priority="3"/>
  </conditionalFormatting>
  <conditionalFormatting sqref="E144 E146">
    <cfRule type="aboveAverage" dxfId="603" priority="2"/>
  </conditionalFormatting>
  <conditionalFormatting sqref="E140 E142 E144 E146">
    <cfRule type="containsBlanks" dxfId="602" priority="1">
      <formula>LEN(TRIM(E140))=0</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rowBreaks count="2" manualBreakCount="2">
    <brk id="98" max="16383" man="1"/>
    <brk id="153"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O1" sqref="O1"/>
    </sheetView>
  </sheetViews>
  <sheetFormatPr defaultRowHeight="12.75" x14ac:dyDescent="0.2"/>
  <cols>
    <col min="1" max="1" width="5.5703125" style="69" customWidth="1"/>
    <col min="2" max="2" width="34"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6.5703125" style="69" hidden="1" customWidth="1"/>
    <col min="36" max="36" width="6" style="69" hidden="1" customWidth="1"/>
    <col min="37" max="37" width="15.28515625" style="69" hidden="1" customWidth="1"/>
    <col min="38" max="38" width="6" style="69" hidden="1" customWidth="1"/>
    <col min="39" max="39" width="17.28515625" style="69" hidden="1" customWidth="1"/>
    <col min="40" max="40" width="6" style="69" hidden="1" customWidth="1"/>
    <col min="41" max="41" width="13.85546875" style="69" hidden="1" customWidth="1"/>
    <col min="42" max="42" width="6" style="69" hidden="1" customWidth="1"/>
    <col min="43" max="16384" width="9.140625" style="69"/>
  </cols>
  <sheetData>
    <row r="1" spans="1:42" x14ac:dyDescent="0.2">
      <c r="A1" s="605" t="str">
        <f>UPPER((Kalend!E24)&amp;" - "&amp;(Kalend!C24)&amp;" - "&amp;(Kalend!D24))</f>
        <v>9 - EESTI REITINGUVÕISTLUS, 4. VIRU KARIKAS - DUO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2" x14ac:dyDescent="0.2">
      <c r="A2" s="67" t="str">
        <f>"Toimumisaeg: "&amp;(Kalend!A24)&amp;" kell "&amp;(Kalend!B24)</f>
        <v>Toimumisaeg: P, 05.08.2018 kell 10:00</v>
      </c>
      <c r="AC2" s="264"/>
    </row>
    <row r="3" spans="1:42" x14ac:dyDescent="0.2">
      <c r="A3" s="67" t="str">
        <f>"Toimumiskoht: "&amp;(Kalend!H24)</f>
        <v>Toimumiskoht: Kohtla-Järve, Järveküla tee 44</v>
      </c>
      <c r="I3" s="262"/>
      <c r="J3" s="132"/>
      <c r="K3" s="130"/>
      <c r="L3" s="610"/>
      <c r="AH3" s="681" t="s">
        <v>771</v>
      </c>
    </row>
    <row r="4" spans="1:42" x14ac:dyDescent="0.2">
      <c r="A4" s="67" t="str">
        <f>"Korraldaja: "&amp;(Kalend!I24)</f>
        <v>Korraldaja: Kohtla-Järve SHK, Ivar Viljaste</v>
      </c>
      <c r="I4" s="262"/>
      <c r="J4" s="611"/>
      <c r="L4" s="612"/>
      <c r="AH4" s="667" t="s">
        <v>189</v>
      </c>
      <c r="AI4" s="668"/>
      <c r="AJ4" s="625"/>
      <c r="AK4" s="669"/>
      <c r="AL4" s="625"/>
      <c r="AM4" s="625"/>
      <c r="AN4" s="625"/>
      <c r="AO4" s="625"/>
      <c r="AP4" s="625"/>
    </row>
    <row r="5" spans="1:42" x14ac:dyDescent="0.2">
      <c r="A5" s="67"/>
      <c r="J5" s="132"/>
      <c r="K5" s="130"/>
      <c r="L5" s="610"/>
      <c r="AH5" s="667" t="s">
        <v>764</v>
      </c>
      <c r="AI5" s="670" t="s">
        <v>765</v>
      </c>
      <c r="AJ5" s="670"/>
      <c r="AK5" s="671" t="s">
        <v>766</v>
      </c>
      <c r="AL5" s="670"/>
      <c r="AM5" s="670" t="s">
        <v>767</v>
      </c>
      <c r="AN5" s="670"/>
      <c r="AO5" s="670" t="s">
        <v>768</v>
      </c>
      <c r="AP5" s="672"/>
    </row>
    <row r="6" spans="1:42"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68"/>
      <c r="AJ6" s="625"/>
      <c r="AK6" s="668"/>
      <c r="AL6" s="625"/>
      <c r="AM6" s="673"/>
      <c r="AN6" s="673"/>
      <c r="AO6" s="673"/>
      <c r="AP6" s="673"/>
    </row>
    <row r="7" spans="1:42" x14ac:dyDescent="0.2">
      <c r="A7" s="616">
        <v>1</v>
      </c>
      <c r="B7" s="22" t="s">
        <v>869</v>
      </c>
      <c r="C7" s="618">
        <v>13</v>
      </c>
      <c r="D7" s="619" t="s">
        <v>615</v>
      </c>
      <c r="E7" s="620">
        <v>11</v>
      </c>
      <c r="F7" s="621" t="s">
        <v>656</v>
      </c>
      <c r="G7" s="618">
        <v>13</v>
      </c>
      <c r="H7" s="619" t="s">
        <v>615</v>
      </c>
      <c r="I7" s="620">
        <v>3</v>
      </c>
      <c r="J7" s="621" t="s">
        <v>838</v>
      </c>
      <c r="K7" s="618">
        <v>13</v>
      </c>
      <c r="L7" s="619" t="s">
        <v>615</v>
      </c>
      <c r="M7" s="620">
        <v>6</v>
      </c>
      <c r="N7" s="621" t="s">
        <v>876</v>
      </c>
      <c r="O7" s="618">
        <v>13</v>
      </c>
      <c r="P7" s="619" t="s">
        <v>615</v>
      </c>
      <c r="Q7" s="620">
        <v>5</v>
      </c>
      <c r="R7" s="621" t="s">
        <v>839</v>
      </c>
      <c r="S7" s="618"/>
      <c r="T7" s="619" t="s">
        <v>615</v>
      </c>
      <c r="U7" s="620"/>
      <c r="V7" s="621"/>
      <c r="W7" s="618"/>
      <c r="X7" s="619" t="s">
        <v>615</v>
      </c>
      <c r="Y7" s="620"/>
      <c r="Z7" s="621"/>
      <c r="AA7" s="622">
        <f t="shared" ref="AA7:AA24" si="0">2*(IF(C7&gt;E7,1)+IF(G7&gt;I7,1)+IF(K7&gt;M7,1)+IF(O7&gt;Q7,1)+IF(S7&gt;U7,1)+IF(W7&gt;Y7,1))</f>
        <v>8</v>
      </c>
      <c r="AB7" s="626">
        <v>16</v>
      </c>
      <c r="AC7" s="629">
        <f t="shared" ref="AC7:AC24" si="1">C7+G7+K7+O7+S7+W7</f>
        <v>52</v>
      </c>
      <c r="AD7" s="630" t="s">
        <v>615</v>
      </c>
      <c r="AE7" s="631">
        <f t="shared" ref="AE7:AE24" si="2">E7+I7+M7+Q7+U7+Y7</f>
        <v>25</v>
      </c>
      <c r="AF7" s="804">
        <f t="shared" ref="AF7:AF24" si="3">AC7-AE7</f>
        <v>27</v>
      </c>
      <c r="AH7" s="672">
        <f t="shared" ref="AH7" ca="1" si="4">SUM(AJ7:AP7)</f>
        <v>900</v>
      </c>
      <c r="AI7" s="674" t="str">
        <f t="shared" ref="AI7:AI24" si="5">IFERROR(LEFT($B300,(FIND(",",$B300,1)-1)),"")</f>
        <v>Kenneth Muusikus</v>
      </c>
      <c r="AJ7" s="675">
        <f ca="1">IFERROR(INDEX(Üldreiting!$M:$M,MATCH(AI7,Üldreiting!$H:$H,0)),"")</f>
        <v>555</v>
      </c>
      <c r="AK7" s="674" t="str">
        <f t="shared" ref="AK7:AK24" si="6">IFERROR(MID($B300,FIND(", ",$B300)+2,256),"")</f>
        <v>Tõnis Neiland</v>
      </c>
      <c r="AL7" s="675">
        <f ca="1">IFERROR(INDEX(Üldreiting!$M:$M,MATCH(AK7,Üldreiting!$H:$H,0)),"")</f>
        <v>345</v>
      </c>
      <c r="AM7" s="676" t="str">
        <f t="shared" ref="AM7:AM24" si="7">IFERROR(MID($B300,FIND("^",SUBSTITUTE($B300,", ","^",1))+2,FIND("^",SUBSTITUTE($B300,", ","^",2))-FIND("^",SUBSTITUTE($B300,", ","^",1))-2),"")</f>
        <v/>
      </c>
      <c r="AN7" s="675" t="str">
        <f>IFERROR(INDEX(Üldreiting!$M:$M,MATCH(AM7,Üldreiting!$H:$H,0)),"")</f>
        <v/>
      </c>
      <c r="AO7" s="676" t="str">
        <f t="shared" ref="AO7:AO24" si="8">IFERROR(MID($B300,FIND(", ",$B300,FIND(", ",$B300,FIND(", ",$B300))+1)+2,30000),"")</f>
        <v/>
      </c>
      <c r="AP7" s="675" t="str">
        <f>IFERROR(INDEX(Üldreiting!$M:$M,MATCH(AO7,Üldreiting!$H:$H,0)),"")</f>
        <v/>
      </c>
    </row>
    <row r="8" spans="1:42" x14ac:dyDescent="0.2">
      <c r="A8" s="616">
        <v>2</v>
      </c>
      <c r="B8" s="22" t="s">
        <v>838</v>
      </c>
      <c r="C8" s="618">
        <v>13</v>
      </c>
      <c r="D8" s="619" t="s">
        <v>615</v>
      </c>
      <c r="E8" s="620">
        <v>10</v>
      </c>
      <c r="F8" s="621" t="s">
        <v>870</v>
      </c>
      <c r="G8" s="618">
        <v>3</v>
      </c>
      <c r="H8" s="619" t="s">
        <v>615</v>
      </c>
      <c r="I8" s="620">
        <v>13</v>
      </c>
      <c r="J8" s="621" t="s">
        <v>869</v>
      </c>
      <c r="K8" s="618">
        <v>11</v>
      </c>
      <c r="L8" s="619" t="s">
        <v>615</v>
      </c>
      <c r="M8" s="620">
        <v>7</v>
      </c>
      <c r="N8" s="621" t="s">
        <v>548</v>
      </c>
      <c r="O8" s="618">
        <v>11</v>
      </c>
      <c r="P8" s="619" t="s">
        <v>615</v>
      </c>
      <c r="Q8" s="620">
        <v>9</v>
      </c>
      <c r="R8" s="621" t="s">
        <v>874</v>
      </c>
      <c r="S8" s="618"/>
      <c r="T8" s="619" t="s">
        <v>615</v>
      </c>
      <c r="U8" s="620"/>
      <c r="V8" s="621"/>
      <c r="W8" s="618"/>
      <c r="X8" s="619" t="s">
        <v>615</v>
      </c>
      <c r="Y8" s="620"/>
      <c r="Z8" s="621"/>
      <c r="AA8" s="634">
        <f t="shared" si="0"/>
        <v>6</v>
      </c>
      <c r="AB8" s="635">
        <v>24</v>
      </c>
      <c r="AC8" s="629">
        <f t="shared" si="1"/>
        <v>38</v>
      </c>
      <c r="AD8" s="630" t="s">
        <v>615</v>
      </c>
      <c r="AE8" s="631">
        <f t="shared" si="2"/>
        <v>39</v>
      </c>
      <c r="AF8" s="804">
        <f t="shared" si="3"/>
        <v>-1</v>
      </c>
      <c r="AH8" s="672">
        <f t="shared" ref="AH8:AH24" ca="1" si="9">SUM(AJ8:AP8)</f>
        <v>1835.5</v>
      </c>
      <c r="AI8" s="674" t="str">
        <f t="shared" si="5"/>
        <v>Janek Kiisk</v>
      </c>
      <c r="AJ8" s="675">
        <f ca="1">IFERROR(INDEX(Üldreiting!$M:$M,MATCH(AI8,Üldreiting!$H:$H,0)),"")</f>
        <v>863.5</v>
      </c>
      <c r="AK8" s="674" t="str">
        <f t="shared" si="6"/>
        <v>Ruudi Väärtnõu</v>
      </c>
      <c r="AL8" s="675">
        <f ca="1">IFERROR(INDEX(Üldreiting!$M:$M,MATCH(AK8,Üldreiting!$H:$H,0)),"")</f>
        <v>972</v>
      </c>
      <c r="AM8" s="676" t="str">
        <f t="shared" si="7"/>
        <v/>
      </c>
      <c r="AN8" s="675" t="str">
        <f>IFERROR(INDEX(Üldreiting!$M:$M,MATCH(AM8,Üldreiting!$H:$H,0)),"")</f>
        <v/>
      </c>
      <c r="AO8" s="676" t="str">
        <f t="shared" si="8"/>
        <v/>
      </c>
      <c r="AP8" s="675" t="str">
        <f>IFERROR(INDEX(Üldreiting!$M:$M,MATCH(AO8,Üldreiting!$H:$H,0)),"")</f>
        <v/>
      </c>
    </row>
    <row r="9" spans="1:42" x14ac:dyDescent="0.2">
      <c r="A9" s="616">
        <v>3</v>
      </c>
      <c r="B9" s="22" t="s">
        <v>839</v>
      </c>
      <c r="C9" s="618">
        <v>13</v>
      </c>
      <c r="D9" s="619" t="s">
        <v>615</v>
      </c>
      <c r="E9" s="620">
        <v>2</v>
      </c>
      <c r="F9" s="621" t="s">
        <v>616</v>
      </c>
      <c r="G9" s="618">
        <v>13</v>
      </c>
      <c r="H9" s="619" t="s">
        <v>615</v>
      </c>
      <c r="I9" s="620">
        <v>1</v>
      </c>
      <c r="J9" s="621" t="s">
        <v>819</v>
      </c>
      <c r="K9" s="618">
        <v>13</v>
      </c>
      <c r="L9" s="619" t="s">
        <v>615</v>
      </c>
      <c r="M9" s="620">
        <v>4</v>
      </c>
      <c r="N9" s="621" t="s">
        <v>873</v>
      </c>
      <c r="O9" s="618">
        <v>5</v>
      </c>
      <c r="P9" s="619" t="s">
        <v>615</v>
      </c>
      <c r="Q9" s="620">
        <v>13</v>
      </c>
      <c r="R9" s="621" t="s">
        <v>869</v>
      </c>
      <c r="S9" s="618"/>
      <c r="T9" s="619" t="s">
        <v>615</v>
      </c>
      <c r="U9" s="620"/>
      <c r="V9" s="621"/>
      <c r="W9" s="618"/>
      <c r="X9" s="619" t="s">
        <v>615</v>
      </c>
      <c r="Y9" s="620"/>
      <c r="Z9" s="621"/>
      <c r="AA9" s="634">
        <f t="shared" si="0"/>
        <v>6</v>
      </c>
      <c r="AB9" s="635">
        <v>20</v>
      </c>
      <c r="AC9" s="629">
        <f t="shared" si="1"/>
        <v>44</v>
      </c>
      <c r="AD9" s="630" t="s">
        <v>615</v>
      </c>
      <c r="AE9" s="631">
        <f t="shared" si="2"/>
        <v>20</v>
      </c>
      <c r="AF9" s="804">
        <f t="shared" si="3"/>
        <v>24</v>
      </c>
      <c r="AH9" s="672">
        <f t="shared" ca="1" si="9"/>
        <v>886</v>
      </c>
      <c r="AI9" s="674" t="str">
        <f t="shared" si="5"/>
        <v>Johannes Neiland</v>
      </c>
      <c r="AJ9" s="675">
        <f ca="1">IFERROR(INDEX(Üldreiting!$M:$M,MATCH(AI9,Üldreiting!$H:$H,0)),"")</f>
        <v>397</v>
      </c>
      <c r="AK9" s="674" t="str">
        <f t="shared" si="6"/>
        <v>Ülo Piik</v>
      </c>
      <c r="AL9" s="675">
        <f ca="1">IFERROR(INDEX(Üldreiting!$M:$M,MATCH(AK9,Üldreiting!$H:$H,0)),"")</f>
        <v>489</v>
      </c>
      <c r="AM9" s="676" t="str">
        <f t="shared" si="7"/>
        <v/>
      </c>
      <c r="AN9" s="675" t="str">
        <f>IFERROR(INDEX(Üldreiting!$M:$M,MATCH(AM9,Üldreiting!$H:$H,0)),"")</f>
        <v/>
      </c>
      <c r="AO9" s="676" t="str">
        <f t="shared" si="8"/>
        <v/>
      </c>
      <c r="AP9" s="675" t="str">
        <f>IFERROR(INDEX(Üldreiting!$M:$M,MATCH(AO9,Üldreiting!$H:$H,0)),"")</f>
        <v/>
      </c>
    </row>
    <row r="10" spans="1:42" x14ac:dyDescent="0.2">
      <c r="A10" s="616">
        <v>4</v>
      </c>
      <c r="B10" s="22" t="s">
        <v>873</v>
      </c>
      <c r="C10" s="618">
        <v>13</v>
      </c>
      <c r="D10" s="619" t="s">
        <v>615</v>
      </c>
      <c r="E10" s="620">
        <v>7</v>
      </c>
      <c r="F10" s="621" t="s">
        <v>872</v>
      </c>
      <c r="G10" s="618">
        <v>13</v>
      </c>
      <c r="H10" s="619" t="s">
        <v>615</v>
      </c>
      <c r="I10" s="620">
        <v>0</v>
      </c>
      <c r="J10" s="621" t="s">
        <v>548</v>
      </c>
      <c r="K10" s="618">
        <v>4</v>
      </c>
      <c r="L10" s="619" t="s">
        <v>615</v>
      </c>
      <c r="M10" s="620">
        <v>13</v>
      </c>
      <c r="N10" s="621" t="s">
        <v>839</v>
      </c>
      <c r="O10" s="618">
        <v>13</v>
      </c>
      <c r="P10" s="619" t="s">
        <v>615</v>
      </c>
      <c r="Q10" s="620">
        <v>10</v>
      </c>
      <c r="R10" s="621" t="s">
        <v>876</v>
      </c>
      <c r="S10" s="618"/>
      <c r="T10" s="619" t="s">
        <v>615</v>
      </c>
      <c r="U10" s="620"/>
      <c r="V10" s="621"/>
      <c r="W10" s="618"/>
      <c r="X10" s="619" t="s">
        <v>615</v>
      </c>
      <c r="Y10" s="620"/>
      <c r="Z10" s="621"/>
      <c r="AA10" s="634">
        <f t="shared" si="0"/>
        <v>6</v>
      </c>
      <c r="AB10" s="635">
        <v>16</v>
      </c>
      <c r="AC10" s="800">
        <f t="shared" si="1"/>
        <v>43</v>
      </c>
      <c r="AD10" s="801" t="s">
        <v>615</v>
      </c>
      <c r="AE10" s="802">
        <f t="shared" si="2"/>
        <v>30</v>
      </c>
      <c r="AF10" s="806">
        <f t="shared" si="3"/>
        <v>13</v>
      </c>
      <c r="AH10" s="672">
        <f t="shared" ca="1" si="9"/>
        <v>722</v>
      </c>
      <c r="AI10" s="674" t="str">
        <f t="shared" si="5"/>
        <v>Andres Veski</v>
      </c>
      <c r="AJ10" s="675">
        <f ca="1">IFERROR(INDEX(Üldreiting!$M:$M,MATCH(AI10,Üldreiting!$H:$H,0)),"")</f>
        <v>320.5</v>
      </c>
      <c r="AK10" s="674" t="str">
        <f t="shared" si="6"/>
        <v>Svetlana Veski</v>
      </c>
      <c r="AL10" s="675">
        <f ca="1">IFERROR(INDEX(Üldreiting!$M:$M,MATCH(AK10,Üldreiting!$H:$H,0)),"")</f>
        <v>401.5</v>
      </c>
      <c r="AM10" s="676" t="str">
        <f t="shared" si="7"/>
        <v/>
      </c>
      <c r="AN10" s="675" t="str">
        <f>IFERROR(INDEX(Üldreiting!$M:$M,MATCH(AM10,Üldreiting!$H:$H,0)),"")</f>
        <v/>
      </c>
      <c r="AO10" s="676" t="str">
        <f t="shared" si="8"/>
        <v/>
      </c>
      <c r="AP10" s="675" t="str">
        <f>IFERROR(INDEX(Üldreiting!$M:$M,MATCH(AO10,Üldreiting!$H:$H,0)),"")</f>
        <v/>
      </c>
    </row>
    <row r="11" spans="1:42" x14ac:dyDescent="0.2">
      <c r="A11" s="616">
        <v>5</v>
      </c>
      <c r="B11" s="22" t="s">
        <v>870</v>
      </c>
      <c r="C11" s="618">
        <v>10</v>
      </c>
      <c r="D11" s="619" t="s">
        <v>615</v>
      </c>
      <c r="E11" s="620">
        <v>13</v>
      </c>
      <c r="F11" s="621" t="s">
        <v>838</v>
      </c>
      <c r="G11" s="618">
        <v>11</v>
      </c>
      <c r="H11" s="619" t="s">
        <v>615</v>
      </c>
      <c r="I11" s="620">
        <v>10</v>
      </c>
      <c r="J11" s="621" t="s">
        <v>808</v>
      </c>
      <c r="K11" s="618">
        <v>13</v>
      </c>
      <c r="L11" s="619" t="s">
        <v>615</v>
      </c>
      <c r="M11" s="620">
        <v>4</v>
      </c>
      <c r="N11" s="621" t="s">
        <v>877</v>
      </c>
      <c r="O11" s="618">
        <v>13</v>
      </c>
      <c r="P11" s="619" t="s">
        <v>615</v>
      </c>
      <c r="Q11" s="620">
        <v>8</v>
      </c>
      <c r="R11" s="621" t="s">
        <v>871</v>
      </c>
      <c r="S11" s="618"/>
      <c r="T11" s="619" t="s">
        <v>615</v>
      </c>
      <c r="U11" s="620"/>
      <c r="V11" s="621"/>
      <c r="W11" s="618"/>
      <c r="X11" s="619" t="s">
        <v>615</v>
      </c>
      <c r="Y11" s="620"/>
      <c r="Z11" s="621"/>
      <c r="AA11" s="634">
        <f t="shared" si="0"/>
        <v>6</v>
      </c>
      <c r="AB11" s="635">
        <v>16</v>
      </c>
      <c r="AC11" s="800">
        <f t="shared" si="1"/>
        <v>47</v>
      </c>
      <c r="AD11" s="801" t="s">
        <v>615</v>
      </c>
      <c r="AE11" s="802">
        <f t="shared" si="2"/>
        <v>35</v>
      </c>
      <c r="AF11" s="806">
        <f t="shared" si="3"/>
        <v>12</v>
      </c>
      <c r="AH11" s="672">
        <f t="shared" ca="1" si="9"/>
        <v>1837</v>
      </c>
      <c r="AI11" s="674" t="str">
        <f t="shared" si="5"/>
        <v>Aigi Orro</v>
      </c>
      <c r="AJ11" s="675">
        <f ca="1">IFERROR(INDEX(Üldreiting!$M:$M,MATCH(AI11,Üldreiting!$H:$H,0)),"")</f>
        <v>918.5</v>
      </c>
      <c r="AK11" s="674" t="str">
        <f t="shared" si="6"/>
        <v>Kalle Orro</v>
      </c>
      <c r="AL11" s="675">
        <f ca="1">IFERROR(INDEX(Üldreiting!$M:$M,MATCH(AK11,Üldreiting!$H:$H,0)),"")</f>
        <v>918.5</v>
      </c>
      <c r="AM11" s="676" t="str">
        <f t="shared" si="7"/>
        <v/>
      </c>
      <c r="AN11" s="675" t="str">
        <f>IFERROR(INDEX(Üldreiting!$M:$M,MATCH(AM11,Üldreiting!$H:$H,0)),"")</f>
        <v/>
      </c>
      <c r="AO11" s="676" t="str">
        <f t="shared" si="8"/>
        <v/>
      </c>
      <c r="AP11" s="675" t="str">
        <f>IFERROR(INDEX(Üldreiting!$M:$M,MATCH(AO11,Üldreiting!$H:$H,0)),"")</f>
        <v/>
      </c>
    </row>
    <row r="12" spans="1:42" x14ac:dyDescent="0.2">
      <c r="A12" s="616">
        <v>6</v>
      </c>
      <c r="B12" s="22" t="s">
        <v>874</v>
      </c>
      <c r="C12" s="618">
        <v>13</v>
      </c>
      <c r="D12" s="619" t="s">
        <v>615</v>
      </c>
      <c r="E12" s="620">
        <v>11</v>
      </c>
      <c r="F12" s="621" t="s">
        <v>808</v>
      </c>
      <c r="G12" s="618">
        <v>13</v>
      </c>
      <c r="H12" s="619" t="s">
        <v>615</v>
      </c>
      <c r="I12" s="620">
        <v>6</v>
      </c>
      <c r="J12" s="621" t="s">
        <v>656</v>
      </c>
      <c r="K12" s="618">
        <v>9</v>
      </c>
      <c r="L12" s="619" t="s">
        <v>615</v>
      </c>
      <c r="M12" s="620">
        <v>8</v>
      </c>
      <c r="N12" s="621" t="s">
        <v>819</v>
      </c>
      <c r="O12" s="618">
        <v>9</v>
      </c>
      <c r="P12" s="619" t="s">
        <v>615</v>
      </c>
      <c r="Q12" s="620">
        <v>11</v>
      </c>
      <c r="R12" s="621" t="s">
        <v>838</v>
      </c>
      <c r="S12" s="618"/>
      <c r="T12" s="619" t="s">
        <v>615</v>
      </c>
      <c r="U12" s="620"/>
      <c r="V12" s="621"/>
      <c r="W12" s="618"/>
      <c r="X12" s="619" t="s">
        <v>615</v>
      </c>
      <c r="Y12" s="620"/>
      <c r="Z12" s="621"/>
      <c r="AA12" s="634">
        <f t="shared" si="0"/>
        <v>6</v>
      </c>
      <c r="AB12" s="635">
        <v>10</v>
      </c>
      <c r="AC12" s="629">
        <f t="shared" si="1"/>
        <v>44</v>
      </c>
      <c r="AD12" s="630" t="s">
        <v>615</v>
      </c>
      <c r="AE12" s="631">
        <f t="shared" si="2"/>
        <v>36</v>
      </c>
      <c r="AF12" s="804">
        <f t="shared" si="3"/>
        <v>8</v>
      </c>
      <c r="AH12" s="672">
        <f t="shared" ca="1" si="9"/>
        <v>2217</v>
      </c>
      <c r="AI12" s="674" t="str">
        <f t="shared" si="5"/>
        <v>Marek Kolk</v>
      </c>
      <c r="AJ12" s="675">
        <f ca="1">IFERROR(INDEX(Üldreiting!$M:$M,MATCH(AI12,Üldreiting!$H:$H,0)),"")</f>
        <v>1081</v>
      </c>
      <c r="AK12" s="674" t="str">
        <f t="shared" si="6"/>
        <v>Urmo Auväärt</v>
      </c>
      <c r="AL12" s="675">
        <f ca="1">IFERROR(INDEX(Üldreiting!$M:$M,MATCH(AK12,Üldreiting!$H:$H,0)),"")</f>
        <v>1136</v>
      </c>
      <c r="AM12" s="676" t="str">
        <f t="shared" si="7"/>
        <v/>
      </c>
      <c r="AN12" s="675" t="str">
        <f>IFERROR(INDEX(Üldreiting!$M:$M,MATCH(AM12,Üldreiting!$H:$H,0)),"")</f>
        <v/>
      </c>
      <c r="AO12" s="676" t="str">
        <f t="shared" si="8"/>
        <v/>
      </c>
      <c r="AP12" s="675" t="str">
        <f>IFERROR(INDEX(Üldreiting!$M:$M,MATCH(AO12,Üldreiting!$H:$H,0)),"")</f>
        <v/>
      </c>
    </row>
    <row r="13" spans="1:42" x14ac:dyDescent="0.2">
      <c r="A13" s="616">
        <v>7</v>
      </c>
      <c r="B13" s="22" t="s">
        <v>875</v>
      </c>
      <c r="C13" s="618">
        <v>5</v>
      </c>
      <c r="D13" s="619" t="s">
        <v>615</v>
      </c>
      <c r="E13" s="620">
        <v>13</v>
      </c>
      <c r="F13" s="621" t="s">
        <v>548</v>
      </c>
      <c r="G13" s="618">
        <v>13</v>
      </c>
      <c r="H13" s="619" t="s">
        <v>615</v>
      </c>
      <c r="I13" s="620">
        <v>12</v>
      </c>
      <c r="J13" s="621" t="s">
        <v>879</v>
      </c>
      <c r="K13" s="618">
        <v>13</v>
      </c>
      <c r="L13" s="619" t="s">
        <v>615</v>
      </c>
      <c r="M13" s="620">
        <v>10</v>
      </c>
      <c r="N13" s="621" t="s">
        <v>656</v>
      </c>
      <c r="O13" s="618">
        <v>13</v>
      </c>
      <c r="P13" s="619" t="s">
        <v>615</v>
      </c>
      <c r="Q13" s="620">
        <v>2</v>
      </c>
      <c r="R13" s="621" t="s">
        <v>819</v>
      </c>
      <c r="S13" s="618"/>
      <c r="T13" s="619" t="s">
        <v>615</v>
      </c>
      <c r="U13" s="620"/>
      <c r="V13" s="621"/>
      <c r="W13" s="618"/>
      <c r="X13" s="619" t="s">
        <v>615</v>
      </c>
      <c r="Y13" s="620"/>
      <c r="Z13" s="621"/>
      <c r="AA13" s="634">
        <f t="shared" si="0"/>
        <v>6</v>
      </c>
      <c r="AB13" s="635">
        <v>6</v>
      </c>
      <c r="AC13" s="629">
        <f t="shared" si="1"/>
        <v>44</v>
      </c>
      <c r="AD13" s="630" t="s">
        <v>615</v>
      </c>
      <c r="AE13" s="631">
        <f t="shared" si="2"/>
        <v>37</v>
      </c>
      <c r="AF13" s="804">
        <f t="shared" si="3"/>
        <v>7</v>
      </c>
      <c r="AH13" s="672">
        <f t="shared" ca="1" si="9"/>
        <v>1571</v>
      </c>
      <c r="AI13" s="674" t="str">
        <f t="shared" si="5"/>
        <v>Marge Mägi</v>
      </c>
      <c r="AJ13" s="675">
        <f ca="1">IFERROR(INDEX(Üldreiting!$M:$M,MATCH(AI13,Üldreiting!$H:$H,0)),"")</f>
        <v>745</v>
      </c>
      <c r="AK13" s="674" t="str">
        <f t="shared" si="6"/>
        <v>Silver Kingissepp</v>
      </c>
      <c r="AL13" s="675">
        <f ca="1">IFERROR(INDEX(Üldreiting!$M:$M,MATCH(AK13,Üldreiting!$H:$H,0)),"")</f>
        <v>826</v>
      </c>
      <c r="AM13" s="676" t="str">
        <f t="shared" si="7"/>
        <v/>
      </c>
      <c r="AN13" s="675" t="str">
        <f>IFERROR(INDEX(Üldreiting!$M:$M,MATCH(AM13,Üldreiting!$H:$H,0)),"")</f>
        <v/>
      </c>
      <c r="AO13" s="676" t="str">
        <f t="shared" si="8"/>
        <v/>
      </c>
      <c r="AP13" s="675" t="str">
        <f>IFERROR(INDEX(Üldreiting!$M:$M,MATCH(AO13,Üldreiting!$H:$H,0)),"")</f>
        <v/>
      </c>
    </row>
    <row r="14" spans="1:42" x14ac:dyDescent="0.2">
      <c r="A14" s="616">
        <v>8</v>
      </c>
      <c r="B14" s="22" t="s">
        <v>548</v>
      </c>
      <c r="C14" s="618">
        <v>13</v>
      </c>
      <c r="D14" s="619" t="s">
        <v>615</v>
      </c>
      <c r="E14" s="620">
        <v>5</v>
      </c>
      <c r="F14" s="621" t="s">
        <v>875</v>
      </c>
      <c r="G14" s="618">
        <v>0</v>
      </c>
      <c r="H14" s="619" t="s">
        <v>615</v>
      </c>
      <c r="I14" s="620">
        <v>13</v>
      </c>
      <c r="J14" s="621" t="s">
        <v>873</v>
      </c>
      <c r="K14" s="618">
        <v>7</v>
      </c>
      <c r="L14" s="619" t="s">
        <v>615</v>
      </c>
      <c r="M14" s="620">
        <v>11</v>
      </c>
      <c r="N14" s="621" t="s">
        <v>838</v>
      </c>
      <c r="O14" s="618">
        <v>13</v>
      </c>
      <c r="P14" s="619" t="s">
        <v>615</v>
      </c>
      <c r="Q14" s="620">
        <v>3</v>
      </c>
      <c r="R14" s="621" t="s">
        <v>808</v>
      </c>
      <c r="S14" s="618"/>
      <c r="T14" s="619" t="s">
        <v>615</v>
      </c>
      <c r="U14" s="620"/>
      <c r="V14" s="621"/>
      <c r="W14" s="618"/>
      <c r="X14" s="619" t="s">
        <v>615</v>
      </c>
      <c r="Y14" s="620"/>
      <c r="Z14" s="621"/>
      <c r="AA14" s="636">
        <f t="shared" si="0"/>
        <v>4</v>
      </c>
      <c r="AB14" s="637">
        <v>20</v>
      </c>
      <c r="AC14" s="638">
        <f t="shared" si="1"/>
        <v>33</v>
      </c>
      <c r="AD14" s="639" t="s">
        <v>615</v>
      </c>
      <c r="AE14" s="640">
        <f t="shared" si="2"/>
        <v>32</v>
      </c>
      <c r="AF14" s="805">
        <f t="shared" si="3"/>
        <v>1</v>
      </c>
      <c r="AH14" s="672">
        <f t="shared" ca="1" si="9"/>
        <v>386</v>
      </c>
      <c r="AI14" s="674" t="str">
        <f t="shared" si="5"/>
        <v>Aarne Välja</v>
      </c>
      <c r="AJ14" s="675">
        <f ca="1">IFERROR(INDEX(Üldreiting!$M:$M,MATCH(AI14,Üldreiting!$H:$H,0)),"")</f>
        <v>205</v>
      </c>
      <c r="AK14" s="674" t="str">
        <f t="shared" si="6"/>
        <v>Janek Tarto</v>
      </c>
      <c r="AL14" s="675">
        <f ca="1">IFERROR(INDEX(Üldreiting!$M:$M,MATCH(AK14,Üldreiting!$H:$H,0)),"")</f>
        <v>181</v>
      </c>
      <c r="AM14" s="676" t="str">
        <f t="shared" si="7"/>
        <v/>
      </c>
      <c r="AN14" s="675" t="str">
        <f>IFERROR(INDEX(Üldreiting!$M:$M,MATCH(AM14,Üldreiting!$H:$H,0)),"")</f>
        <v/>
      </c>
      <c r="AO14" s="676" t="str">
        <f t="shared" si="8"/>
        <v/>
      </c>
      <c r="AP14" s="675" t="str">
        <f>IFERROR(INDEX(Üldreiting!$M:$M,MATCH(AO14,Üldreiting!$H:$H,0)),"")</f>
        <v/>
      </c>
    </row>
    <row r="15" spans="1:42" x14ac:dyDescent="0.2">
      <c r="A15" s="616">
        <v>9</v>
      </c>
      <c r="B15" s="22" t="s">
        <v>876</v>
      </c>
      <c r="C15" s="618">
        <v>13</v>
      </c>
      <c r="D15" s="619" t="s">
        <v>615</v>
      </c>
      <c r="E15" s="620">
        <v>9</v>
      </c>
      <c r="F15" s="621" t="s">
        <v>878</v>
      </c>
      <c r="G15" s="618">
        <v>13</v>
      </c>
      <c r="H15" s="619" t="s">
        <v>615</v>
      </c>
      <c r="I15" s="620">
        <v>11</v>
      </c>
      <c r="J15" s="621" t="s">
        <v>871</v>
      </c>
      <c r="K15" s="618">
        <v>6</v>
      </c>
      <c r="L15" s="619" t="s">
        <v>615</v>
      </c>
      <c r="M15" s="620">
        <v>13</v>
      </c>
      <c r="N15" s="621" t="s">
        <v>869</v>
      </c>
      <c r="O15" s="618">
        <v>10</v>
      </c>
      <c r="P15" s="619" t="s">
        <v>615</v>
      </c>
      <c r="Q15" s="620">
        <v>13</v>
      </c>
      <c r="R15" s="621" t="s">
        <v>873</v>
      </c>
      <c r="S15" s="618"/>
      <c r="T15" s="619" t="s">
        <v>615</v>
      </c>
      <c r="U15" s="620"/>
      <c r="V15" s="621"/>
      <c r="W15" s="618"/>
      <c r="X15" s="619" t="s">
        <v>615</v>
      </c>
      <c r="Y15" s="620"/>
      <c r="Z15" s="621"/>
      <c r="AA15" s="636">
        <f t="shared" si="0"/>
        <v>4</v>
      </c>
      <c r="AB15" s="637">
        <v>20</v>
      </c>
      <c r="AC15" s="638">
        <f t="shared" si="1"/>
        <v>42</v>
      </c>
      <c r="AD15" s="639" t="s">
        <v>615</v>
      </c>
      <c r="AE15" s="640">
        <f t="shared" si="2"/>
        <v>46</v>
      </c>
      <c r="AF15" s="805">
        <f t="shared" si="3"/>
        <v>-4</v>
      </c>
      <c r="AH15" s="672">
        <f t="shared" ca="1" si="9"/>
        <v>759</v>
      </c>
      <c r="AI15" s="674" t="str">
        <f t="shared" si="5"/>
        <v>Boriss Klubov</v>
      </c>
      <c r="AJ15" s="675">
        <f ca="1">IFERROR(INDEX(Üldreiting!$M:$M,MATCH(AI15,Üldreiting!$H:$H,0)),"")</f>
        <v>64</v>
      </c>
      <c r="AK15" s="674" t="str">
        <f t="shared" si="6"/>
        <v>Ivar Viljaste</v>
      </c>
      <c r="AL15" s="675">
        <f ca="1">IFERROR(INDEX(Üldreiting!$M:$M,MATCH(AK15,Üldreiting!$H:$H,0)),"")</f>
        <v>695</v>
      </c>
      <c r="AM15" s="676" t="str">
        <f t="shared" si="7"/>
        <v/>
      </c>
      <c r="AN15" s="675" t="str">
        <f>IFERROR(INDEX(Üldreiting!$M:$M,MATCH(AM15,Üldreiting!$H:$H,0)),"")</f>
        <v/>
      </c>
      <c r="AO15" s="676" t="str">
        <f t="shared" si="8"/>
        <v/>
      </c>
      <c r="AP15" s="675" t="str">
        <f>IFERROR(INDEX(Üldreiting!$M:$M,MATCH(AO15,Üldreiting!$H:$H,0)),"")</f>
        <v/>
      </c>
    </row>
    <row r="16" spans="1:42" x14ac:dyDescent="0.2">
      <c r="A16" s="616">
        <v>10</v>
      </c>
      <c r="B16" s="22" t="s">
        <v>877</v>
      </c>
      <c r="C16" s="618">
        <v>2</v>
      </c>
      <c r="D16" s="619" t="s">
        <v>615</v>
      </c>
      <c r="E16" s="620">
        <v>13</v>
      </c>
      <c r="F16" s="621" t="s">
        <v>819</v>
      </c>
      <c r="G16" s="618">
        <v>13</v>
      </c>
      <c r="H16" s="619" t="s">
        <v>615</v>
      </c>
      <c r="I16" s="620">
        <v>3</v>
      </c>
      <c r="J16" s="621" t="s">
        <v>616</v>
      </c>
      <c r="K16" s="618">
        <v>4</v>
      </c>
      <c r="L16" s="619" t="s">
        <v>615</v>
      </c>
      <c r="M16" s="620">
        <v>13</v>
      </c>
      <c r="N16" s="621" t="s">
        <v>870</v>
      </c>
      <c r="O16" s="618">
        <v>13</v>
      </c>
      <c r="P16" s="619" t="s">
        <v>615</v>
      </c>
      <c r="Q16" s="620">
        <v>2</v>
      </c>
      <c r="R16" s="621" t="s">
        <v>872</v>
      </c>
      <c r="S16" s="618"/>
      <c r="T16" s="619" t="s">
        <v>615</v>
      </c>
      <c r="U16" s="620"/>
      <c r="V16" s="621"/>
      <c r="W16" s="618"/>
      <c r="X16" s="619" t="s">
        <v>615</v>
      </c>
      <c r="Y16" s="620"/>
      <c r="Z16" s="621"/>
      <c r="AA16" s="636">
        <f t="shared" si="0"/>
        <v>4</v>
      </c>
      <c r="AB16" s="637">
        <v>14</v>
      </c>
      <c r="AC16" s="629">
        <f t="shared" si="1"/>
        <v>32</v>
      </c>
      <c r="AD16" s="630" t="s">
        <v>615</v>
      </c>
      <c r="AE16" s="631">
        <f t="shared" si="2"/>
        <v>31</v>
      </c>
      <c r="AF16" s="804">
        <f t="shared" si="3"/>
        <v>1</v>
      </c>
      <c r="AH16" s="672">
        <f t="shared" ca="1" si="9"/>
        <v>627</v>
      </c>
      <c r="AI16" s="674" t="str">
        <f t="shared" si="5"/>
        <v>Jaan Sepp</v>
      </c>
      <c r="AJ16" s="675">
        <f ca="1">IFERROR(INDEX(Üldreiting!$M:$M,MATCH(AI16,Üldreiting!$H:$H,0)),"")</f>
        <v>386</v>
      </c>
      <c r="AK16" s="674" t="str">
        <f t="shared" si="6"/>
        <v>Oskar Sepp</v>
      </c>
      <c r="AL16" s="675">
        <f ca="1">IFERROR(INDEX(Üldreiting!$M:$M,MATCH(AK16,Üldreiting!$H:$H,0)),"")</f>
        <v>241</v>
      </c>
      <c r="AM16" s="676" t="str">
        <f t="shared" si="7"/>
        <v/>
      </c>
      <c r="AN16" s="675" t="str">
        <f>IFERROR(INDEX(Üldreiting!$M:$M,MATCH(AM16,Üldreiting!$H:$H,0)),"")</f>
        <v/>
      </c>
      <c r="AO16" s="676" t="str">
        <f t="shared" si="8"/>
        <v/>
      </c>
      <c r="AP16" s="675" t="str">
        <f>IFERROR(INDEX(Üldreiting!$M:$M,MATCH(AO16,Üldreiting!$H:$H,0)),"")</f>
        <v/>
      </c>
    </row>
    <row r="17" spans="1:42" x14ac:dyDescent="0.2">
      <c r="A17" s="616">
        <v>11</v>
      </c>
      <c r="B17" s="22" t="s">
        <v>871</v>
      </c>
      <c r="C17" s="618">
        <v>13</v>
      </c>
      <c r="D17" s="619" t="s">
        <v>615</v>
      </c>
      <c r="E17" s="620">
        <v>7</v>
      </c>
      <c r="F17" s="621" t="s">
        <v>879</v>
      </c>
      <c r="G17" s="618">
        <v>11</v>
      </c>
      <c r="H17" s="619" t="s">
        <v>615</v>
      </c>
      <c r="I17" s="620">
        <v>13</v>
      </c>
      <c r="J17" s="621" t="s">
        <v>876</v>
      </c>
      <c r="K17" s="618">
        <v>9</v>
      </c>
      <c r="L17" s="619" t="s">
        <v>615</v>
      </c>
      <c r="M17" s="620">
        <v>7</v>
      </c>
      <c r="N17" s="621" t="s">
        <v>872</v>
      </c>
      <c r="O17" s="618">
        <v>8</v>
      </c>
      <c r="P17" s="619" t="s">
        <v>615</v>
      </c>
      <c r="Q17" s="620">
        <v>13</v>
      </c>
      <c r="R17" s="621" t="s">
        <v>870</v>
      </c>
      <c r="S17" s="618"/>
      <c r="T17" s="619" t="s">
        <v>615</v>
      </c>
      <c r="U17" s="620"/>
      <c r="V17" s="621"/>
      <c r="W17" s="618"/>
      <c r="X17" s="619" t="s">
        <v>615</v>
      </c>
      <c r="Y17" s="620"/>
      <c r="Z17" s="621"/>
      <c r="AA17" s="636">
        <f t="shared" si="0"/>
        <v>4</v>
      </c>
      <c r="AB17" s="637">
        <v>12</v>
      </c>
      <c r="AC17" s="629">
        <f t="shared" si="1"/>
        <v>41</v>
      </c>
      <c r="AD17" s="630" t="s">
        <v>615</v>
      </c>
      <c r="AE17" s="631">
        <f t="shared" si="2"/>
        <v>40</v>
      </c>
      <c r="AF17" s="804">
        <f t="shared" si="3"/>
        <v>1</v>
      </c>
      <c r="AH17" s="672">
        <f t="shared" ca="1" si="9"/>
        <v>1615</v>
      </c>
      <c r="AI17" s="674" t="str">
        <f t="shared" si="5"/>
        <v>Katri Aavekukk</v>
      </c>
      <c r="AJ17" s="675">
        <f ca="1">IFERROR(INDEX(Üldreiting!$M:$M,MATCH(AI17,Üldreiting!$H:$H,0)),"")</f>
        <v>1079</v>
      </c>
      <c r="AK17" s="674" t="str">
        <f t="shared" si="6"/>
        <v>Merike Aava</v>
      </c>
      <c r="AL17" s="675">
        <f ca="1">IFERROR(INDEX(Üldreiting!$M:$M,MATCH(AK17,Üldreiting!$H:$H,0)),"")</f>
        <v>536</v>
      </c>
      <c r="AM17" s="676" t="str">
        <f t="shared" si="7"/>
        <v/>
      </c>
      <c r="AN17" s="675" t="str">
        <f>IFERROR(INDEX(Üldreiting!$M:$M,MATCH(AM17,Üldreiting!$H:$H,0)),"")</f>
        <v/>
      </c>
      <c r="AO17" s="676" t="str">
        <f t="shared" si="8"/>
        <v/>
      </c>
      <c r="AP17" s="675" t="str">
        <f>IFERROR(INDEX(Üldreiting!$M:$M,MATCH(AO17,Üldreiting!$H:$H,0)),"")</f>
        <v/>
      </c>
    </row>
    <row r="18" spans="1:42" x14ac:dyDescent="0.2">
      <c r="A18" s="616">
        <v>12</v>
      </c>
      <c r="B18" s="22" t="s">
        <v>616</v>
      </c>
      <c r="C18" s="618">
        <v>2</v>
      </c>
      <c r="D18" s="619" t="s">
        <v>615</v>
      </c>
      <c r="E18" s="620">
        <v>13</v>
      </c>
      <c r="F18" s="621" t="s">
        <v>839</v>
      </c>
      <c r="G18" s="618">
        <v>3</v>
      </c>
      <c r="H18" s="619" t="s">
        <v>615</v>
      </c>
      <c r="I18" s="620">
        <v>13</v>
      </c>
      <c r="J18" s="621" t="s">
        <v>877</v>
      </c>
      <c r="K18" s="618">
        <v>13</v>
      </c>
      <c r="L18" s="619" t="s">
        <v>615</v>
      </c>
      <c r="M18" s="620">
        <v>11</v>
      </c>
      <c r="N18" s="621" t="s">
        <v>879</v>
      </c>
      <c r="O18" s="618">
        <v>13</v>
      </c>
      <c r="P18" s="619" t="s">
        <v>615</v>
      </c>
      <c r="Q18" s="620">
        <v>12</v>
      </c>
      <c r="R18" s="621" t="s">
        <v>656</v>
      </c>
      <c r="S18" s="618"/>
      <c r="T18" s="619" t="s">
        <v>615</v>
      </c>
      <c r="U18" s="620"/>
      <c r="V18" s="621"/>
      <c r="W18" s="618"/>
      <c r="X18" s="619" t="s">
        <v>615</v>
      </c>
      <c r="Y18" s="620"/>
      <c r="Z18" s="621"/>
      <c r="AA18" s="636">
        <f t="shared" si="0"/>
        <v>4</v>
      </c>
      <c r="AB18" s="637">
        <v>10</v>
      </c>
      <c r="AC18" s="629">
        <f t="shared" si="1"/>
        <v>31</v>
      </c>
      <c r="AD18" s="630" t="s">
        <v>615</v>
      </c>
      <c r="AE18" s="631">
        <f t="shared" si="2"/>
        <v>49</v>
      </c>
      <c r="AF18" s="804">
        <f t="shared" si="3"/>
        <v>-18</v>
      </c>
      <c r="AH18" s="672">
        <f t="shared" ca="1" si="9"/>
        <v>1080</v>
      </c>
      <c r="AI18" s="674" t="str">
        <f t="shared" si="5"/>
        <v>Jaan Joonas</v>
      </c>
      <c r="AJ18" s="675">
        <f ca="1">IFERROR(INDEX(Üldreiting!$M:$M,MATCH(AI18,Üldreiting!$H:$H,0)),"")</f>
        <v>612</v>
      </c>
      <c r="AK18" s="674" t="str">
        <f t="shared" si="6"/>
        <v>Toomas Hoole</v>
      </c>
      <c r="AL18" s="675">
        <f ca="1">IFERROR(INDEX(Üldreiting!$M:$M,MATCH(AK18,Üldreiting!$H:$H,0)),"")</f>
        <v>468</v>
      </c>
      <c r="AM18" s="676" t="str">
        <f t="shared" si="7"/>
        <v/>
      </c>
      <c r="AN18" s="675" t="str">
        <f>IFERROR(INDEX(Üldreiting!$M:$M,MATCH(AM18,Üldreiting!$H:$H,0)),"")</f>
        <v/>
      </c>
      <c r="AO18" s="676" t="str">
        <f t="shared" si="8"/>
        <v/>
      </c>
      <c r="AP18" s="675" t="str">
        <f>IFERROR(INDEX(Üldreiting!$M:$M,MATCH(AO18,Üldreiting!$H:$H,0)),"")</f>
        <v/>
      </c>
    </row>
    <row r="19" spans="1:42" x14ac:dyDescent="0.2">
      <c r="A19" s="616">
        <v>13</v>
      </c>
      <c r="B19" s="22" t="s">
        <v>819</v>
      </c>
      <c r="C19" s="618">
        <v>13</v>
      </c>
      <c r="D19" s="619" t="s">
        <v>615</v>
      </c>
      <c r="E19" s="620">
        <v>2</v>
      </c>
      <c r="F19" s="621" t="s">
        <v>877</v>
      </c>
      <c r="G19" s="618">
        <v>1</v>
      </c>
      <c r="H19" s="619" t="s">
        <v>615</v>
      </c>
      <c r="I19" s="620">
        <v>13</v>
      </c>
      <c r="J19" s="621" t="s">
        <v>839</v>
      </c>
      <c r="K19" s="618">
        <v>8</v>
      </c>
      <c r="L19" s="619" t="s">
        <v>615</v>
      </c>
      <c r="M19" s="620">
        <v>9</v>
      </c>
      <c r="N19" s="621" t="s">
        <v>874</v>
      </c>
      <c r="O19" s="618">
        <v>2</v>
      </c>
      <c r="P19" s="619" t="s">
        <v>615</v>
      </c>
      <c r="Q19" s="620">
        <v>13</v>
      </c>
      <c r="R19" s="621" t="s">
        <v>875</v>
      </c>
      <c r="S19" s="618"/>
      <c r="T19" s="619" t="s">
        <v>615</v>
      </c>
      <c r="U19" s="620"/>
      <c r="V19" s="621"/>
      <c r="W19" s="618"/>
      <c r="X19" s="619" t="s">
        <v>615</v>
      </c>
      <c r="Y19" s="620"/>
      <c r="Z19" s="621"/>
      <c r="AA19" s="634">
        <f t="shared" si="0"/>
        <v>2</v>
      </c>
      <c r="AB19" s="635">
        <v>22</v>
      </c>
      <c r="AC19" s="629">
        <f t="shared" si="1"/>
        <v>24</v>
      </c>
      <c r="AD19" s="630" t="s">
        <v>615</v>
      </c>
      <c r="AE19" s="631">
        <f t="shared" si="2"/>
        <v>37</v>
      </c>
      <c r="AF19" s="804">
        <f t="shared" si="3"/>
        <v>-13</v>
      </c>
      <c r="AH19" s="672">
        <f t="shared" ca="1" si="9"/>
        <v>676</v>
      </c>
      <c r="AI19" s="674" t="str">
        <f t="shared" si="5"/>
        <v>Mait Metsla</v>
      </c>
      <c r="AJ19" s="675">
        <f ca="1">IFERROR(INDEX(Üldreiting!$M:$M,MATCH(AI19,Üldreiting!$H:$H,0)),"")</f>
        <v>502</v>
      </c>
      <c r="AK19" s="674" t="str">
        <f t="shared" si="6"/>
        <v>Matti Vinni</v>
      </c>
      <c r="AL19" s="675">
        <f ca="1">IFERROR(INDEX(Üldreiting!$M:$M,MATCH(AK19,Üldreiting!$H:$H,0)),"")</f>
        <v>174</v>
      </c>
      <c r="AM19" s="676" t="str">
        <f t="shared" si="7"/>
        <v/>
      </c>
      <c r="AN19" s="675" t="str">
        <f>IFERROR(INDEX(Üldreiting!$M:$M,MATCH(AM19,Üldreiting!$H:$H,0)),"")</f>
        <v/>
      </c>
      <c r="AO19" s="676" t="str">
        <f t="shared" si="8"/>
        <v/>
      </c>
      <c r="AP19" s="675" t="str">
        <f>IFERROR(INDEX(Üldreiting!$M:$M,MATCH(AO19,Üldreiting!$H:$H,0)),"")</f>
        <v/>
      </c>
    </row>
    <row r="20" spans="1:42" x14ac:dyDescent="0.2">
      <c r="A20" s="616">
        <v>14</v>
      </c>
      <c r="B20" s="22" t="s">
        <v>808</v>
      </c>
      <c r="C20" s="618">
        <v>11</v>
      </c>
      <c r="D20" s="619" t="s">
        <v>615</v>
      </c>
      <c r="E20" s="620">
        <v>13</v>
      </c>
      <c r="F20" s="621" t="s">
        <v>874</v>
      </c>
      <c r="G20" s="618">
        <v>10</v>
      </c>
      <c r="H20" s="619" t="s">
        <v>615</v>
      </c>
      <c r="I20" s="620">
        <v>11</v>
      </c>
      <c r="J20" s="621" t="s">
        <v>870</v>
      </c>
      <c r="K20" s="618">
        <v>13</v>
      </c>
      <c r="L20" s="619" t="s">
        <v>615</v>
      </c>
      <c r="M20" s="620">
        <v>2</v>
      </c>
      <c r="N20" s="621" t="s">
        <v>878</v>
      </c>
      <c r="O20" s="618">
        <v>3</v>
      </c>
      <c r="P20" s="619" t="s">
        <v>615</v>
      </c>
      <c r="Q20" s="620">
        <v>13</v>
      </c>
      <c r="R20" s="621" t="s">
        <v>548</v>
      </c>
      <c r="S20" s="618"/>
      <c r="T20" s="619" t="s">
        <v>615</v>
      </c>
      <c r="U20" s="620"/>
      <c r="V20" s="621"/>
      <c r="W20" s="618"/>
      <c r="X20" s="619" t="s">
        <v>615</v>
      </c>
      <c r="Y20" s="620"/>
      <c r="Z20" s="621"/>
      <c r="AA20" s="634">
        <f t="shared" si="0"/>
        <v>2</v>
      </c>
      <c r="AB20" s="635">
        <v>18</v>
      </c>
      <c r="AC20" s="629">
        <f t="shared" si="1"/>
        <v>37</v>
      </c>
      <c r="AD20" s="630" t="s">
        <v>615</v>
      </c>
      <c r="AE20" s="631">
        <f t="shared" si="2"/>
        <v>39</v>
      </c>
      <c r="AF20" s="804">
        <f t="shared" si="3"/>
        <v>-2</v>
      </c>
      <c r="AH20" s="672">
        <f t="shared" ca="1" si="9"/>
        <v>1046</v>
      </c>
      <c r="AI20" s="674" t="str">
        <f t="shared" si="5"/>
        <v>Külli Kariste</v>
      </c>
      <c r="AJ20" s="675">
        <f ca="1">IFERROR(INDEX(Üldreiting!$M:$M,MATCH(AI20,Üldreiting!$H:$H,0)),"")</f>
        <v>593</v>
      </c>
      <c r="AK20" s="674" t="str">
        <f t="shared" si="6"/>
        <v>Marju Velga</v>
      </c>
      <c r="AL20" s="675">
        <f ca="1">IFERROR(INDEX(Üldreiting!$M:$M,MATCH(AK20,Üldreiting!$H:$H,0)),"")</f>
        <v>453</v>
      </c>
      <c r="AM20" s="676" t="str">
        <f t="shared" si="7"/>
        <v/>
      </c>
      <c r="AN20" s="675" t="str">
        <f>IFERROR(INDEX(Üldreiting!$M:$M,MATCH(AM20,Üldreiting!$H:$H,0)),"")</f>
        <v/>
      </c>
      <c r="AO20" s="676" t="str">
        <f t="shared" si="8"/>
        <v/>
      </c>
      <c r="AP20" s="675" t="str">
        <f>IFERROR(INDEX(Üldreiting!$M:$M,MATCH(AO20,Üldreiting!$H:$H,0)),"")</f>
        <v/>
      </c>
    </row>
    <row r="21" spans="1:42" x14ac:dyDescent="0.2">
      <c r="A21" s="616">
        <v>15</v>
      </c>
      <c r="B21" s="22" t="s">
        <v>872</v>
      </c>
      <c r="C21" s="618">
        <v>7</v>
      </c>
      <c r="D21" s="619" t="s">
        <v>615</v>
      </c>
      <c r="E21" s="620">
        <v>13</v>
      </c>
      <c r="F21" s="621" t="s">
        <v>873</v>
      </c>
      <c r="G21" s="618">
        <v>13</v>
      </c>
      <c r="H21" s="619" t="s">
        <v>615</v>
      </c>
      <c r="I21" s="620">
        <v>9</v>
      </c>
      <c r="J21" s="621" t="s">
        <v>878</v>
      </c>
      <c r="K21" s="618">
        <v>7</v>
      </c>
      <c r="L21" s="619" t="s">
        <v>615</v>
      </c>
      <c r="M21" s="620">
        <v>9</v>
      </c>
      <c r="N21" s="621" t="s">
        <v>871</v>
      </c>
      <c r="O21" s="618">
        <v>2</v>
      </c>
      <c r="P21" s="619" t="s">
        <v>615</v>
      </c>
      <c r="Q21" s="620">
        <v>13</v>
      </c>
      <c r="R21" s="621" t="s">
        <v>877</v>
      </c>
      <c r="S21" s="618"/>
      <c r="T21" s="619" t="s">
        <v>615</v>
      </c>
      <c r="U21" s="620"/>
      <c r="V21" s="621"/>
      <c r="W21" s="618"/>
      <c r="X21" s="619" t="s">
        <v>615</v>
      </c>
      <c r="Y21" s="620"/>
      <c r="Z21" s="621"/>
      <c r="AA21" s="634">
        <f t="shared" si="0"/>
        <v>2</v>
      </c>
      <c r="AB21" s="635">
        <v>16</v>
      </c>
      <c r="AC21" s="629">
        <f t="shared" si="1"/>
        <v>29</v>
      </c>
      <c r="AD21" s="630" t="s">
        <v>615</v>
      </c>
      <c r="AE21" s="631">
        <f t="shared" si="2"/>
        <v>44</v>
      </c>
      <c r="AF21" s="804">
        <f t="shared" si="3"/>
        <v>-15</v>
      </c>
      <c r="AH21" s="672">
        <f t="shared" ca="1" si="9"/>
        <v>649</v>
      </c>
      <c r="AI21" s="674" t="str">
        <f t="shared" si="5"/>
        <v>Elmo Lageda</v>
      </c>
      <c r="AJ21" s="675">
        <f ca="1">IFERROR(INDEX(Üldreiting!$M:$M,MATCH(AI21,Üldreiting!$H:$H,0)),"")</f>
        <v>606</v>
      </c>
      <c r="AK21" s="674" t="str">
        <f t="shared" si="6"/>
        <v>Tõnu Piik</v>
      </c>
      <c r="AL21" s="675">
        <f ca="1">IFERROR(INDEX(Üldreiting!$M:$M,MATCH(AK21,Üldreiting!$H:$H,0)),"")</f>
        <v>43</v>
      </c>
      <c r="AM21" s="676" t="str">
        <f t="shared" si="7"/>
        <v/>
      </c>
      <c r="AN21" s="675" t="str">
        <f>IFERROR(INDEX(Üldreiting!$M:$M,MATCH(AM21,Üldreiting!$H:$H,0)),"")</f>
        <v/>
      </c>
      <c r="AO21" s="676" t="str">
        <f t="shared" si="8"/>
        <v/>
      </c>
      <c r="AP21" s="675" t="str">
        <f>IFERROR(INDEX(Üldreiting!$M:$M,MATCH(AO21,Üldreiting!$H:$H,0)),"")</f>
        <v/>
      </c>
    </row>
    <row r="22" spans="1:42" x14ac:dyDescent="0.2">
      <c r="A22" s="616">
        <v>16</v>
      </c>
      <c r="B22" s="22" t="s">
        <v>878</v>
      </c>
      <c r="C22" s="618">
        <v>9</v>
      </c>
      <c r="D22" s="619" t="s">
        <v>615</v>
      </c>
      <c r="E22" s="620">
        <v>13</v>
      </c>
      <c r="F22" s="621" t="s">
        <v>876</v>
      </c>
      <c r="G22" s="618">
        <v>9</v>
      </c>
      <c r="H22" s="619" t="s">
        <v>615</v>
      </c>
      <c r="I22" s="620">
        <v>13</v>
      </c>
      <c r="J22" s="621" t="s">
        <v>872</v>
      </c>
      <c r="K22" s="618">
        <v>2</v>
      </c>
      <c r="L22" s="619" t="s">
        <v>615</v>
      </c>
      <c r="M22" s="620">
        <v>13</v>
      </c>
      <c r="N22" s="621" t="s">
        <v>808</v>
      </c>
      <c r="O22" s="618">
        <v>13</v>
      </c>
      <c r="P22" s="619" t="s">
        <v>615</v>
      </c>
      <c r="Q22" s="620">
        <v>10</v>
      </c>
      <c r="R22" s="621" t="s">
        <v>879</v>
      </c>
      <c r="S22" s="618"/>
      <c r="T22" s="619" t="s">
        <v>615</v>
      </c>
      <c r="U22" s="620"/>
      <c r="V22" s="621"/>
      <c r="W22" s="618"/>
      <c r="X22" s="619" t="s">
        <v>615</v>
      </c>
      <c r="Y22" s="620"/>
      <c r="Z22" s="621"/>
      <c r="AA22" s="634">
        <f t="shared" si="0"/>
        <v>2</v>
      </c>
      <c r="AB22" s="635">
        <v>8</v>
      </c>
      <c r="AC22" s="629">
        <f t="shared" si="1"/>
        <v>33</v>
      </c>
      <c r="AD22" s="630" t="s">
        <v>615</v>
      </c>
      <c r="AE22" s="631">
        <f t="shared" si="2"/>
        <v>49</v>
      </c>
      <c r="AF22" s="804">
        <f t="shared" si="3"/>
        <v>-16</v>
      </c>
      <c r="AH22" s="672">
        <f t="shared" ca="1" si="9"/>
        <v>1441</v>
      </c>
      <c r="AI22" s="674" t="str">
        <f t="shared" si="5"/>
        <v>Kevin Sten Liik</v>
      </c>
      <c r="AJ22" s="675">
        <f ca="1">IFERROR(INDEX(Üldreiting!$M:$M,MATCH(AI22,Üldreiting!$H:$H,0)),"")</f>
        <v>715</v>
      </c>
      <c r="AK22" s="674" t="str">
        <f t="shared" si="6"/>
        <v>Mare Kingissepp</v>
      </c>
      <c r="AL22" s="675">
        <f ca="1">IFERROR(INDEX(Üldreiting!$M:$M,MATCH(AK22,Üldreiting!$H:$H,0)),"")</f>
        <v>726</v>
      </c>
      <c r="AM22" s="676" t="str">
        <f t="shared" si="7"/>
        <v/>
      </c>
      <c r="AN22" s="675" t="str">
        <f>IFERROR(INDEX(Üldreiting!$M:$M,MATCH(AM22,Üldreiting!$H:$H,0)),"")</f>
        <v/>
      </c>
      <c r="AO22" s="676" t="str">
        <f t="shared" si="8"/>
        <v/>
      </c>
      <c r="AP22" s="675" t="str">
        <f>IFERROR(INDEX(Üldreiting!$M:$M,MATCH(AO22,Üldreiting!$H:$H,0)),"")</f>
        <v/>
      </c>
    </row>
    <row r="23" spans="1:42" x14ac:dyDescent="0.2">
      <c r="A23" s="616">
        <v>17</v>
      </c>
      <c r="B23" s="22" t="s">
        <v>656</v>
      </c>
      <c r="C23" s="618">
        <v>11</v>
      </c>
      <c r="D23" s="619" t="s">
        <v>615</v>
      </c>
      <c r="E23" s="620">
        <v>13</v>
      </c>
      <c r="F23" s="621" t="s">
        <v>869</v>
      </c>
      <c r="G23" s="618">
        <v>6</v>
      </c>
      <c r="H23" s="619" t="s">
        <v>615</v>
      </c>
      <c r="I23" s="620">
        <v>13</v>
      </c>
      <c r="J23" s="621" t="s">
        <v>874</v>
      </c>
      <c r="K23" s="618">
        <v>10</v>
      </c>
      <c r="L23" s="619" t="s">
        <v>615</v>
      </c>
      <c r="M23" s="620">
        <v>13</v>
      </c>
      <c r="N23" s="621" t="s">
        <v>875</v>
      </c>
      <c r="O23" s="618">
        <v>12</v>
      </c>
      <c r="P23" s="619" t="s">
        <v>615</v>
      </c>
      <c r="Q23" s="620">
        <v>13</v>
      </c>
      <c r="R23" s="621" t="s">
        <v>616</v>
      </c>
      <c r="S23" s="618"/>
      <c r="T23" s="619" t="s">
        <v>615</v>
      </c>
      <c r="U23" s="620"/>
      <c r="V23" s="621"/>
      <c r="W23" s="618"/>
      <c r="X23" s="619" t="s">
        <v>615</v>
      </c>
      <c r="Y23" s="620"/>
      <c r="Z23" s="621"/>
      <c r="AA23" s="636">
        <f t="shared" si="0"/>
        <v>0</v>
      </c>
      <c r="AB23" s="637">
        <v>24</v>
      </c>
      <c r="AC23" s="629">
        <f t="shared" si="1"/>
        <v>39</v>
      </c>
      <c r="AD23" s="630" t="s">
        <v>615</v>
      </c>
      <c r="AE23" s="631">
        <f t="shared" si="2"/>
        <v>52</v>
      </c>
      <c r="AF23" s="804">
        <f t="shared" si="3"/>
        <v>-13</v>
      </c>
      <c r="AH23" s="672">
        <f t="shared" ca="1" si="9"/>
        <v>180</v>
      </c>
      <c r="AI23" s="674" t="str">
        <f t="shared" si="5"/>
        <v>Ljudmila Varendi</v>
      </c>
      <c r="AJ23" s="675">
        <f ca="1">IFERROR(INDEX(Üldreiting!$M:$M,MATCH(AI23,Üldreiting!$H:$H,0)),"")</f>
        <v>90</v>
      </c>
      <c r="AK23" s="674" t="str">
        <f t="shared" si="6"/>
        <v>Viktor Švarõgin</v>
      </c>
      <c r="AL23" s="675">
        <f ca="1">IFERROR(INDEX(Üldreiting!$M:$M,MATCH(AK23,Üldreiting!$H:$H,0)),"")</f>
        <v>90</v>
      </c>
      <c r="AM23" s="676" t="str">
        <f t="shared" si="7"/>
        <v/>
      </c>
      <c r="AN23" s="675" t="str">
        <f>IFERROR(INDEX(Üldreiting!$M:$M,MATCH(AM23,Üldreiting!$H:$H,0)),"")</f>
        <v/>
      </c>
      <c r="AO23" s="676" t="str">
        <f t="shared" si="8"/>
        <v/>
      </c>
      <c r="AP23" s="675" t="str">
        <f>IFERROR(INDEX(Üldreiting!$M:$M,MATCH(AO23,Üldreiting!$H:$H,0)),"")</f>
        <v/>
      </c>
    </row>
    <row r="24" spans="1:42" x14ac:dyDescent="0.2">
      <c r="A24" s="616">
        <v>18</v>
      </c>
      <c r="B24" s="22" t="s">
        <v>879</v>
      </c>
      <c r="C24" s="618">
        <v>7</v>
      </c>
      <c r="D24" s="619" t="s">
        <v>615</v>
      </c>
      <c r="E24" s="620">
        <v>13</v>
      </c>
      <c r="F24" s="621" t="s">
        <v>871</v>
      </c>
      <c r="G24" s="618">
        <v>12</v>
      </c>
      <c r="H24" s="619" t="s">
        <v>615</v>
      </c>
      <c r="I24" s="620">
        <v>13</v>
      </c>
      <c r="J24" s="621" t="s">
        <v>875</v>
      </c>
      <c r="K24" s="618">
        <v>11</v>
      </c>
      <c r="L24" s="619" t="s">
        <v>615</v>
      </c>
      <c r="M24" s="620">
        <v>13</v>
      </c>
      <c r="N24" s="621" t="s">
        <v>616</v>
      </c>
      <c r="O24" s="618">
        <v>10</v>
      </c>
      <c r="P24" s="619" t="s">
        <v>615</v>
      </c>
      <c r="Q24" s="620">
        <v>13</v>
      </c>
      <c r="R24" s="621" t="s">
        <v>878</v>
      </c>
      <c r="S24" s="618"/>
      <c r="T24" s="619" t="s">
        <v>615</v>
      </c>
      <c r="U24" s="620"/>
      <c r="V24" s="621"/>
      <c r="W24" s="618"/>
      <c r="X24" s="619" t="s">
        <v>615</v>
      </c>
      <c r="Y24" s="620"/>
      <c r="Z24" s="621"/>
      <c r="AA24" s="636">
        <f t="shared" si="0"/>
        <v>0</v>
      </c>
      <c r="AB24" s="637">
        <v>16</v>
      </c>
      <c r="AC24" s="629">
        <f t="shared" si="1"/>
        <v>40</v>
      </c>
      <c r="AD24" s="630" t="s">
        <v>615</v>
      </c>
      <c r="AE24" s="631">
        <f t="shared" si="2"/>
        <v>52</v>
      </c>
      <c r="AF24" s="804">
        <f t="shared" si="3"/>
        <v>-12</v>
      </c>
      <c r="AH24" s="672">
        <f t="shared" ca="1" si="9"/>
        <v>1626</v>
      </c>
      <c r="AI24" s="674" t="str">
        <f t="shared" si="5"/>
        <v>Maive Sein</v>
      </c>
      <c r="AJ24" s="675">
        <f ca="1">IFERROR(INDEX(Üldreiting!$M:$M,MATCH(AI24,Üldreiting!$H:$H,0)),"")</f>
        <v>785</v>
      </c>
      <c r="AK24" s="674" t="str">
        <f t="shared" si="6"/>
        <v>Varje Reede</v>
      </c>
      <c r="AL24" s="675">
        <f ca="1">IFERROR(INDEX(Üldreiting!$M:$M,MATCH(AK24,Üldreiting!$H:$H,0)),"")</f>
        <v>841</v>
      </c>
      <c r="AM24" s="676" t="str">
        <f t="shared" si="7"/>
        <v/>
      </c>
      <c r="AN24" s="675" t="str">
        <f>IFERROR(INDEX(Üldreiting!$M:$M,MATCH(AM24,Üldreiting!$H:$H,0)),"")</f>
        <v/>
      </c>
      <c r="AO24" s="676" t="str">
        <f t="shared" si="8"/>
        <v/>
      </c>
      <c r="AP24" s="675" t="str">
        <f>IFERROR(INDEX(Üldreiting!$M:$M,MATCH(AO24,Üldreiting!$H:$H,0)),"")</f>
        <v/>
      </c>
    </row>
    <row r="25" spans="1:42" hidden="1" x14ac:dyDescent="0.2">
      <c r="A25" s="606"/>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row>
    <row r="26" spans="1:42"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row>
    <row r="27" spans="1:42"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row>
    <row r="28" spans="1:42"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row>
    <row r="29" spans="1:42"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row>
    <row r="30" spans="1:42"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row>
    <row r="31" spans="1:42"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row>
    <row r="32" spans="1:42"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row>
    <row r="33" spans="1:32"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row>
    <row r="34" spans="1:32"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row>
    <row r="35" spans="1:32"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row>
    <row r="36" spans="1:32"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row>
    <row r="37" spans="1:32"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row>
    <row r="38" spans="1:32"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1:32"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row>
    <row r="40" spans="1:32"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row>
    <row r="41" spans="1:32"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row>
    <row r="42" spans="1:32"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row>
    <row r="43" spans="1:32"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row>
    <row r="44" spans="1:32"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row>
    <row r="45" spans="1:32"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row>
    <row r="46" spans="1:32"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row>
    <row r="47" spans="1:32"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row>
    <row r="48" spans="1:32"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row>
    <row r="49" spans="1:32"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row>
    <row r="50" spans="1:32"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row>
    <row r="51" spans="1:32"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row>
    <row r="52" spans="1:32"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row>
    <row r="53" spans="1:32"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row>
    <row r="54" spans="1:32"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row>
    <row r="55" spans="1:32"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row>
    <row r="56" spans="1:32"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row>
    <row r="57" spans="1:32"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row>
    <row r="59" spans="1:32"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row>
    <row r="60" spans="1:32"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row>
    <row r="61" spans="1:32"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row>
    <row r="62" spans="1:32"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row>
    <row r="63" spans="1:32"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row>
    <row r="64" spans="1:32"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row>
    <row r="65" spans="1:32"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row>
    <row r="66" spans="1:32"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row>
    <row r="67" spans="1:32"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row>
    <row r="68" spans="1:32"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row>
    <row r="69" spans="1:32"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row>
    <row r="70" spans="1:32"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row>
    <row r="71" spans="1:32"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row>
    <row r="72" spans="1:32"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row>
    <row r="73" spans="1:32"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row>
    <row r="74" spans="1:32"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row>
    <row r="75" spans="1:32"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row>
    <row r="76" spans="1:32"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row>
    <row r="77" spans="1:32"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row>
    <row r="78" spans="1:32"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row>
    <row r="79" spans="1:32"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row>
    <row r="80" spans="1:32"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row>
    <row r="81" spans="1:32"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row>
    <row r="82" spans="1:32"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row>
    <row r="83" spans="1:32"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row>
    <row r="84" spans="1:32"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row>
    <row r="85" spans="1:32"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row>
    <row r="86" spans="1:32"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row>
    <row r="87" spans="1:32"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row>
    <row r="88" spans="1:32"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row>
    <row r="89" spans="1:32"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row>
    <row r="90" spans="1:32"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row>
    <row r="91" spans="1:32"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row>
    <row r="92" spans="1:32"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row>
    <row r="93" spans="1:32"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row>
    <row r="94" spans="1:32"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row>
    <row r="95" spans="1:32"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row>
    <row r="96" spans="1:32"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row>
    <row r="97" spans="1:32"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row>
    <row r="98" spans="1:32"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row>
    <row r="99" spans="1:32" x14ac:dyDescent="0.2">
      <c r="A99" s="606"/>
      <c r="B99" s="606"/>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row>
    <row r="100" spans="1:32"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c r="AB100" s="606"/>
      <c r="AC100" s="606"/>
      <c r="AD100" s="606"/>
      <c r="AE100" s="606"/>
      <c r="AF100" s="606"/>
    </row>
    <row r="101" spans="1:32"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32" x14ac:dyDescent="0.2">
      <c r="A102" s="240">
        <v>1</v>
      </c>
      <c r="B102" s="641" t="str">
        <f>IFERROR(INDEX(B$1:B$99,MATCH(A102,A$1:A$99,0)),"")</f>
        <v>Kenneth Muusikus, Tõnis Neiland</v>
      </c>
      <c r="C102" s="74">
        <v>13</v>
      </c>
      <c r="D102" s="74"/>
      <c r="E102" s="74"/>
      <c r="F102" s="74"/>
      <c r="G102" s="74"/>
      <c r="H102" s="130"/>
      <c r="I102" s="70"/>
      <c r="J102" s="130"/>
      <c r="O102" s="606"/>
      <c r="P102" s="606"/>
      <c r="Q102" s="606"/>
      <c r="R102" s="606"/>
      <c r="S102" s="606"/>
      <c r="T102" s="606"/>
      <c r="U102" s="606"/>
      <c r="V102" s="606"/>
      <c r="W102" s="606"/>
      <c r="X102" s="606"/>
      <c r="Y102" s="606"/>
      <c r="Z102" s="606"/>
      <c r="AA102" s="606"/>
    </row>
    <row r="103" spans="1:32" x14ac:dyDescent="0.2">
      <c r="A103" s="242"/>
      <c r="B103" s="649"/>
      <c r="C103" s="74" t="str">
        <f>IF(COUNT(C102,C104)=2,IF(C102&gt;C104,B102,B104),"")</f>
        <v>Kenneth Muusikus, Tõnis Neiland</v>
      </c>
      <c r="G103" s="419">
        <v>13</v>
      </c>
      <c r="H103" s="74"/>
      <c r="I103" s="74"/>
      <c r="J103" s="74"/>
      <c r="K103" s="74"/>
      <c r="L103" s="70"/>
      <c r="M103" s="130"/>
      <c r="O103" s="606"/>
      <c r="P103" s="606"/>
      <c r="Q103" s="606"/>
      <c r="R103" s="606"/>
      <c r="S103" s="606"/>
      <c r="T103" s="606"/>
      <c r="U103" s="606"/>
      <c r="V103" s="606"/>
      <c r="W103" s="606"/>
      <c r="X103" s="606"/>
      <c r="Y103" s="606"/>
      <c r="Z103" s="606"/>
      <c r="AA103" s="606"/>
    </row>
    <row r="104" spans="1:32" x14ac:dyDescent="0.2">
      <c r="A104" s="242">
        <v>8</v>
      </c>
      <c r="B104" s="644" t="str">
        <f>IFERROR(INDEX(B$1:B$99,MATCH(A104,A$1:A$99,0)),"")</f>
        <v>Aigi Orro, Kalle Orro</v>
      </c>
      <c r="C104" s="646">
        <v>1</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32" x14ac:dyDescent="0.2">
      <c r="A105" s="242"/>
      <c r="B105" s="645"/>
      <c r="C105" s="49"/>
      <c r="D105" s="262"/>
      <c r="E105" s="262"/>
      <c r="F105" s="653"/>
      <c r="G105" s="417" t="str">
        <f>IF(COUNT(G103,G107)=2,IF(G103&gt;G107,C103,C107),"")</f>
        <v>Kenneth Muusikus, Tõnis Neiland</v>
      </c>
      <c r="H105" s="74"/>
      <c r="K105" s="241">
        <v>13</v>
      </c>
      <c r="L105" s="74"/>
      <c r="M105" s="74"/>
      <c r="N105" s="262"/>
      <c r="O105" s="606"/>
      <c r="P105" s="606"/>
      <c r="Q105" s="606"/>
      <c r="R105" s="606"/>
      <c r="S105" s="606"/>
      <c r="T105" s="606"/>
      <c r="U105" s="606"/>
      <c r="V105" s="606"/>
      <c r="W105" s="606"/>
      <c r="X105" s="606"/>
      <c r="Y105" s="606"/>
      <c r="Z105" s="606"/>
      <c r="AA105" s="606"/>
    </row>
    <row r="106" spans="1:32" x14ac:dyDescent="0.2">
      <c r="A106" s="242">
        <v>4</v>
      </c>
      <c r="B106" s="641" t="str">
        <f>IFERROR(INDEX(B$1:B$99,MATCH(A106,A$1:A$99,0)),"")</f>
        <v>Johannes Neiland, Ülo Piik</v>
      </c>
      <c r="C106" s="74">
        <v>9</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32" x14ac:dyDescent="0.2">
      <c r="A107" s="242"/>
      <c r="B107" s="649"/>
      <c r="C107" s="74" t="str">
        <f>IF(COUNT(C106,C108)=2,IF(C106&gt;C108,B106,B108),"")</f>
        <v>Johannes Neiland, Ülo Piik</v>
      </c>
      <c r="D107" s="654"/>
      <c r="E107" s="654"/>
      <c r="F107" s="655"/>
      <c r="G107" s="247">
        <v>3</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32" x14ac:dyDescent="0.2">
      <c r="A108" s="242">
        <v>5</v>
      </c>
      <c r="B108" s="644" t="str">
        <f>IFERROR(INDEX(B$1:B$99,MATCH(A108,A$1:A$99,0)),"")</f>
        <v>Aarne Välja, Janek Tarto</v>
      </c>
      <c r="C108" s="646">
        <v>8</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32" ht="13.5" thickBot="1" x14ac:dyDescent="0.25">
      <c r="A109" s="41"/>
      <c r="B109" s="645"/>
      <c r="C109" s="74"/>
      <c r="G109" s="49"/>
      <c r="H109" s="49"/>
      <c r="I109" s="262"/>
      <c r="J109" s="653"/>
      <c r="K109" s="74"/>
      <c r="M109" s="425" t="str">
        <f>IF(COUNT(K105,K113)=2,IF(K105&gt;K113,G105,G113),"")</f>
        <v>Kenneth Muusikus, Tõnis Neiland</v>
      </c>
      <c r="N109" s="74"/>
      <c r="O109" s="262"/>
      <c r="P109" s="606"/>
      <c r="Q109" s="606"/>
      <c r="R109" s="606"/>
      <c r="S109" s="606"/>
      <c r="T109" s="606"/>
      <c r="U109" s="606"/>
      <c r="V109" s="606"/>
      <c r="W109" s="606"/>
      <c r="X109" s="606"/>
      <c r="Y109" s="606"/>
      <c r="Z109" s="606"/>
      <c r="AA109" s="606"/>
    </row>
    <row r="110" spans="1:32" x14ac:dyDescent="0.2">
      <c r="A110" s="240">
        <v>3</v>
      </c>
      <c r="B110" s="641" t="str">
        <f>IFERROR(INDEX(B$1:B$99,MATCH(A110,A$1:A$99,0)),"")</f>
        <v>Janek Kiisk, Ruudi Väärtnõu</v>
      </c>
      <c r="C110" s="74">
        <v>13</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32" x14ac:dyDescent="0.2">
      <c r="A111" s="242"/>
      <c r="B111" s="649"/>
      <c r="C111" s="74" t="str">
        <f>IF(COUNT(C110,C112)=2,IF(C110&gt;C112,B110,B112),"")</f>
        <v>Janek Kiisk, Ruudi Väärtnõu</v>
      </c>
      <c r="G111" s="247">
        <v>13</v>
      </c>
      <c r="H111" s="49"/>
      <c r="I111" s="262"/>
      <c r="J111" s="653"/>
      <c r="K111" s="49"/>
      <c r="M111" s="74"/>
      <c r="N111" s="74"/>
      <c r="O111" s="262"/>
      <c r="P111" s="606"/>
      <c r="Q111" s="606"/>
      <c r="R111" s="606"/>
      <c r="S111" s="606"/>
      <c r="T111" s="606"/>
      <c r="U111" s="606"/>
      <c r="V111" s="606"/>
      <c r="W111" s="606"/>
      <c r="X111" s="606"/>
      <c r="Y111" s="606"/>
      <c r="Z111" s="606"/>
      <c r="AA111" s="606"/>
    </row>
    <row r="112" spans="1:32" x14ac:dyDescent="0.2">
      <c r="A112" s="242">
        <v>6</v>
      </c>
      <c r="B112" s="644" t="str">
        <f>IFERROR(INDEX(B$1:B$99,MATCH(A112,A$1:A$99,0)),"")</f>
        <v>Marge Mägi, Silver Kingissepp</v>
      </c>
      <c r="C112" s="646">
        <v>5</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Janek Kiisk, Ruudi Väärtnõu</v>
      </c>
      <c r="H113" s="243"/>
      <c r="I113" s="654"/>
      <c r="J113" s="655"/>
      <c r="K113" s="247">
        <v>5</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Marek Kolk, Urmo Auväärt</v>
      </c>
      <c r="C114" s="74">
        <v>11</v>
      </c>
      <c r="D114" s="262"/>
      <c r="E114" s="262"/>
      <c r="F114" s="653"/>
      <c r="G114" s="49"/>
      <c r="H114" s="49"/>
      <c r="K114" s="49"/>
      <c r="M114" s="425" t="str">
        <f>IF(COUNT(K105,K113)=2,IF(K105&lt;K113,G105,G113),"")</f>
        <v>Janek Kiisk, Ruudi Väärtnõu</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Andres Veski, Svetlana Veski</v>
      </c>
      <c r="D115" s="654"/>
      <c r="E115" s="654"/>
      <c r="F115" s="655"/>
      <c r="G115" s="247">
        <v>1</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Andres Veski, Svetlana Veski</v>
      </c>
      <c r="C116" s="646">
        <v>12</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Johannes Neiland, Ülo Piik</v>
      </c>
      <c r="H117" s="74"/>
      <c r="K117" s="247">
        <v>13</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Johannes Neiland, Ülo Piik</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Andres Veski, Svetlana Veski</v>
      </c>
      <c r="H119" s="243"/>
      <c r="I119" s="654"/>
      <c r="J119" s="655"/>
      <c r="K119" s="247">
        <v>0</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Andres Veski, Svetlana Veski</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Aigi Orro, Kalle Orro</v>
      </c>
      <c r="G123" s="241">
        <v>13</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Aigi Orro, Kalle Orro</v>
      </c>
      <c r="H124" s="74"/>
      <c r="K124" s="648">
        <v>13</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Aarne Välja, Janek Tarto</v>
      </c>
      <c r="D125" s="654"/>
      <c r="E125" s="654"/>
      <c r="F125" s="655"/>
      <c r="G125" s="244">
        <v>8</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Aigi Orro, Kalle Orro</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Marge Mägi, Silver Kingissepp</v>
      </c>
      <c r="G127" s="241">
        <v>10</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Marek Kolk, Urmo Auväärt</v>
      </c>
      <c r="H128" s="243"/>
      <c r="I128" s="654"/>
      <c r="J128" s="655"/>
      <c r="K128" s="828">
        <v>0</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Marek Kolk, Urmo Auväärt</v>
      </c>
      <c r="D129" s="654"/>
      <c r="E129" s="654"/>
      <c r="F129" s="655"/>
      <c r="G129" s="244">
        <v>13</v>
      </c>
      <c r="H129" s="241"/>
      <c r="K129" s="247"/>
      <c r="M129" s="425" t="str">
        <f>IF(COUNT(K124,K128)=2,IF(K124&lt;K128,G124,G128),"")</f>
        <v>Marek Kolk, Urmo Auväärt</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Aarne Välja, Janek Tarto</v>
      </c>
      <c r="H131" s="74"/>
      <c r="K131" s="247">
        <v>8</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Marge Mägi, Silver Kingissepp</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Marge Mägi, Silver Kingissepp</v>
      </c>
      <c r="H133" s="243"/>
      <c r="I133" s="654"/>
      <c r="J133" s="655"/>
      <c r="K133" s="247">
        <v>13</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Aarne Välja, Janek Tarto</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Jaan Sepp, Oskar Sepp</v>
      </c>
      <c r="C140" s="74">
        <v>13</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Jaan Sepp, Oskar Sepp</v>
      </c>
      <c r="G141" s="419">
        <v>13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tr">
        <f>IFERROR(INDEX(B$1:B$99,MATCH(A142,A$1:A$99,0)),"")</f>
        <v>Kevin Sten Liik, Mare Kingissepp</v>
      </c>
      <c r="C142" s="646">
        <v>2</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Jaan Sepp, Oskar Sepp</v>
      </c>
      <c r="H143" s="74"/>
      <c r="K143" s="241">
        <v>9</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Jaan Joonas, Toomas Hoole</v>
      </c>
      <c r="C144" s="74">
        <v>13</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Jaan Joonas, Toomas Hoole</v>
      </c>
      <c r="D145" s="654"/>
      <c r="E145" s="654"/>
      <c r="F145" s="655"/>
      <c r="G145" s="247">
        <v>7</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Külli Kariste, Marju Velga</v>
      </c>
      <c r="C146" s="642">
        <v>6</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Boriss Klubov, Ivar Viljaste</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Mait Metsla, Matti Vinni</v>
      </c>
      <c r="C148" s="74">
        <v>4</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Katri Aavekukk, Merike Aava</v>
      </c>
      <c r="G149" s="247">
        <v>12</v>
      </c>
      <c r="H149" s="49"/>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Katri Aavekukk, Merike Aava</v>
      </c>
      <c r="C150" s="646">
        <v>13</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Boriss Klubov, Ivar Viljaste</v>
      </c>
      <c r="H151" s="243"/>
      <c r="I151" s="654"/>
      <c r="J151" s="655"/>
      <c r="K151" s="247">
        <v>13</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Boriss Klubov, Ivar Viljaste</v>
      </c>
      <c r="C152" s="74">
        <v>13</v>
      </c>
      <c r="D152" s="262"/>
      <c r="E152" s="262"/>
      <c r="F152" s="653"/>
      <c r="G152" s="49"/>
      <c r="H152" s="49"/>
      <c r="K152" s="49"/>
      <c r="M152" s="425" t="str">
        <f>IF(COUNT(K143,K151)=2,IF(K143&lt;K151,G143,G151),"")</f>
        <v>Jaan Sepp, Oskar Sepp</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Boriss Klubov, Ivar Viljaste</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Elmo Lageda, Tõnu Piik</v>
      </c>
      <c r="C154" s="646">
        <v>5</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Jaan Joonas, Toomas Hoole</v>
      </c>
      <c r="H155" s="74"/>
      <c r="K155" s="247">
        <v>7</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Katri Aavekukk, Merike Aava</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Katri Aavekukk, Merike Aava</v>
      </c>
      <c r="H157" s="243"/>
      <c r="I157" s="654"/>
      <c r="J157" s="655"/>
      <c r="K157" s="247">
        <v>13</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Jaan Joonas, Toomas Hoole</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Kevin Sten Liik, Mare Kingissepp</v>
      </c>
      <c r="G161" s="241">
        <v>2</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Külli Kariste, Marju Velga</v>
      </c>
      <c r="H162" s="74"/>
      <c r="K162" s="648">
        <v>11</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Külli Kariste, Marju Velga</v>
      </c>
      <c r="D163" s="654"/>
      <c r="E163" s="654"/>
      <c r="F163" s="655"/>
      <c r="G163" s="244">
        <v>13</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Mait Metsla, Matti Vinni</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Mait Metsla, Matti Vinni</v>
      </c>
      <c r="G165" s="241">
        <v>13</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Mait Metsla, Matti Vinni</v>
      </c>
      <c r="H166" s="243"/>
      <c r="I166" s="654"/>
      <c r="J166" s="655"/>
      <c r="K166" s="247">
        <v>13</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Elmo Lageda, Tõnu Piik</v>
      </c>
      <c r="D167" s="654"/>
      <c r="E167" s="654"/>
      <c r="F167" s="655"/>
      <c r="G167" s="244">
        <v>11</v>
      </c>
      <c r="H167" s="241"/>
      <c r="K167" s="247"/>
      <c r="M167" s="425" t="str">
        <f>IF(COUNT(K162,K166)=2,IF(K162&lt;K166,G162,G166),"")</f>
        <v>Külli Kariste, Marju Velga</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Kevin Sten Liik, Mare Kingissepp</v>
      </c>
      <c r="H169" s="74"/>
      <c r="K169" s="247">
        <v>2</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Elmo Lageda, Tõnu Piik</v>
      </c>
      <c r="N170" s="252"/>
      <c r="O170" s="262"/>
      <c r="S170" s="69"/>
      <c r="T170" s="69"/>
      <c r="U170" s="69"/>
      <c r="V170" s="69"/>
      <c r="W170" s="69"/>
      <c r="X170" s="69"/>
      <c r="Y170" s="69"/>
      <c r="Z170" s="69"/>
    </row>
    <row r="171" spans="1:27" x14ac:dyDescent="0.2">
      <c r="A171" s="74"/>
      <c r="B171" s="74"/>
      <c r="C171" s="247"/>
      <c r="G171" s="417" t="str">
        <f>IF(COUNT(G165,G167)=2,IF(G165&lt;G167,C165,C167),"")</f>
        <v>Elmo Lageda, Tõnu Piik</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Kevin Sten Liik, Mare Kingissepp</v>
      </c>
      <c r="N173" s="252"/>
      <c r="O173" s="262"/>
    </row>
    <row r="174" spans="1:27" x14ac:dyDescent="0.2">
      <c r="A174" s="202"/>
      <c r="B174" s="260"/>
      <c r="C174" s="204"/>
      <c r="G174" s="204"/>
      <c r="H174" s="204"/>
      <c r="K174" s="259"/>
      <c r="M174" s="250" t="s">
        <v>543</v>
      </c>
      <c r="N174" s="238"/>
      <c r="O174" s="262"/>
    </row>
    <row r="176" spans="1:27" x14ac:dyDescent="0.2">
      <c r="A176" s="239" t="s">
        <v>757</v>
      </c>
      <c r="B176" s="53"/>
      <c r="C176" s="53"/>
      <c r="G176" s="53"/>
      <c r="H176" s="53"/>
      <c r="K176" s="69"/>
      <c r="L176" s="69"/>
      <c r="M176" s="69"/>
    </row>
    <row r="177" spans="1:15" x14ac:dyDescent="0.2">
      <c r="A177" s="67"/>
      <c r="B177" s="53"/>
      <c r="C177" s="53"/>
      <c r="G177" s="53"/>
      <c r="H177" s="446">
        <v>18</v>
      </c>
      <c r="K177" s="69"/>
      <c r="L177" s="69"/>
      <c r="O177" s="262"/>
    </row>
    <row r="178" spans="1:15" x14ac:dyDescent="0.2">
      <c r="A178" s="67"/>
      <c r="B178" s="53"/>
      <c r="C178" s="53"/>
      <c r="F178" s="605">
        <v>17</v>
      </c>
      <c r="G178" s="641" t="str">
        <f>IFERROR(INDEX(B$1:B$99,MATCH(F178,A$1:A$99,0)),"")</f>
        <v>Maive Sein, Varje Reede</v>
      </c>
      <c r="H178" s="74"/>
      <c r="K178" s="247">
        <v>12</v>
      </c>
      <c r="M178" s="49"/>
      <c r="N178" s="49"/>
      <c r="O178" s="262"/>
    </row>
    <row r="179" spans="1:15" ht="13.5" thickBot="1" x14ac:dyDescent="0.25">
      <c r="A179" s="67"/>
      <c r="B179" s="53"/>
      <c r="C179" s="53"/>
      <c r="F179" s="605"/>
      <c r="G179" s="642"/>
      <c r="H179" s="646"/>
      <c r="I179" s="651"/>
      <c r="J179" s="652"/>
      <c r="K179" s="252"/>
      <c r="L179" s="657"/>
      <c r="M179" s="425" t="str">
        <f>IF(COUNT(K178,K180)=2,IF(K178&gt;K180,G178,G180),"")</f>
        <v>Ljudmila Varendi, Viktor Švarõgin</v>
      </c>
      <c r="N179" s="252"/>
      <c r="O179" s="262"/>
    </row>
    <row r="180" spans="1:15" x14ac:dyDescent="0.2">
      <c r="A180" s="67"/>
      <c r="B180" s="53"/>
      <c r="C180" s="53"/>
      <c r="F180" s="605">
        <v>18</v>
      </c>
      <c r="G180" s="650" t="str">
        <f>IFERROR(INDEX(B$1:B$99,MATCH(F180,A$1:A$99,0)),"")</f>
        <v>Ljudmila Varendi, Viktor Švarõgin</v>
      </c>
      <c r="H180" s="243"/>
      <c r="I180" s="654"/>
      <c r="J180" s="655"/>
      <c r="K180" s="247">
        <v>13</v>
      </c>
      <c r="M180" s="253" t="s">
        <v>544</v>
      </c>
      <c r="N180" s="49"/>
      <c r="O180" s="262"/>
    </row>
    <row r="181" spans="1:15" x14ac:dyDescent="0.2">
      <c r="G181" s="74"/>
      <c r="H181" s="74"/>
      <c r="K181" s="74"/>
      <c r="M181" s="49"/>
      <c r="N181" s="49"/>
      <c r="O181" s="262"/>
    </row>
    <row r="182" spans="1:15" ht="13.5" thickBot="1" x14ac:dyDescent="0.25">
      <c r="G182" s="49"/>
      <c r="H182" s="49"/>
      <c r="K182" s="74"/>
      <c r="M182" s="252" t="str">
        <f>IF(COUNT(K178,K180)=2,IF(K178&lt;K180,G178,G180),"")</f>
        <v>Maive Sein, Varje Reede</v>
      </c>
      <c r="N182" s="252"/>
    </row>
    <row r="183" spans="1:15" x14ac:dyDescent="0.2">
      <c r="G183" s="204"/>
      <c r="H183" s="204"/>
      <c r="K183" s="259"/>
      <c r="M183" s="250" t="s">
        <v>545</v>
      </c>
      <c r="N183" s="238"/>
    </row>
    <row r="184" spans="1:15" hidden="1" x14ac:dyDescent="0.2">
      <c r="K184" s="69"/>
      <c r="M184" s="69"/>
    </row>
    <row r="185" spans="1:15" hidden="1" x14ac:dyDescent="0.2">
      <c r="K185" s="69"/>
      <c r="M185" s="69"/>
    </row>
    <row r="186" spans="1:15" hidden="1" x14ac:dyDescent="0.2">
      <c r="K186" s="69"/>
      <c r="L186" s="69"/>
      <c r="M186" s="69"/>
    </row>
    <row r="187" spans="1:15" hidden="1" x14ac:dyDescent="0.2">
      <c r="K187" s="69"/>
      <c r="L187" s="69"/>
      <c r="M187" s="69"/>
    </row>
    <row r="188" spans="1:15" hidden="1" x14ac:dyDescent="0.2">
      <c r="K188" s="69"/>
      <c r="L188" s="69"/>
      <c r="M188" s="69"/>
    </row>
    <row r="189" spans="1:15" hidden="1" x14ac:dyDescent="0.2">
      <c r="K189" s="69"/>
      <c r="L189" s="69"/>
      <c r="M189" s="69"/>
    </row>
    <row r="190" spans="1:15" hidden="1" x14ac:dyDescent="0.2">
      <c r="K190" s="69"/>
      <c r="L190" s="69"/>
      <c r="M190" s="69"/>
    </row>
    <row r="191" spans="1:15" hidden="1" x14ac:dyDescent="0.2">
      <c r="K191" s="69"/>
      <c r="L191" s="69"/>
      <c r="M191" s="69"/>
    </row>
    <row r="192" spans="1:15" hidden="1" x14ac:dyDescent="0.2">
      <c r="K192" s="69"/>
      <c r="L192" s="69"/>
      <c r="M192" s="69"/>
    </row>
    <row r="193" spans="11:13" hidden="1" x14ac:dyDescent="0.2">
      <c r="K193" s="69"/>
      <c r="L193" s="69"/>
      <c r="M193" s="69"/>
    </row>
    <row r="194" spans="11:13" hidden="1" x14ac:dyDescent="0.2">
      <c r="K194" s="69"/>
      <c r="L194" s="69"/>
      <c r="M194" s="69"/>
    </row>
    <row r="195" spans="11:13" hidden="1" x14ac:dyDescent="0.2">
      <c r="K195" s="69"/>
      <c r="L195" s="69"/>
      <c r="M195" s="69"/>
    </row>
    <row r="196" spans="11:13" hidden="1" x14ac:dyDescent="0.2">
      <c r="K196" s="69"/>
      <c r="L196" s="69"/>
      <c r="M196" s="69"/>
    </row>
    <row r="197" spans="11:13" hidden="1" x14ac:dyDescent="0.2">
      <c r="K197" s="69"/>
      <c r="L197" s="69"/>
      <c r="M197" s="69"/>
    </row>
    <row r="198" spans="11:13" hidden="1" x14ac:dyDescent="0.2">
      <c r="K198" s="69"/>
      <c r="L198" s="69"/>
      <c r="M198" s="69"/>
    </row>
    <row r="199" spans="11:13" hidden="1" x14ac:dyDescent="0.2">
      <c r="K199" s="69"/>
      <c r="L199" s="69"/>
      <c r="M199" s="69"/>
    </row>
    <row r="200" spans="11:13" hidden="1" x14ac:dyDescent="0.2">
      <c r="K200" s="69"/>
      <c r="L200" s="69"/>
      <c r="M200" s="69"/>
    </row>
    <row r="201" spans="11:13" hidden="1" x14ac:dyDescent="0.2">
      <c r="K201" s="69"/>
      <c r="L201" s="69"/>
      <c r="M201" s="69"/>
    </row>
    <row r="202" spans="11:13" hidden="1" x14ac:dyDescent="0.2">
      <c r="K202" s="69"/>
      <c r="L202" s="69"/>
      <c r="M202" s="69"/>
    </row>
    <row r="203" spans="11:13" hidden="1" x14ac:dyDescent="0.2">
      <c r="K203" s="69"/>
      <c r="L203" s="69"/>
      <c r="M203" s="69"/>
    </row>
    <row r="204" spans="11:13" hidden="1" x14ac:dyDescent="0.2">
      <c r="K204" s="69"/>
      <c r="L204" s="69"/>
      <c r="M204" s="69"/>
    </row>
    <row r="205" spans="11:13" hidden="1" x14ac:dyDescent="0.2">
      <c r="K205" s="69"/>
      <c r="L205" s="69"/>
      <c r="M205" s="69"/>
    </row>
    <row r="206" spans="11:13" hidden="1" x14ac:dyDescent="0.2">
      <c r="K206" s="69"/>
      <c r="L206" s="69"/>
      <c r="M206" s="69"/>
    </row>
    <row r="207" spans="11:13" hidden="1" x14ac:dyDescent="0.2">
      <c r="K207" s="69"/>
      <c r="L207" s="69"/>
      <c r="M207" s="69"/>
    </row>
    <row r="208" spans="11:13" hidden="1" x14ac:dyDescent="0.2">
      <c r="K208" s="69"/>
      <c r="L208" s="69"/>
      <c r="M208" s="69"/>
    </row>
    <row r="209" spans="11:13" hidden="1" x14ac:dyDescent="0.2">
      <c r="K209" s="69"/>
      <c r="L209" s="69"/>
      <c r="M209" s="69"/>
    </row>
    <row r="210" spans="11:13" hidden="1" x14ac:dyDescent="0.2">
      <c r="K210" s="69"/>
      <c r="L210" s="69"/>
      <c r="M210" s="69"/>
    </row>
    <row r="211" spans="11:13" hidden="1" x14ac:dyDescent="0.2">
      <c r="K211" s="69"/>
      <c r="L211" s="69"/>
      <c r="M211" s="69"/>
    </row>
    <row r="212" spans="11:13" hidden="1" x14ac:dyDescent="0.2">
      <c r="K212" s="69"/>
      <c r="L212" s="69"/>
      <c r="M212" s="69"/>
    </row>
    <row r="213" spans="11:13" hidden="1" x14ac:dyDescent="0.2">
      <c r="K213" s="69"/>
      <c r="L213" s="69"/>
      <c r="M213" s="69"/>
    </row>
    <row r="214" spans="11:13" hidden="1" x14ac:dyDescent="0.2"/>
    <row r="215" spans="11:13" hidden="1" x14ac:dyDescent="0.2"/>
    <row r="216" spans="11:13" hidden="1" x14ac:dyDescent="0.2"/>
    <row r="217" spans="11:13" hidden="1" x14ac:dyDescent="0.2"/>
    <row r="218" spans="11:13" hidden="1" x14ac:dyDescent="0.2"/>
    <row r="219" spans="11:13" hidden="1" x14ac:dyDescent="0.2"/>
    <row r="220" spans="11:13" hidden="1" x14ac:dyDescent="0.2"/>
    <row r="221" spans="11:13" hidden="1" x14ac:dyDescent="0.2"/>
    <row r="222" spans="11:13" hidden="1" x14ac:dyDescent="0.2"/>
    <row r="223" spans="11:13" hidden="1" x14ac:dyDescent="0.2"/>
    <row r="224" spans="1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Q298" s="262"/>
      <c r="AR298" s="262"/>
      <c r="AS298" s="262"/>
      <c r="AT298" s="262"/>
    </row>
    <row r="299" spans="1:46" x14ac:dyDescent="0.2">
      <c r="A299" s="623"/>
      <c r="B299" s="623"/>
      <c r="C299" s="264" t="s">
        <v>220</v>
      </c>
      <c r="D299" s="611"/>
      <c r="E299" s="611"/>
      <c r="AQ299" s="262"/>
      <c r="AR299" s="262"/>
      <c r="AS299" s="262"/>
      <c r="AT299" s="262"/>
    </row>
    <row r="300" spans="1:46" x14ac:dyDescent="0.2">
      <c r="A300" s="624">
        <v>1</v>
      </c>
      <c r="B300" s="790" t="str">
        <f t="shared" ref="B300:B317" si="10">IFERROR(INDEX(M$100:M$298,MATCH(A300&amp;". koht",M$101:M$299,0)),"")</f>
        <v>Kenneth Muusikus, Tõnis Neiland</v>
      </c>
      <c r="C300" s="74">
        <v>115</v>
      </c>
      <c r="D300" s="74"/>
      <c r="E300" s="74"/>
      <c r="AQ300" s="262"/>
      <c r="AR300" s="262"/>
      <c r="AS300" s="262"/>
      <c r="AT300" s="262"/>
    </row>
    <row r="301" spans="1:46" x14ac:dyDescent="0.2">
      <c r="A301" s="624">
        <v>2</v>
      </c>
      <c r="B301" s="261" t="str">
        <f t="shared" si="10"/>
        <v>Janek Kiisk, Ruudi Väärtnõu</v>
      </c>
      <c r="C301" s="606">
        <v>105</v>
      </c>
      <c r="D301" s="606"/>
      <c r="E301" s="606"/>
      <c r="AQ301" s="262"/>
      <c r="AR301" s="262"/>
      <c r="AS301" s="262"/>
      <c r="AT301" s="262"/>
    </row>
    <row r="302" spans="1:46" x14ac:dyDescent="0.2">
      <c r="A302" s="624">
        <v>3</v>
      </c>
      <c r="B302" s="261" t="str">
        <f t="shared" si="10"/>
        <v>Johannes Neiland, Ülo Piik</v>
      </c>
      <c r="C302" s="606">
        <v>97</v>
      </c>
      <c r="D302" s="606"/>
      <c r="E302" s="606"/>
      <c r="AQ302" s="262"/>
      <c r="AR302" s="262"/>
      <c r="AS302" s="262"/>
      <c r="AT302" s="262"/>
    </row>
    <row r="303" spans="1:46" x14ac:dyDescent="0.2">
      <c r="A303" s="624">
        <v>4</v>
      </c>
      <c r="B303" s="261" t="str">
        <f t="shared" si="10"/>
        <v>Andres Veski, Svetlana Veski</v>
      </c>
      <c r="C303" s="606">
        <v>90</v>
      </c>
      <c r="D303" s="606"/>
      <c r="E303" s="606"/>
      <c r="AQ303" s="262"/>
      <c r="AR303" s="262"/>
      <c r="AS303" s="262"/>
      <c r="AT303" s="262"/>
    </row>
    <row r="304" spans="1:46" x14ac:dyDescent="0.2">
      <c r="A304" s="624">
        <v>5</v>
      </c>
      <c r="B304" s="261" t="str">
        <f t="shared" si="10"/>
        <v>Aigi Orro, Kalle Orro</v>
      </c>
      <c r="C304" s="606">
        <v>84</v>
      </c>
      <c r="D304" s="606"/>
      <c r="E304" s="606"/>
      <c r="AQ304" s="262"/>
      <c r="AR304" s="262"/>
      <c r="AS304" s="262"/>
      <c r="AT304" s="262"/>
    </row>
    <row r="305" spans="1:46" x14ac:dyDescent="0.2">
      <c r="A305" s="624">
        <v>6</v>
      </c>
      <c r="B305" s="261" t="str">
        <f t="shared" si="10"/>
        <v>Marek Kolk, Urmo Auväärt</v>
      </c>
      <c r="C305" s="606">
        <v>79</v>
      </c>
      <c r="D305" s="606"/>
      <c r="E305" s="606"/>
      <c r="AQ305" s="262"/>
      <c r="AR305" s="262"/>
      <c r="AS305" s="262"/>
      <c r="AT305" s="262"/>
    </row>
    <row r="306" spans="1:46" x14ac:dyDescent="0.2">
      <c r="A306" s="624">
        <v>7</v>
      </c>
      <c r="B306" s="261" t="str">
        <f t="shared" si="10"/>
        <v>Marge Mägi, Silver Kingissepp</v>
      </c>
      <c r="C306" s="606">
        <v>74</v>
      </c>
      <c r="D306" s="606"/>
      <c r="E306" s="606"/>
      <c r="AQ306" s="262"/>
      <c r="AR306" s="262"/>
      <c r="AS306" s="262"/>
      <c r="AT306" s="262"/>
    </row>
    <row r="307" spans="1:46" x14ac:dyDescent="0.2">
      <c r="A307" s="624">
        <v>8</v>
      </c>
      <c r="B307" s="261" t="str">
        <f t="shared" si="10"/>
        <v>Aarne Välja, Janek Tarto</v>
      </c>
      <c r="C307" s="606">
        <v>69</v>
      </c>
      <c r="D307" s="606"/>
      <c r="E307" s="606"/>
      <c r="AQ307" s="262"/>
      <c r="AR307" s="262"/>
      <c r="AS307" s="262"/>
      <c r="AT307" s="262"/>
    </row>
    <row r="308" spans="1:46" x14ac:dyDescent="0.2">
      <c r="A308" s="624">
        <v>9</v>
      </c>
      <c r="B308" s="261" t="str">
        <f t="shared" si="10"/>
        <v>Boriss Klubov, Ivar Viljaste</v>
      </c>
      <c r="C308" s="606">
        <v>64</v>
      </c>
      <c r="D308" s="606"/>
      <c r="E308" s="606"/>
      <c r="AQ308" s="262"/>
      <c r="AR308" s="262"/>
      <c r="AS308" s="262"/>
      <c r="AT308" s="262"/>
    </row>
    <row r="309" spans="1:46" x14ac:dyDescent="0.2">
      <c r="A309" s="624">
        <v>10</v>
      </c>
      <c r="B309" s="261" t="str">
        <f t="shared" si="10"/>
        <v>Jaan Sepp, Oskar Sepp</v>
      </c>
      <c r="C309" s="606">
        <v>60</v>
      </c>
      <c r="D309" s="606"/>
      <c r="E309" s="606"/>
      <c r="AQ309" s="262"/>
      <c r="AR309" s="262"/>
      <c r="AS309" s="262"/>
      <c r="AT309" s="262"/>
    </row>
    <row r="310" spans="1:46" x14ac:dyDescent="0.2">
      <c r="A310" s="624">
        <v>11</v>
      </c>
      <c r="B310" s="261" t="str">
        <f t="shared" si="10"/>
        <v>Katri Aavekukk, Merike Aava</v>
      </c>
      <c r="C310" s="606">
        <v>56</v>
      </c>
      <c r="D310" s="606"/>
      <c r="E310" s="606"/>
      <c r="AQ310" s="262"/>
      <c r="AR310" s="262"/>
      <c r="AS310" s="262"/>
      <c r="AT310" s="262"/>
    </row>
    <row r="311" spans="1:46" x14ac:dyDescent="0.2">
      <c r="A311" s="624">
        <v>12</v>
      </c>
      <c r="B311" s="261" t="str">
        <f t="shared" si="10"/>
        <v>Jaan Joonas, Toomas Hoole</v>
      </c>
      <c r="C311" s="69">
        <v>52</v>
      </c>
      <c r="AQ311" s="262"/>
      <c r="AR311" s="262"/>
      <c r="AS311" s="262"/>
      <c r="AT311" s="262"/>
    </row>
    <row r="312" spans="1:46" x14ac:dyDescent="0.2">
      <c r="A312" s="624">
        <v>13</v>
      </c>
      <c r="B312" s="261" t="str">
        <f t="shared" si="10"/>
        <v>Mait Metsla, Matti Vinni</v>
      </c>
      <c r="C312" s="69">
        <v>49</v>
      </c>
      <c r="AQ312" s="262"/>
      <c r="AR312" s="262"/>
      <c r="AS312" s="262"/>
      <c r="AT312" s="262"/>
    </row>
    <row r="313" spans="1:46" x14ac:dyDescent="0.2">
      <c r="A313" s="624">
        <v>14</v>
      </c>
      <c r="B313" s="261" t="str">
        <f t="shared" si="10"/>
        <v>Külli Kariste, Marju Velga</v>
      </c>
      <c r="C313" s="69">
        <v>46</v>
      </c>
      <c r="AQ313" s="262"/>
      <c r="AR313" s="262"/>
      <c r="AS313" s="262"/>
      <c r="AT313" s="262"/>
    </row>
    <row r="314" spans="1:46" x14ac:dyDescent="0.2">
      <c r="A314" s="624">
        <v>15</v>
      </c>
      <c r="B314" s="261" t="str">
        <f t="shared" si="10"/>
        <v>Elmo Lageda, Tõnu Piik</v>
      </c>
      <c r="C314" s="69">
        <v>43</v>
      </c>
      <c r="AQ314" s="262"/>
      <c r="AR314" s="262"/>
      <c r="AS314" s="262"/>
      <c r="AT314" s="262"/>
    </row>
    <row r="315" spans="1:46" x14ac:dyDescent="0.2">
      <c r="A315" s="624">
        <v>16</v>
      </c>
      <c r="B315" s="261" t="str">
        <f t="shared" si="10"/>
        <v>Kevin Sten Liik, Mare Kingissepp</v>
      </c>
      <c r="C315" s="69">
        <v>40</v>
      </c>
      <c r="AQ315" s="262"/>
      <c r="AR315" s="262"/>
      <c r="AS315" s="262"/>
      <c r="AT315" s="262"/>
    </row>
    <row r="316" spans="1:46" x14ac:dyDescent="0.2">
      <c r="A316" s="624">
        <v>17</v>
      </c>
      <c r="B316" s="261" t="str">
        <f t="shared" si="10"/>
        <v>Ljudmila Varendi, Viktor Švarõgin</v>
      </c>
      <c r="C316" s="69">
        <v>37</v>
      </c>
      <c r="AQ316" s="262"/>
      <c r="AR316" s="262"/>
      <c r="AS316" s="262"/>
      <c r="AT316" s="262"/>
    </row>
    <row r="317" spans="1:46" x14ac:dyDescent="0.2">
      <c r="A317" s="624">
        <v>18</v>
      </c>
      <c r="B317" s="261" t="str">
        <f t="shared" si="10"/>
        <v>Maive Sein, Varje Reede</v>
      </c>
      <c r="C317" s="69">
        <v>34</v>
      </c>
      <c r="AQ317" s="262"/>
      <c r="AR317" s="262"/>
      <c r="AS317" s="262"/>
      <c r="AT317" s="262"/>
    </row>
    <row r="318" spans="1:46" hidden="1" x14ac:dyDescent="0.2">
      <c r="C318" s="69">
        <v>31</v>
      </c>
      <c r="AH318" s="672">
        <f t="shared" ref="AH318:AH333" si="11">SUM(AJ318:AP318)</f>
        <v>0</v>
      </c>
      <c r="AI318" s="674" t="str">
        <f t="shared" ref="AI318:AI333" si="12">IFERROR(LEFT($B318,(FIND(",",$B318,1)-1)),"")</f>
        <v/>
      </c>
      <c r="AJ318" s="675" t="str">
        <f>IFERROR(INDEX(Üldreiting!$M:$M,MATCH(AI318,Üldreiting!$H:$H,0)),"")</f>
        <v/>
      </c>
      <c r="AK318" s="674" t="str">
        <f t="shared" ref="AK318:AK333" si="13">IFERROR(MID($B318,FIND(", ",$B318)+2,256),"")</f>
        <v/>
      </c>
      <c r="AL318" s="675" t="str">
        <f>IFERROR(INDEX(Üldreiting!$M:$M,MATCH(AK318,Üldreiting!$H:$H,0)),"")</f>
        <v/>
      </c>
      <c r="AM318" s="676" t="str">
        <f t="shared" ref="AM318:AM333" si="14">IFERROR(MID($B318,FIND("^",SUBSTITUTE($B318,", ","^",1))+2,FIND("^",SUBSTITUTE($B318,", ","^",2))-FIND("^",SUBSTITUTE($B318,", ","^",1))-2),"")</f>
        <v/>
      </c>
      <c r="AN318" s="675" t="str">
        <f>IFERROR(INDEX(Üldreiting!$M:$M,MATCH(AM318,Üldreiting!$H:$H,0)),"")</f>
        <v/>
      </c>
      <c r="AO318" s="676" t="str">
        <f t="shared" ref="AO318:AO333" si="15">IFERROR(MID($B318,FIND(", ",$B318,FIND(", ",$B318,FIND(", ",$B318))+1)+2,30000),"")</f>
        <v/>
      </c>
      <c r="AP318" s="675" t="str">
        <f>IFERROR(INDEX(Üldreiting!$M:$M,MATCH(AO318,Üldreiting!$H:$H,0)),"")</f>
        <v/>
      </c>
      <c r="AQ318" s="262"/>
      <c r="AR318" s="262"/>
      <c r="AS318" s="262"/>
      <c r="AT318" s="262"/>
    </row>
    <row r="319" spans="1:46" hidden="1" x14ac:dyDescent="0.2">
      <c r="C319" s="69">
        <v>28</v>
      </c>
      <c r="AH319" s="672">
        <f t="shared" si="11"/>
        <v>0</v>
      </c>
      <c r="AI319" s="674" t="str">
        <f t="shared" si="12"/>
        <v/>
      </c>
      <c r="AJ319" s="675" t="str">
        <f>IFERROR(INDEX(Üldreiting!$M:$M,MATCH(AI319,Üldreiting!$H:$H,0)),"")</f>
        <v/>
      </c>
      <c r="AK319" s="674" t="str">
        <f t="shared" si="13"/>
        <v/>
      </c>
      <c r="AL319" s="675" t="str">
        <f>IFERROR(INDEX(Üldreiting!$M:$M,MATCH(AK319,Üldreiting!$H:$H,0)),"")</f>
        <v/>
      </c>
      <c r="AM319" s="676" t="str">
        <f t="shared" si="14"/>
        <v/>
      </c>
      <c r="AN319" s="675" t="str">
        <f>IFERROR(INDEX(Üldreiting!$M:$M,MATCH(AM319,Üldreiting!$H:$H,0)),"")</f>
        <v/>
      </c>
      <c r="AO319" s="676" t="str">
        <f t="shared" si="15"/>
        <v/>
      </c>
      <c r="AP319" s="675" t="str">
        <f>IFERROR(INDEX(Üldreiting!$M:$M,MATCH(AO319,Üldreiting!$H:$H,0)),"")</f>
        <v/>
      </c>
      <c r="AQ319" s="262"/>
      <c r="AR319" s="262"/>
      <c r="AS319" s="262"/>
      <c r="AT319" s="262"/>
    </row>
    <row r="320" spans="1:46" hidden="1" x14ac:dyDescent="0.2">
      <c r="C320" s="69">
        <v>25</v>
      </c>
      <c r="AH320" s="672">
        <f t="shared" si="11"/>
        <v>0</v>
      </c>
      <c r="AI320" s="674" t="str">
        <f t="shared" si="12"/>
        <v/>
      </c>
      <c r="AJ320" s="675" t="str">
        <f>IFERROR(INDEX(Üldreiting!$M:$M,MATCH(AI320,Üldreiting!$H:$H,0)),"")</f>
        <v/>
      </c>
      <c r="AK320" s="674" t="str">
        <f t="shared" si="13"/>
        <v/>
      </c>
      <c r="AL320" s="675" t="str">
        <f>IFERROR(INDEX(Üldreiting!$M:$M,MATCH(AK320,Üldreiting!$H:$H,0)),"")</f>
        <v/>
      </c>
      <c r="AM320" s="676" t="str">
        <f t="shared" si="14"/>
        <v/>
      </c>
      <c r="AN320" s="675" t="str">
        <f>IFERROR(INDEX(Üldreiting!$M:$M,MATCH(AM320,Üldreiting!$H:$H,0)),"")</f>
        <v/>
      </c>
      <c r="AO320" s="676" t="str">
        <f t="shared" si="15"/>
        <v/>
      </c>
      <c r="AP320" s="675" t="str">
        <f>IFERROR(INDEX(Üldreiting!$M:$M,MATCH(AO320,Üldreiting!$H:$H,0)),"")</f>
        <v/>
      </c>
      <c r="AQ320" s="262"/>
      <c r="AR320" s="262"/>
      <c r="AS320" s="262"/>
      <c r="AT320" s="262"/>
    </row>
    <row r="321" spans="3:46" hidden="1" x14ac:dyDescent="0.2">
      <c r="C321" s="69">
        <v>22</v>
      </c>
      <c r="AH321" s="672">
        <f t="shared" si="11"/>
        <v>0</v>
      </c>
      <c r="AI321" s="674" t="str">
        <f t="shared" si="12"/>
        <v/>
      </c>
      <c r="AJ321" s="675" t="str">
        <f>IFERROR(INDEX(Üldreiting!$M:$M,MATCH(AI321,Üldreiting!$H:$H,0)),"")</f>
        <v/>
      </c>
      <c r="AK321" s="674" t="str">
        <f t="shared" si="13"/>
        <v/>
      </c>
      <c r="AL321" s="675" t="str">
        <f>IFERROR(INDEX(Üldreiting!$M:$M,MATCH(AK321,Üldreiting!$H:$H,0)),"")</f>
        <v/>
      </c>
      <c r="AM321" s="676" t="str">
        <f t="shared" si="14"/>
        <v/>
      </c>
      <c r="AN321" s="675" t="str">
        <f>IFERROR(INDEX(Üldreiting!$M:$M,MATCH(AM321,Üldreiting!$H:$H,0)),"")</f>
        <v/>
      </c>
      <c r="AO321" s="676" t="str">
        <f t="shared" si="15"/>
        <v/>
      </c>
      <c r="AP321" s="675" t="str">
        <f>IFERROR(INDEX(Üldreiting!$M:$M,MATCH(AO321,Üldreiting!$H:$H,0)),"")</f>
        <v/>
      </c>
      <c r="AQ321" s="262"/>
      <c r="AR321" s="262"/>
      <c r="AS321" s="262"/>
      <c r="AT321" s="262"/>
    </row>
    <row r="322" spans="3:46" hidden="1" x14ac:dyDescent="0.2">
      <c r="C322" s="69">
        <v>19</v>
      </c>
      <c r="AH322" s="672">
        <f t="shared" si="11"/>
        <v>0</v>
      </c>
      <c r="AI322" s="674" t="str">
        <f t="shared" si="12"/>
        <v/>
      </c>
      <c r="AJ322" s="675" t="str">
        <f>IFERROR(INDEX(Üldreiting!$M:$M,MATCH(AI322,Üldreiting!$H:$H,0)),"")</f>
        <v/>
      </c>
      <c r="AK322" s="674" t="str">
        <f t="shared" si="13"/>
        <v/>
      </c>
      <c r="AL322" s="675" t="str">
        <f>IFERROR(INDEX(Üldreiting!$M:$M,MATCH(AK322,Üldreiting!$H:$H,0)),"")</f>
        <v/>
      </c>
      <c r="AM322" s="676" t="str">
        <f t="shared" si="14"/>
        <v/>
      </c>
      <c r="AN322" s="675" t="str">
        <f>IFERROR(INDEX(Üldreiting!$M:$M,MATCH(AM322,Üldreiting!$H:$H,0)),"")</f>
        <v/>
      </c>
      <c r="AO322" s="676" t="str">
        <f t="shared" si="15"/>
        <v/>
      </c>
      <c r="AP322" s="675" t="str">
        <f>IFERROR(INDEX(Üldreiting!$M:$M,MATCH(AO322,Üldreiting!$H:$H,0)),"")</f>
        <v/>
      </c>
      <c r="AQ322" s="262"/>
      <c r="AR322" s="262"/>
      <c r="AS322" s="262"/>
      <c r="AT322" s="262"/>
    </row>
    <row r="323" spans="3:46" hidden="1" x14ac:dyDescent="0.2">
      <c r="C323" s="69">
        <v>16</v>
      </c>
      <c r="AH323" s="672">
        <f t="shared" si="11"/>
        <v>0</v>
      </c>
      <c r="AI323" s="674" t="str">
        <f t="shared" si="12"/>
        <v/>
      </c>
      <c r="AJ323" s="675" t="str">
        <f>IFERROR(INDEX(Üldreiting!$M:$M,MATCH(AI323,Üldreiting!$H:$H,0)),"")</f>
        <v/>
      </c>
      <c r="AK323" s="674" t="str">
        <f t="shared" si="13"/>
        <v/>
      </c>
      <c r="AL323" s="675" t="str">
        <f>IFERROR(INDEX(Üldreiting!$M:$M,MATCH(AK323,Üldreiting!$H:$H,0)),"")</f>
        <v/>
      </c>
      <c r="AM323" s="676" t="str">
        <f t="shared" si="14"/>
        <v/>
      </c>
      <c r="AN323" s="675" t="str">
        <f>IFERROR(INDEX(Üldreiting!$M:$M,MATCH(AM323,Üldreiting!$H:$H,0)),"")</f>
        <v/>
      </c>
      <c r="AO323" s="676" t="str">
        <f t="shared" si="15"/>
        <v/>
      </c>
      <c r="AP323" s="675" t="str">
        <f>IFERROR(INDEX(Üldreiting!$M:$M,MATCH(AO323,Üldreiting!$H:$H,0)),"")</f>
        <v/>
      </c>
      <c r="AQ323" s="262"/>
      <c r="AR323" s="262"/>
      <c r="AS323" s="262"/>
      <c r="AT323" s="262"/>
    </row>
    <row r="324" spans="3:46" hidden="1" x14ac:dyDescent="0.2">
      <c r="C324" s="69">
        <v>14</v>
      </c>
      <c r="AH324" s="672">
        <f t="shared" si="11"/>
        <v>0</v>
      </c>
      <c r="AI324" s="674" t="str">
        <f t="shared" si="12"/>
        <v/>
      </c>
      <c r="AJ324" s="675" t="str">
        <f>IFERROR(INDEX(Üldreiting!$M:$M,MATCH(AI324,Üldreiting!$H:$H,0)),"")</f>
        <v/>
      </c>
      <c r="AK324" s="674" t="str">
        <f t="shared" si="13"/>
        <v/>
      </c>
      <c r="AL324" s="675" t="str">
        <f>IFERROR(INDEX(Üldreiting!$M:$M,MATCH(AK324,Üldreiting!$H:$H,0)),"")</f>
        <v/>
      </c>
      <c r="AM324" s="676" t="str">
        <f t="shared" si="14"/>
        <v/>
      </c>
      <c r="AN324" s="675" t="str">
        <f>IFERROR(INDEX(Üldreiting!$M:$M,MATCH(AM324,Üldreiting!$H:$H,0)),"")</f>
        <v/>
      </c>
      <c r="AO324" s="676" t="str">
        <f t="shared" si="15"/>
        <v/>
      </c>
      <c r="AP324" s="675" t="str">
        <f>IFERROR(INDEX(Üldreiting!$M:$M,MATCH(AO324,Üldreiting!$H:$H,0)),"")</f>
        <v/>
      </c>
      <c r="AQ324" s="262"/>
      <c r="AR324" s="262"/>
      <c r="AS324" s="262"/>
      <c r="AT324" s="262"/>
    </row>
    <row r="325" spans="3:46" hidden="1" x14ac:dyDescent="0.2">
      <c r="C325" s="69">
        <v>12</v>
      </c>
      <c r="AH325" s="672">
        <f t="shared" si="11"/>
        <v>0</v>
      </c>
      <c r="AI325" s="674" t="str">
        <f t="shared" si="12"/>
        <v/>
      </c>
      <c r="AJ325" s="675" t="str">
        <f>IFERROR(INDEX(Üldreiting!$M:$M,MATCH(AI325,Üldreiting!$H:$H,0)),"")</f>
        <v/>
      </c>
      <c r="AK325" s="674" t="str">
        <f t="shared" si="13"/>
        <v/>
      </c>
      <c r="AL325" s="675" t="str">
        <f>IFERROR(INDEX(Üldreiting!$M:$M,MATCH(AK325,Üldreiting!$H:$H,0)),"")</f>
        <v/>
      </c>
      <c r="AM325" s="676" t="str">
        <f t="shared" si="14"/>
        <v/>
      </c>
      <c r="AN325" s="675" t="str">
        <f>IFERROR(INDEX(Üldreiting!$M:$M,MATCH(AM325,Üldreiting!$H:$H,0)),"")</f>
        <v/>
      </c>
      <c r="AO325" s="676" t="str">
        <f t="shared" si="15"/>
        <v/>
      </c>
      <c r="AP325" s="675" t="str">
        <f>IFERROR(INDEX(Üldreiting!$M:$M,MATCH(AO325,Üldreiting!$H:$H,0)),"")</f>
        <v/>
      </c>
      <c r="AQ325" s="262"/>
      <c r="AR325" s="262"/>
      <c r="AS325" s="262"/>
      <c r="AT325" s="262"/>
    </row>
    <row r="326" spans="3:46" hidden="1" x14ac:dyDescent="0.2">
      <c r="C326" s="69">
        <v>10</v>
      </c>
      <c r="AH326" s="672">
        <f t="shared" si="11"/>
        <v>0</v>
      </c>
      <c r="AI326" s="674" t="str">
        <f t="shared" si="12"/>
        <v/>
      </c>
      <c r="AJ326" s="675" t="str">
        <f>IFERROR(INDEX(Üldreiting!$M:$M,MATCH(AI326,Üldreiting!$H:$H,0)),"")</f>
        <v/>
      </c>
      <c r="AK326" s="674" t="str">
        <f t="shared" si="13"/>
        <v/>
      </c>
      <c r="AL326" s="675" t="str">
        <f>IFERROR(INDEX(Üldreiting!$M:$M,MATCH(AK326,Üldreiting!$H:$H,0)),"")</f>
        <v/>
      </c>
      <c r="AM326" s="676" t="str">
        <f t="shared" si="14"/>
        <v/>
      </c>
      <c r="AN326" s="675" t="str">
        <f>IFERROR(INDEX(Üldreiting!$M:$M,MATCH(AM326,Üldreiting!$H:$H,0)),"")</f>
        <v/>
      </c>
      <c r="AO326" s="676" t="str">
        <f t="shared" si="15"/>
        <v/>
      </c>
      <c r="AP326" s="675" t="str">
        <f>IFERROR(INDEX(Üldreiting!$M:$M,MATCH(AO326,Üldreiting!$H:$H,0)),"")</f>
        <v/>
      </c>
      <c r="AQ326" s="262"/>
      <c r="AR326" s="262"/>
      <c r="AS326" s="262"/>
      <c r="AT326" s="262"/>
    </row>
    <row r="327" spans="3:46" hidden="1" x14ac:dyDescent="0.2">
      <c r="C327" s="69">
        <v>8</v>
      </c>
      <c r="AH327" s="672">
        <f t="shared" si="11"/>
        <v>0</v>
      </c>
      <c r="AI327" s="674" t="str">
        <f t="shared" si="12"/>
        <v/>
      </c>
      <c r="AJ327" s="675" t="str">
        <f>IFERROR(INDEX(Üldreiting!$M:$M,MATCH(AI327,Üldreiting!$H:$H,0)),"")</f>
        <v/>
      </c>
      <c r="AK327" s="674" t="str">
        <f t="shared" si="13"/>
        <v/>
      </c>
      <c r="AL327" s="675" t="str">
        <f>IFERROR(INDEX(Üldreiting!$M:$M,MATCH(AK327,Üldreiting!$H:$H,0)),"")</f>
        <v/>
      </c>
      <c r="AM327" s="676" t="str">
        <f t="shared" si="14"/>
        <v/>
      </c>
      <c r="AN327" s="675" t="str">
        <f>IFERROR(INDEX(Üldreiting!$M:$M,MATCH(AM327,Üldreiting!$H:$H,0)),"")</f>
        <v/>
      </c>
      <c r="AO327" s="676" t="str">
        <f t="shared" si="15"/>
        <v/>
      </c>
      <c r="AP327" s="675" t="str">
        <f>IFERROR(INDEX(Üldreiting!$M:$M,MATCH(AO327,Üldreiting!$H:$H,0)),"")</f>
        <v/>
      </c>
      <c r="AQ327" s="262"/>
      <c r="AR327" s="262"/>
      <c r="AS327" s="262"/>
      <c r="AT327" s="262"/>
    </row>
    <row r="328" spans="3:46" hidden="1" x14ac:dyDescent="0.2">
      <c r="C328" s="69">
        <v>6</v>
      </c>
      <c r="AH328" s="672">
        <f t="shared" si="11"/>
        <v>0</v>
      </c>
      <c r="AI328" s="674" t="str">
        <f t="shared" si="12"/>
        <v/>
      </c>
      <c r="AJ328" s="675" t="str">
        <f>IFERROR(INDEX(Üldreiting!$M:$M,MATCH(AI328,Üldreiting!$H:$H,0)),"")</f>
        <v/>
      </c>
      <c r="AK328" s="674" t="str">
        <f t="shared" si="13"/>
        <v/>
      </c>
      <c r="AL328" s="675" t="str">
        <f>IFERROR(INDEX(Üldreiting!$M:$M,MATCH(AK328,Üldreiting!$H:$H,0)),"")</f>
        <v/>
      </c>
      <c r="AM328" s="676" t="str">
        <f t="shared" si="14"/>
        <v/>
      </c>
      <c r="AN328" s="675" t="str">
        <f>IFERROR(INDEX(Üldreiting!$M:$M,MATCH(AM328,Üldreiting!$H:$H,0)),"")</f>
        <v/>
      </c>
      <c r="AO328" s="676" t="str">
        <f t="shared" si="15"/>
        <v/>
      </c>
      <c r="AP328" s="675" t="str">
        <f>IFERROR(INDEX(Üldreiting!$M:$M,MATCH(AO328,Üldreiting!$H:$H,0)),"")</f>
        <v/>
      </c>
    </row>
    <row r="329" spans="3:46" hidden="1" x14ac:dyDescent="0.2">
      <c r="C329" s="69">
        <v>5</v>
      </c>
      <c r="AH329" s="672">
        <f t="shared" si="11"/>
        <v>0</v>
      </c>
      <c r="AI329" s="674" t="str">
        <f t="shared" si="12"/>
        <v/>
      </c>
      <c r="AJ329" s="675" t="str">
        <f>IFERROR(INDEX(Üldreiting!$M:$M,MATCH(AI329,Üldreiting!$H:$H,0)),"")</f>
        <v/>
      </c>
      <c r="AK329" s="674" t="str">
        <f t="shared" si="13"/>
        <v/>
      </c>
      <c r="AL329" s="675" t="str">
        <f>IFERROR(INDEX(Üldreiting!$M:$M,MATCH(AK329,Üldreiting!$H:$H,0)),"")</f>
        <v/>
      </c>
      <c r="AM329" s="676" t="str">
        <f t="shared" si="14"/>
        <v/>
      </c>
      <c r="AN329" s="675" t="str">
        <f>IFERROR(INDEX(Üldreiting!$M:$M,MATCH(AM329,Üldreiting!$H:$H,0)),"")</f>
        <v/>
      </c>
      <c r="AO329" s="676" t="str">
        <f t="shared" si="15"/>
        <v/>
      </c>
      <c r="AP329" s="675" t="str">
        <f>IFERROR(INDEX(Üldreiting!$M:$M,MATCH(AO329,Üldreiting!$H:$H,0)),"")</f>
        <v/>
      </c>
    </row>
    <row r="330" spans="3:46" hidden="1" x14ac:dyDescent="0.2">
      <c r="C330" s="69">
        <v>4</v>
      </c>
      <c r="M330" s="69"/>
      <c r="S330" s="675" t="str">
        <f>IFERROR(INDEX([1]Üldreiting!$K:$K,MATCH(AM322,[1]Üldreiting!$L:$L,0)),"")</f>
        <v/>
      </c>
      <c r="T330" s="676" t="str">
        <f t="shared" ref="T330:T333" si="16">IFERROR(MID($B330,FIND(", ",$B330,FIND(", ",$B330,FIND(", ",$B330))+1)+2,30000),"")</f>
        <v/>
      </c>
      <c r="U330" s="675" t="str">
        <f>IFERROR(INDEX([1]Üldreiting!$K:$K,MATCH(T330,[1]Üldreiting!$L:$L,0)),"")</f>
        <v/>
      </c>
      <c r="AH330" s="672">
        <f t="shared" si="11"/>
        <v>0</v>
      </c>
      <c r="AI330" s="674" t="str">
        <f t="shared" si="12"/>
        <v/>
      </c>
      <c r="AJ330" s="675" t="str">
        <f>IFERROR(INDEX(Üldreiting!$M:$M,MATCH(AI330,Üldreiting!$H:$H,0)),"")</f>
        <v/>
      </c>
      <c r="AK330" s="674" t="str">
        <f t="shared" si="13"/>
        <v/>
      </c>
      <c r="AL330" s="675" t="str">
        <f>IFERROR(INDEX(Üldreiting!$M:$M,MATCH(AK330,Üldreiting!$H:$H,0)),"")</f>
        <v/>
      </c>
      <c r="AM330" s="676" t="str">
        <f t="shared" si="14"/>
        <v/>
      </c>
      <c r="AN330" s="675" t="str">
        <f>IFERROR(INDEX(Üldreiting!$M:$M,MATCH(AM330,Üldreiting!$H:$H,0)),"")</f>
        <v/>
      </c>
      <c r="AO330" s="676" t="str">
        <f t="shared" si="15"/>
        <v/>
      </c>
      <c r="AP330" s="675" t="str">
        <f>IFERROR(INDEX(Üldreiting!$M:$M,MATCH(AO330,Üldreiting!$H:$H,0)),"")</f>
        <v/>
      </c>
    </row>
    <row r="331" spans="3:46" hidden="1" x14ac:dyDescent="0.2">
      <c r="C331" s="69">
        <v>3</v>
      </c>
      <c r="M331" s="69"/>
      <c r="S331" s="673"/>
      <c r="T331" s="673"/>
      <c r="U331" s="673"/>
      <c r="AH331" s="672">
        <f t="shared" si="11"/>
        <v>0</v>
      </c>
      <c r="AI331" s="674" t="str">
        <f t="shared" si="12"/>
        <v/>
      </c>
      <c r="AJ331" s="675" t="str">
        <f>IFERROR(INDEX(Üldreiting!$M:$M,MATCH(AI331,Üldreiting!$H:$H,0)),"")</f>
        <v/>
      </c>
      <c r="AK331" s="674" t="str">
        <f t="shared" si="13"/>
        <v/>
      </c>
      <c r="AL331" s="675" t="str">
        <f>IFERROR(INDEX(Üldreiting!$M:$M,MATCH(AK331,Üldreiting!$H:$H,0)),"")</f>
        <v/>
      </c>
      <c r="AM331" s="676" t="str">
        <f t="shared" si="14"/>
        <v/>
      </c>
      <c r="AN331" s="675" t="str">
        <f>IFERROR(INDEX(Üldreiting!$M:$M,MATCH(AM331,Üldreiting!$H:$H,0)),"")</f>
        <v/>
      </c>
      <c r="AO331" s="676" t="str">
        <f t="shared" si="15"/>
        <v/>
      </c>
      <c r="AP331" s="675" t="str">
        <f>IFERROR(INDEX(Üldreiting!$M:$M,MATCH(AO331,Üldreiting!$H:$H,0)),"")</f>
        <v/>
      </c>
    </row>
    <row r="332" spans="3:46" hidden="1" x14ac:dyDescent="0.2">
      <c r="C332" s="69">
        <v>1</v>
      </c>
      <c r="M332" s="69"/>
      <c r="S332" s="673"/>
      <c r="T332" s="673"/>
      <c r="U332" s="673"/>
      <c r="AH332" s="672">
        <f t="shared" si="11"/>
        <v>0</v>
      </c>
      <c r="AI332" s="674" t="str">
        <f t="shared" si="12"/>
        <v/>
      </c>
      <c r="AJ332" s="675" t="str">
        <f>IFERROR(INDEX(Üldreiting!$M:$M,MATCH(AI332,Üldreiting!$H:$H,0)),"")</f>
        <v/>
      </c>
      <c r="AK332" s="674" t="str">
        <f t="shared" si="13"/>
        <v/>
      </c>
      <c r="AL332" s="675" t="str">
        <f>IFERROR(INDEX(Üldreiting!$M:$M,MATCH(AK332,Üldreiting!$H:$H,0)),"")</f>
        <v/>
      </c>
      <c r="AM332" s="676" t="str">
        <f t="shared" si="14"/>
        <v/>
      </c>
      <c r="AN332" s="675" t="str">
        <f>IFERROR(INDEX(Üldreiting!$M:$M,MATCH(AM332,Üldreiting!$H:$H,0)),"")</f>
        <v/>
      </c>
      <c r="AO332" s="676" t="str">
        <f t="shared" si="15"/>
        <v/>
      </c>
      <c r="AP332" s="675" t="str">
        <f>IFERROR(INDEX(Üldreiting!$M:$M,MATCH(AO332,Üldreiting!$H:$H,0)),"")</f>
        <v/>
      </c>
    </row>
    <row r="333" spans="3:46" hidden="1" x14ac:dyDescent="0.2">
      <c r="C333" s="69">
        <v>0</v>
      </c>
      <c r="M333" s="69"/>
      <c r="S333" s="675" t="str">
        <f>IFERROR(INDEX([1]Üldreiting!$K:$K,MATCH(AM323,[1]Üldreiting!$L:$L,0)),"")</f>
        <v/>
      </c>
      <c r="T333" s="676" t="str">
        <f t="shared" si="16"/>
        <v/>
      </c>
      <c r="U333" s="675" t="str">
        <f>IFERROR(INDEX([1]Üldreiting!$K:$K,MATCH(T333,[1]Üldreiting!$L:$L,0)),"")</f>
        <v/>
      </c>
      <c r="AH333" s="672">
        <f t="shared" si="11"/>
        <v>0</v>
      </c>
      <c r="AI333" s="674" t="str">
        <f t="shared" si="12"/>
        <v/>
      </c>
      <c r="AJ333" s="675" t="str">
        <f>IFERROR(INDEX(Üldreiting!$M:$M,MATCH(AI333,Üldreiting!$H:$H,0)),"")</f>
        <v/>
      </c>
      <c r="AK333" s="674" t="str">
        <f t="shared" si="13"/>
        <v/>
      </c>
      <c r="AL333" s="675" t="str">
        <f>IFERROR(INDEX(Üldreiting!$M:$M,MATCH(AK333,Üldreiting!$H:$H,0)),"")</f>
        <v/>
      </c>
      <c r="AM333" s="676" t="str">
        <f t="shared" si="14"/>
        <v/>
      </c>
      <c r="AN333" s="675" t="str">
        <f>IFERROR(INDEX(Üldreiting!$M:$M,MATCH(AM333,Üldreiting!$H:$H,0)),"")</f>
        <v/>
      </c>
      <c r="AO333" s="676" t="str">
        <f t="shared" si="15"/>
        <v/>
      </c>
      <c r="AP333" s="675" t="str">
        <f>IFERROR(INDEX(Üldreiting!$M:$M,MATCH(AO333,Üldreiting!$H:$H,0)),"")</f>
        <v/>
      </c>
    </row>
    <row r="334" spans="3:46" x14ac:dyDescent="0.2">
      <c r="M334" s="238"/>
      <c r="N334" s="238"/>
      <c r="O334" s="238"/>
      <c r="P334" s="238"/>
      <c r="Q334" s="238"/>
      <c r="R334" s="238"/>
      <c r="S334" s="238"/>
      <c r="T334" s="238"/>
      <c r="U334" s="238"/>
    </row>
  </sheetData>
  <conditionalFormatting sqref="A300:A317">
    <cfRule type="duplicateValues" dxfId="601" priority="83"/>
  </conditionalFormatting>
  <conditionalFormatting sqref="B300:B317">
    <cfRule type="duplicateValues" dxfId="600" priority="60"/>
  </conditionalFormatting>
  <conditionalFormatting sqref="C7:F24">
    <cfRule type="expression" dxfId="599" priority="81">
      <formula>IF($C7&gt;$E7,TRUE)</formula>
    </cfRule>
    <cfRule type="expression" dxfId="598" priority="82">
      <formula>IF($C7&lt;$E7,TRUE)</formula>
    </cfRule>
  </conditionalFormatting>
  <conditionalFormatting sqref="C7:C24">
    <cfRule type="expression" dxfId="597" priority="80">
      <formula>IF($C7&gt;$E7,TRUE)</formula>
    </cfRule>
  </conditionalFormatting>
  <conditionalFormatting sqref="E7:E24">
    <cfRule type="expression" dxfId="596" priority="79">
      <formula>IF($C7&lt;$E7,TRUE)</formula>
    </cfRule>
  </conditionalFormatting>
  <conditionalFormatting sqref="G7:J24">
    <cfRule type="expression" dxfId="595" priority="77">
      <formula>IF($G7&gt;$I7,TRUE)</formula>
    </cfRule>
    <cfRule type="expression" dxfId="594" priority="78">
      <formula>IF($G7&lt;$I7,TRUE)</formula>
    </cfRule>
  </conditionalFormatting>
  <conditionalFormatting sqref="G7:G24">
    <cfRule type="expression" dxfId="593" priority="76">
      <formula>IF($G7&gt;$I7,TRUE)</formula>
    </cfRule>
  </conditionalFormatting>
  <conditionalFormatting sqref="I7:I24">
    <cfRule type="expression" dxfId="592" priority="75">
      <formula>IF($G7&lt;$I7,TRUE)</formula>
    </cfRule>
  </conditionalFormatting>
  <conditionalFormatting sqref="K7:N24">
    <cfRule type="expression" dxfId="591" priority="73">
      <formula>IF($K7&gt;$M7,TRUE)</formula>
    </cfRule>
    <cfRule type="expression" dxfId="590" priority="74">
      <formula>IF($K7&lt;$M7,TRUE)</formula>
    </cfRule>
  </conditionalFormatting>
  <conditionalFormatting sqref="K7:K24">
    <cfRule type="expression" dxfId="589" priority="72">
      <formula>IF($K7&gt;$M7,TRUE)</formula>
    </cfRule>
  </conditionalFormatting>
  <conditionalFormatting sqref="M7:M24">
    <cfRule type="expression" dxfId="588" priority="71">
      <formula>IF($K7&lt;$M7,TRUE)</formula>
    </cfRule>
  </conditionalFormatting>
  <conditionalFormatting sqref="O7:R24">
    <cfRule type="expression" dxfId="587" priority="69">
      <formula>IF($O7&gt;$Q7,TRUE)</formula>
    </cfRule>
    <cfRule type="expression" dxfId="586" priority="70">
      <formula>IF($O7&lt;$Q7,TRUE)</formula>
    </cfRule>
  </conditionalFormatting>
  <conditionalFormatting sqref="O7:O24">
    <cfRule type="expression" dxfId="585" priority="68">
      <formula>IF($O7&gt;$Q7,TRUE)</formula>
    </cfRule>
  </conditionalFormatting>
  <conditionalFormatting sqref="Q7:Q24">
    <cfRule type="expression" dxfId="584" priority="67">
      <formula>IF($O7&lt;$Q7,TRUE)</formula>
    </cfRule>
  </conditionalFormatting>
  <conditionalFormatting sqref="S7:Z24">
    <cfRule type="expression" dxfId="583" priority="65">
      <formula>IF($S7&gt;$U7,TRUE)</formula>
    </cfRule>
    <cfRule type="expression" dxfId="582" priority="66">
      <formula>IF($S7&lt;$U7,TRUE)</formula>
    </cfRule>
  </conditionalFormatting>
  <conditionalFormatting sqref="S7:S24 W7:W24">
    <cfRule type="expression" dxfId="581" priority="64">
      <formula>IF($S7&gt;$U7,TRUE)</formula>
    </cfRule>
  </conditionalFormatting>
  <conditionalFormatting sqref="U7:U24 Y7:Y24">
    <cfRule type="expression" dxfId="580" priority="63">
      <formula>IF($S7&lt;$U7,TRUE)</formula>
    </cfRule>
  </conditionalFormatting>
  <conditionalFormatting sqref="A102:A116">
    <cfRule type="cellIs" dxfId="579" priority="61" operator="equal">
      <formula>"-"</formula>
    </cfRule>
    <cfRule type="duplicateValues" dxfId="578" priority="62"/>
  </conditionalFormatting>
  <conditionalFormatting sqref="K131 K133">
    <cfRule type="containsBlanks" dxfId="577" priority="58">
      <formula>LEN(TRIM(K131))=0</formula>
    </cfRule>
    <cfRule type="aboveAverage" dxfId="576" priority="59"/>
  </conditionalFormatting>
  <conditionalFormatting sqref="G123 G125">
    <cfRule type="containsBlanks" dxfId="575" priority="56">
      <formula>LEN(TRIM(G123))=0</formula>
    </cfRule>
    <cfRule type="aboveAverage" dxfId="574" priority="57"/>
  </conditionalFormatting>
  <conditionalFormatting sqref="K117 K119">
    <cfRule type="aboveAverage" dxfId="573" priority="55"/>
  </conditionalFormatting>
  <conditionalFormatting sqref="K117 K119">
    <cfRule type="containsBlanks" dxfId="572" priority="54">
      <formula>LEN(TRIM(K117))=0</formula>
    </cfRule>
  </conditionalFormatting>
  <conditionalFormatting sqref="G103 G107">
    <cfRule type="containsBlanks" dxfId="571" priority="52">
      <formula>LEN(TRIM(G103))=0</formula>
    </cfRule>
    <cfRule type="aboveAverage" dxfId="570" priority="53"/>
  </conditionalFormatting>
  <conditionalFormatting sqref="G111 G115">
    <cfRule type="containsBlanks" dxfId="569" priority="50">
      <formula>LEN(TRIM(G111))=0</formula>
    </cfRule>
    <cfRule type="aboveAverage" dxfId="568" priority="51"/>
  </conditionalFormatting>
  <conditionalFormatting sqref="K105 K113">
    <cfRule type="containsBlanks" dxfId="567" priority="46">
      <formula>LEN(TRIM(K105))=0</formula>
    </cfRule>
    <cfRule type="aboveAverage" dxfId="566" priority="49"/>
  </conditionalFormatting>
  <conditionalFormatting sqref="A140:A154">
    <cfRule type="cellIs" dxfId="565" priority="47" operator="equal">
      <formula>"-"</formula>
    </cfRule>
    <cfRule type="duplicateValues" dxfId="564" priority="48"/>
  </conditionalFormatting>
  <conditionalFormatting sqref="G127 G129">
    <cfRule type="containsBlanks" dxfId="563" priority="44">
      <formula>LEN(TRIM(G127))=0</formula>
    </cfRule>
    <cfRule type="aboveAverage" dxfId="562" priority="45"/>
  </conditionalFormatting>
  <conditionalFormatting sqref="C114 C116">
    <cfRule type="containsBlanks" dxfId="561" priority="34">
      <formula>LEN(TRIM(C114))=0</formula>
    </cfRule>
    <cfRule type="aboveAverage" dxfId="560" priority="35"/>
  </conditionalFormatting>
  <conditionalFormatting sqref="C110 C112">
    <cfRule type="containsBlanks" dxfId="559" priority="36">
      <formula>LEN(TRIM(C110))=0</formula>
    </cfRule>
    <cfRule type="aboveAverage" dxfId="558" priority="37"/>
  </conditionalFormatting>
  <conditionalFormatting sqref="C106 C108">
    <cfRule type="containsBlanks" dxfId="557" priority="38">
      <formula>LEN(TRIM(C106))=0</formula>
    </cfRule>
    <cfRule type="aboveAverage" dxfId="556" priority="39"/>
  </conditionalFormatting>
  <conditionalFormatting sqref="C102 C104">
    <cfRule type="containsBlanks" dxfId="555" priority="40">
      <formula>LEN(TRIM(C102))=0</formula>
    </cfRule>
    <cfRule type="aboveAverage" dxfId="554" priority="41"/>
  </conditionalFormatting>
  <conditionalFormatting sqref="K124 K128">
    <cfRule type="containsBlanks" dxfId="553" priority="42">
      <formula>LEN(TRIM(K124))=0</formula>
    </cfRule>
    <cfRule type="aboveAverage" dxfId="552" priority="43"/>
  </conditionalFormatting>
  <conditionalFormatting sqref="K169 K171">
    <cfRule type="containsBlanks" dxfId="551" priority="32">
      <formula>LEN(TRIM(K169))=0</formula>
    </cfRule>
    <cfRule type="aboveAverage" dxfId="550" priority="33"/>
  </conditionalFormatting>
  <conditionalFormatting sqref="G161 G163">
    <cfRule type="containsBlanks" dxfId="549" priority="30">
      <formula>LEN(TRIM(G161))=0</formula>
    </cfRule>
    <cfRule type="aboveAverage" dxfId="548" priority="31"/>
  </conditionalFormatting>
  <conditionalFormatting sqref="K155 K157">
    <cfRule type="aboveAverage" dxfId="547" priority="29"/>
  </conditionalFormatting>
  <conditionalFormatting sqref="K155 K157">
    <cfRule type="containsBlanks" dxfId="546" priority="28">
      <formula>LEN(TRIM(K155))=0</formula>
    </cfRule>
  </conditionalFormatting>
  <conditionalFormatting sqref="G141 G145">
    <cfRule type="containsBlanks" dxfId="545" priority="26">
      <formula>LEN(TRIM(G141))=0</formula>
    </cfRule>
    <cfRule type="aboveAverage" dxfId="544" priority="27"/>
  </conditionalFormatting>
  <conditionalFormatting sqref="G149 G153">
    <cfRule type="containsBlanks" dxfId="543" priority="24">
      <formula>LEN(TRIM(G149))=0</formula>
    </cfRule>
    <cfRule type="aboveAverage" dxfId="542" priority="25"/>
  </conditionalFormatting>
  <conditionalFormatting sqref="K143 K151">
    <cfRule type="containsBlanks" dxfId="541" priority="22">
      <formula>LEN(TRIM(K143))=0</formula>
    </cfRule>
    <cfRule type="aboveAverage" dxfId="540" priority="23"/>
  </conditionalFormatting>
  <conditionalFormatting sqref="G165 G167">
    <cfRule type="containsBlanks" dxfId="539" priority="20">
      <formula>LEN(TRIM(G165))=0</formula>
    </cfRule>
    <cfRule type="aboveAverage" dxfId="538" priority="21"/>
  </conditionalFormatting>
  <conditionalFormatting sqref="C152 C154">
    <cfRule type="containsBlanks" dxfId="537" priority="10">
      <formula>LEN(TRIM(C152))=0</formula>
    </cfRule>
    <cfRule type="aboveAverage" dxfId="536" priority="11"/>
  </conditionalFormatting>
  <conditionalFormatting sqref="C148 C150">
    <cfRule type="containsBlanks" dxfId="535" priority="12">
      <formula>LEN(TRIM(C148))=0</formula>
    </cfRule>
    <cfRule type="aboveAverage" dxfId="534" priority="13"/>
  </conditionalFormatting>
  <conditionalFormatting sqref="C144 C146">
    <cfRule type="containsBlanks" dxfId="533" priority="14">
      <formula>LEN(TRIM(C144))=0</formula>
    </cfRule>
    <cfRule type="aboveAverage" dxfId="532" priority="15"/>
  </conditionalFormatting>
  <conditionalFormatting sqref="C140 C142">
    <cfRule type="containsBlanks" dxfId="531" priority="16">
      <formula>LEN(TRIM(C140))=0</formula>
    </cfRule>
    <cfRule type="aboveAverage" dxfId="530" priority="17"/>
  </conditionalFormatting>
  <conditionalFormatting sqref="K162 K166">
    <cfRule type="containsBlanks" dxfId="529" priority="18">
      <formula>LEN(TRIM(K162))=0</formula>
    </cfRule>
    <cfRule type="aboveAverage" dxfId="528" priority="19"/>
  </conditionalFormatting>
  <conditionalFormatting sqref="K178 K180">
    <cfRule type="containsBlanks" dxfId="527" priority="8">
      <formula>LEN(TRIM(K178))=0</formula>
    </cfRule>
    <cfRule type="aboveAverage" dxfId="526" priority="9"/>
  </conditionalFormatting>
  <conditionalFormatting sqref="B300">
    <cfRule type="expression" dxfId="525" priority="7">
      <formula>$A$300=1</formula>
    </cfRule>
  </conditionalFormatting>
  <conditionalFormatting sqref="B301">
    <cfRule type="expression" dxfId="524" priority="6">
      <formula>$A$301=2</formula>
    </cfRule>
  </conditionalFormatting>
  <conditionalFormatting sqref="B302">
    <cfRule type="expression" dxfId="523" priority="5">
      <formula>$A$302=3</formula>
    </cfRule>
  </conditionalFormatting>
  <conditionalFormatting sqref="T330 T333 AO318:AO333 AO7:AO24 AM318:AM333 AM7:AM24 AI318:AI333 AI7:AI24">
    <cfRule type="expression" dxfId="522" priority="4">
      <formula>AND(U7="",COUNTIF(T7,"*,*")=0)</formula>
    </cfRule>
  </conditionalFormatting>
  <conditionalFormatting sqref="AK318:AK333 AK7:AK24">
    <cfRule type="expression" dxfId="521" priority="2">
      <formula>AND(AL7="",FIND(",",AK7))</formula>
    </cfRule>
    <cfRule type="expression" dxfId="520" priority="3">
      <formula>AND(AL7="",COUNTIF(AK7,"*,*")=0)</formula>
    </cfRule>
  </conditionalFormatting>
  <conditionalFormatting sqref="C7:Z24">
    <cfRule type="containsText" dxfId="519" priority="1" operator="containsText" text="vaba voor">
      <formula>NOT(ISERROR(SEARCH("vaba voor",C7)))</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6" max="16383" man="1"/>
    <brk id="174"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8"/>
  <sheetViews>
    <sheetView showGridLines="0" showRowColHeaders="0" zoomScaleNormal="100" workbookViewId="0">
      <pane ySplit="2" topLeftCell="A3" activePane="bottomLeft" state="frozen"/>
      <selection activeCell="B1" sqref="B1"/>
      <selection pane="bottomLeft" activeCell="I1" sqref="I1"/>
    </sheetView>
  </sheetViews>
  <sheetFormatPr defaultRowHeight="12.75" x14ac:dyDescent="0.2"/>
  <cols>
    <col min="1" max="1" width="3.28515625" style="130" customWidth="1"/>
    <col min="2" max="2" width="38.85546875" style="130" bestFit="1" customWidth="1"/>
    <col min="3" max="3" width="7.28515625" style="130" customWidth="1"/>
    <col min="4" max="4" width="7.42578125" style="130" customWidth="1"/>
    <col min="5" max="5" width="9.140625" style="130"/>
    <col min="6" max="6" width="6.7109375" style="130" bestFit="1" customWidth="1"/>
    <col min="7" max="7" width="5.140625" style="130" customWidth="1"/>
    <col min="8" max="9" width="9.140625" style="130" customWidth="1"/>
    <col min="10" max="17" width="9.140625" style="130"/>
    <col min="18" max="18" width="9.140625" style="130" hidden="1" customWidth="1"/>
    <col min="19" max="19" width="13.5703125" style="130" hidden="1" customWidth="1"/>
    <col min="20" max="20" width="6" style="130" hidden="1" customWidth="1"/>
    <col min="21" max="21" width="17.28515625" style="130" hidden="1" customWidth="1"/>
    <col min="22" max="22" width="6" style="130" hidden="1" customWidth="1"/>
    <col min="23" max="23" width="16.42578125" style="130" hidden="1" customWidth="1"/>
    <col min="24" max="24" width="6" style="130" hidden="1" customWidth="1"/>
    <col min="25" max="25" width="17.28515625" style="130" hidden="1" customWidth="1"/>
    <col min="26" max="26" width="6" style="130" hidden="1" customWidth="1"/>
    <col min="27" max="27" width="13.85546875" style="130" hidden="1" customWidth="1"/>
    <col min="28" max="28" width="6" style="130" hidden="1" customWidth="1"/>
    <col min="29" max="16384" width="9.140625" style="130"/>
  </cols>
  <sheetData>
    <row r="1" spans="1:28" x14ac:dyDescent="0.2">
      <c r="A1" s="605" t="str">
        <f>UPPER((Kalend!E25)&amp;" - "&amp;(Kalend!C25)&amp;" - "&amp;(Kalend!D25))</f>
        <v>10 - EESTI REITINGUVÕISTLUS - TRIO</v>
      </c>
      <c r="H1" s="46" t="str">
        <f>HYPERLINK("#Üldreiting!I1","Reiting")</f>
        <v>Reiting</v>
      </c>
      <c r="R1" s="683" t="s">
        <v>774</v>
      </c>
      <c r="S1" s="679"/>
      <c r="T1" s="679"/>
      <c r="U1" s="934"/>
      <c r="V1" s="934"/>
      <c r="W1" s="934"/>
      <c r="X1" s="934"/>
      <c r="Y1" s="934"/>
      <c r="Z1" s="934"/>
      <c r="AA1" s="934"/>
      <c r="AB1" s="934"/>
    </row>
    <row r="2" spans="1:28" x14ac:dyDescent="0.2">
      <c r="A2" s="67" t="str">
        <f>"Toimumisaeg: "&amp;(Kalend!A25)&amp;" kell "&amp;(Kalend!B25)</f>
        <v>Toimumisaeg: P, 19.08.2018 kell 10:00</v>
      </c>
    </row>
    <row r="3" spans="1:28" x14ac:dyDescent="0.2">
      <c r="A3" s="67" t="str">
        <f>"Toimumiskoht: "&amp;(Kalend!H25)</f>
        <v>Toimumiskoht: Võru</v>
      </c>
      <c r="R3" s="681" t="s">
        <v>771</v>
      </c>
      <c r="S3" s="69"/>
      <c r="T3" s="69"/>
      <c r="U3" s="69"/>
      <c r="V3" s="69"/>
      <c r="W3" s="69"/>
      <c r="X3" s="69"/>
      <c r="Y3" s="69"/>
      <c r="Z3" s="69"/>
      <c r="AA3" s="69"/>
      <c r="AB3" s="69"/>
    </row>
    <row r="4" spans="1:28" x14ac:dyDescent="0.2">
      <c r="A4" s="67" t="str">
        <f>"Korraldaja: "&amp;(Kalend!I25)</f>
        <v xml:space="preserve">Korraldaja: </v>
      </c>
      <c r="R4" s="667" t="s">
        <v>190</v>
      </c>
      <c r="S4" s="625"/>
      <c r="T4" s="625"/>
      <c r="U4" s="625"/>
      <c r="V4" s="625"/>
      <c r="W4" s="625"/>
      <c r="X4" s="625"/>
      <c r="Y4" s="625"/>
      <c r="Z4" s="625"/>
      <c r="AA4" s="625"/>
      <c r="AB4" s="625"/>
    </row>
    <row r="5" spans="1:28" x14ac:dyDescent="0.2">
      <c r="R5" s="667" t="s">
        <v>764</v>
      </c>
      <c r="S5" s="670" t="s">
        <v>765</v>
      </c>
      <c r="T5" s="670"/>
      <c r="U5" s="670" t="s">
        <v>767</v>
      </c>
      <c r="V5" s="670"/>
      <c r="W5" s="670" t="s">
        <v>768</v>
      </c>
      <c r="X5" s="672"/>
      <c r="Y5" s="672" t="s">
        <v>772</v>
      </c>
      <c r="Z5" s="672"/>
      <c r="AA5" s="672" t="s">
        <v>773</v>
      </c>
      <c r="AB5" s="682"/>
    </row>
    <row r="6" spans="1:28" x14ac:dyDescent="0.2">
      <c r="A6" s="371" t="s">
        <v>563</v>
      </c>
      <c r="B6" s="816"/>
      <c r="C6" s="416" t="s">
        <v>572</v>
      </c>
      <c r="D6" s="371" t="s">
        <v>367</v>
      </c>
      <c r="E6" s="371" t="s">
        <v>368</v>
      </c>
      <c r="F6" s="416" t="s">
        <v>369</v>
      </c>
      <c r="G6" s="416" t="s">
        <v>25</v>
      </c>
      <c r="R6" s="667" t="s">
        <v>769</v>
      </c>
      <c r="S6" s="625"/>
      <c r="T6" s="625"/>
      <c r="U6" s="673"/>
      <c r="V6" s="673"/>
      <c r="W6" s="673"/>
      <c r="X6" s="673"/>
      <c r="Y6" s="673"/>
      <c r="Z6" s="673"/>
      <c r="AA6" s="673"/>
      <c r="AB6" s="673"/>
    </row>
    <row r="7" spans="1:28" x14ac:dyDescent="0.2">
      <c r="A7" s="371">
        <v>1</v>
      </c>
      <c r="B7" s="258" t="s">
        <v>880</v>
      </c>
      <c r="C7" s="817">
        <v>11</v>
      </c>
      <c r="D7" s="817"/>
      <c r="E7" s="200">
        <v>13</v>
      </c>
      <c r="F7" s="660">
        <v>13</v>
      </c>
      <c r="G7" s="200" t="str">
        <f>IF(AND(COUNT(F7:F10)=2,F7=MAX(F7:F10),COUNT(C7:F7)=3),A6&amp;"2",IF(AND(COUNT(E7:E10)=2,ISNUMBER(E7),E7=MIN(E7:E10),D7="",F7=""),A6&amp;"4",IF(AND(COUNT(D7:D10)=2,D7=MAX(D7:D10),E7="",F7=""),A6&amp;"1",IF(COUNT(F7:F10)=2,A6&amp;"3",""))))</f>
        <v>A2</v>
      </c>
      <c r="R7" s="672">
        <f ca="1">SUM(T7:AB7)</f>
        <v>2272</v>
      </c>
      <c r="S7" s="676" t="str">
        <f>IFERROR(LEFT($B7,(FIND(",",$B7,1)-1)),"")</f>
        <v>Kalju Olmre</v>
      </c>
      <c r="T7" s="675">
        <f ca="1">IFERROR(INDEX(Üldreiting!$M:$M,MATCH(S7,Üldreiting!$H:$H,0)),"")</f>
        <v>600</v>
      </c>
      <c r="U7" s="676" t="str">
        <f>IFERROR(MID($B7,FIND("^",SUBSTITUTE($B7,", ","^",1))+2,FIND("^",SUBSTITUTE($B7,", ","^",2))-FIND("^",SUBSTITUTE($B7,", ","^",1))-2),"")</f>
        <v>Katri Aavekukk</v>
      </c>
      <c r="V7" s="675">
        <f ca="1">IFERROR(INDEX(Üldreiting!$M:$M,MATCH(U7,Üldreiting!$H:$H,0)),"")</f>
        <v>1079</v>
      </c>
      <c r="W7" s="676" t="str">
        <f>IFERROR(MID($B7,FIND(", ",$B7,FIND(", ",$B7,FIND(", ",$B7))+1)+2,700),"")</f>
        <v>Külli Kariste</v>
      </c>
      <c r="X7" s="675">
        <f ca="1">IFERROR(INDEX(Üldreiting!$M:$M,MATCH(W7,Üldreiting!$H:$H,0)),"")</f>
        <v>593</v>
      </c>
      <c r="Y7" s="674" t="str">
        <f>IFERROR(MID($B7,FIND(", ",$B7,FIND(", ",$B7)+1)+2,FIND(", ",$B7,FIND(", ",$B7,FIND(", ",$B7)+1)+1)-FIND(", ",$B7,FIND(", ",$B7)+1)-2),"")</f>
        <v/>
      </c>
      <c r="Z7" s="675" t="str">
        <f>IFERROR(INDEX(Üldreiting!$M:$M,MATCH(Y7,Üldreiting!$H:$H,0)),"")</f>
        <v/>
      </c>
      <c r="AA7" s="676" t="str">
        <f>IFERROR(MID($B7,FIND(", ",$B7,FIND(", ",$B7,FIND(", ",$B7)+1)+1)+2,700),"")</f>
        <v/>
      </c>
      <c r="AB7" s="675" t="str">
        <f>IFERROR(INDEX(Üldreiting!$M:$M,MATCH(AA7,Üldreiting!$H:$H,0)),"")</f>
        <v/>
      </c>
    </row>
    <row r="8" spans="1:28" x14ac:dyDescent="0.2">
      <c r="A8" s="371">
        <v>2</v>
      </c>
      <c r="B8" s="208" t="s">
        <v>881</v>
      </c>
      <c r="C8" s="818">
        <v>9</v>
      </c>
      <c r="D8" s="817"/>
      <c r="E8" s="200">
        <v>6</v>
      </c>
      <c r="F8" s="660"/>
      <c r="G8" s="200" t="str">
        <f>IF(AND(COUNT(F7:F10)=2,F8=MAX(F7:F10),COUNT(C8:F8)=3),A6&amp;"2",IF(AND(COUNT(E7:E10)=2,ISNUMBER(E8),E8=MIN(E7:E10),D8="",F8=""),A6&amp;"4",IF(AND(COUNT(D7:D10)=2,D8=MAX(D7:D10),E8="",F8=""),A6&amp;"1",IF(COUNT(F7:F10)=2,A6&amp;"3",""))))</f>
        <v>A4</v>
      </c>
      <c r="R8" s="672">
        <f t="shared" ref="R8:R18" ca="1" si="0">SUM(T8:AB8)</f>
        <v>1799</v>
      </c>
      <c r="S8" s="676" t="str">
        <f t="shared" ref="S8:S71" si="1">IFERROR(LEFT($B8,(FIND(",",$B8,1)-1)),"")</f>
        <v>Danel Pilv</v>
      </c>
      <c r="T8" s="675">
        <f ca="1">IFERROR(INDEX(Üldreiting!$M:$M,MATCH(S8,Üldreiting!$H:$H,0)),"")</f>
        <v>258</v>
      </c>
      <c r="U8" s="676" t="str">
        <f t="shared" ref="U8:U71" si="2">IFERROR(MID($B8,FIND("^",SUBSTITUTE($B8,", ","^",1))+2,FIND("^",SUBSTITUTE($B8,", ","^",2))-FIND("^",SUBSTITUTE($B8,", ","^",1))-2),"")</f>
        <v>Kevin Sten Liik</v>
      </c>
      <c r="V8" s="675">
        <f ca="1">IFERROR(INDEX(Üldreiting!$M:$M,MATCH(U8,Üldreiting!$H:$H,0)),"")</f>
        <v>715</v>
      </c>
      <c r="W8" s="676" t="str">
        <f t="shared" ref="W8:W71" si="3">IFERROR(MID($B8,FIND(", ",$B8,FIND(", ",$B8,FIND(", ",$B8))+1)+2,700),"")</f>
        <v>Silver Kingissepp</v>
      </c>
      <c r="X8" s="675">
        <f ca="1">IFERROR(INDEX(Üldreiting!$M:$M,MATCH(W8,Üldreiting!$H:$H,0)),"")</f>
        <v>826</v>
      </c>
      <c r="Y8" s="674" t="str">
        <f t="shared" ref="Y8:Y71" si="4">IFERROR(MID($B8,FIND(", ",$B8,FIND(", ",$B8)+1)+2,FIND(", ",$B8,FIND(", ",$B8,FIND(", ",$B8)+1)+1)-FIND(", ",$B8,FIND(", ",$B8)+1)-2),"")</f>
        <v/>
      </c>
      <c r="Z8" s="675" t="str">
        <f>IFERROR(INDEX(Üldreiting!$M:$M,MATCH(Y8,Üldreiting!$H:$H,0)),"")</f>
        <v/>
      </c>
      <c r="AA8" s="676" t="str">
        <f t="shared" ref="AA8:AA71" si="5">IFERROR(MID($B8,FIND(", ",$B8,FIND(", ",$B8,FIND(", ",$B8)+1)+1)+2,700),"")</f>
        <v/>
      </c>
      <c r="AB8" s="675" t="str">
        <f>IFERROR(INDEX(Üldreiting!$M:$M,MATCH(AA8,Üldreiting!$H:$H,0)),"")</f>
        <v/>
      </c>
    </row>
    <row r="9" spans="1:28" x14ac:dyDescent="0.2">
      <c r="A9" s="371">
        <v>3</v>
      </c>
      <c r="B9" s="208" t="s">
        <v>882</v>
      </c>
      <c r="C9" s="818">
        <v>13</v>
      </c>
      <c r="D9" s="200">
        <v>13</v>
      </c>
      <c r="E9" s="200" t="str">
        <f>IF(AND(B10="-",ISNUMBER(C9),C9&lt;C8),13,"")</f>
        <v/>
      </c>
      <c r="F9" s="660"/>
      <c r="G9" s="200" t="str">
        <f>IF(AND(COUNT(F7:F10)=2,F9=MAX(F7:F10),COUNT(C9:F9)=3),A6&amp;"2",IF(AND(COUNT(E7:E10)=2,ISNUMBER(E9),E9=MIN(E7:E10),D9="",F9=""),A6&amp;"4",IF(AND(COUNT(D7:D10)=2,D9=MAX(D7:D10),E9="",F9=""),A6&amp;"1",IF(COUNT(F7:F10)=2,A6&amp;"3",""))))</f>
        <v>A1</v>
      </c>
      <c r="R9" s="672">
        <f t="shared" ca="1" si="0"/>
        <v>331</v>
      </c>
      <c r="S9" s="676" t="str">
        <f t="shared" si="1"/>
        <v>Igor Kostin</v>
      </c>
      <c r="T9" s="675">
        <f ca="1">IFERROR(INDEX(Üldreiting!$M:$M,MATCH(S9,Üldreiting!$H:$H,0)),"")</f>
        <v>84</v>
      </c>
      <c r="U9" s="676" t="str">
        <f t="shared" si="2"/>
        <v>Jelena Tjurina</v>
      </c>
      <c r="V9" s="675">
        <f ca="1">IFERROR(INDEX(Üldreiting!$M:$M,MATCH(U9,Üldreiting!$H:$H,0)),"")</f>
        <v>84</v>
      </c>
      <c r="W9" s="676" t="str">
        <f t="shared" si="3"/>
        <v>Marika Poom</v>
      </c>
      <c r="X9" s="675">
        <f ca="1">IFERROR(INDEX(Üldreiting!$M:$M,MATCH(W9,Üldreiting!$H:$H,0)),"")</f>
        <v>163</v>
      </c>
      <c r="Y9" s="674" t="str">
        <f t="shared" si="4"/>
        <v/>
      </c>
      <c r="Z9" s="675" t="str">
        <f>IFERROR(INDEX(Üldreiting!$M:$M,MATCH(Y9,Üldreiting!$H:$H,0)),"")</f>
        <v/>
      </c>
      <c r="AA9" s="676" t="str">
        <f t="shared" si="5"/>
        <v/>
      </c>
      <c r="AB9" s="675" t="str">
        <f>IFERROR(INDEX(Üldreiting!$M:$M,MATCH(AA9,Üldreiting!$H:$H,0)),"")</f>
        <v/>
      </c>
    </row>
    <row r="10" spans="1:28" x14ac:dyDescent="0.2">
      <c r="A10" s="371">
        <v>4</v>
      </c>
      <c r="B10" s="22" t="s">
        <v>883</v>
      </c>
      <c r="C10" s="817">
        <v>13</v>
      </c>
      <c r="D10" s="817">
        <v>1</v>
      </c>
      <c r="E10" s="200" t="str">
        <f>IF(B10="-",0,"")</f>
        <v/>
      </c>
      <c r="F10" s="660">
        <v>5</v>
      </c>
      <c r="G10" s="200" t="str">
        <f>IF(AND(COUNT(F7:F10)=2,F10=MAX(F7:F10),COUNT(C10:F10)=3),A6&amp;"2",IF(AND(COUNT(E7:E10)=2,ISNUMBER(E10),E10=MIN(E7:E10),D10="",F10=""),A6&amp;"4",IF(AND(COUNT(D7:D10)=2,D10=MAX(D7:D10),E10="",F10=""),A6&amp;"1",IF(COUNT(F7:F10)=2,A6&amp;"3",""))))</f>
        <v>A3</v>
      </c>
      <c r="R10" s="672">
        <f t="shared" ca="1" si="0"/>
        <v>233</v>
      </c>
      <c r="S10" s="676" t="str">
        <f t="shared" si="1"/>
        <v>Argo Sepp</v>
      </c>
      <c r="T10" s="675">
        <f ca="1">IFERROR(INDEX(Üldreiting!$M:$M,MATCH(S10,Üldreiting!$H:$H,0)),"")</f>
        <v>53</v>
      </c>
      <c r="U10" s="676" t="str">
        <f t="shared" si="2"/>
        <v>Ljudmila Varendi</v>
      </c>
      <c r="V10" s="675">
        <f ca="1">IFERROR(INDEX(Üldreiting!$M:$M,MATCH(U10,Üldreiting!$H:$H,0)),"")</f>
        <v>90</v>
      </c>
      <c r="W10" s="676" t="str">
        <f t="shared" si="3"/>
        <v>Viktor Švarõgin</v>
      </c>
      <c r="X10" s="675">
        <f ca="1">IFERROR(INDEX(Üldreiting!$M:$M,MATCH(W10,Üldreiting!$H:$H,0)),"")</f>
        <v>90</v>
      </c>
      <c r="Y10" s="674" t="str">
        <f t="shared" si="4"/>
        <v/>
      </c>
      <c r="Z10" s="675" t="str">
        <f>IFERROR(INDEX(Üldreiting!$M:$M,MATCH(Y10,Üldreiting!$H:$H,0)),"")</f>
        <v/>
      </c>
      <c r="AA10" s="676" t="str">
        <f t="shared" si="5"/>
        <v/>
      </c>
      <c r="AB10" s="675" t="str">
        <f>IFERROR(INDEX(Üldreiting!$M:$M,MATCH(AA10,Üldreiting!$H:$H,0)),"")</f>
        <v/>
      </c>
    </row>
    <row r="11" spans="1:28" x14ac:dyDescent="0.2">
      <c r="A11" s="69"/>
      <c r="B11" s="819"/>
      <c r="C11" s="69"/>
      <c r="D11" s="69"/>
      <c r="E11" s="69"/>
      <c r="F11" s="69"/>
      <c r="G11" s="819" t="s">
        <v>573</v>
      </c>
      <c r="R11" s="672">
        <f t="shared" si="0"/>
        <v>0</v>
      </c>
      <c r="S11" s="676" t="str">
        <f t="shared" si="1"/>
        <v/>
      </c>
      <c r="T11" s="675" t="str">
        <f>IFERROR(INDEX(Üldreiting!$M:$M,MATCH(S11,Üldreiting!$H:$H,0)),"")</f>
        <v/>
      </c>
      <c r="U11" s="676" t="str">
        <f t="shared" si="2"/>
        <v/>
      </c>
      <c r="V11" s="675" t="str">
        <f>IFERROR(INDEX(Üldreiting!$M:$M,MATCH(U11,Üldreiting!$H:$H,0)),"")</f>
        <v/>
      </c>
      <c r="W11" s="676" t="str">
        <f t="shared" si="3"/>
        <v/>
      </c>
      <c r="X11" s="675" t="str">
        <f>IFERROR(INDEX(Üldreiting!$M:$M,MATCH(W11,Üldreiting!$H:$H,0)),"")</f>
        <v/>
      </c>
      <c r="Y11" s="674" t="str">
        <f t="shared" si="4"/>
        <v/>
      </c>
      <c r="Z11" s="675" t="str">
        <f>IFERROR(INDEX(Üldreiting!$M:$M,MATCH(Y11,Üldreiting!$H:$H,0)),"")</f>
        <v/>
      </c>
      <c r="AA11" s="676" t="str">
        <f t="shared" si="5"/>
        <v/>
      </c>
      <c r="AB11" s="675" t="str">
        <f>IFERROR(INDEX(Üldreiting!$M:$M,MATCH(AA11,Üldreiting!$H:$H,0)),"")</f>
        <v/>
      </c>
    </row>
    <row r="12" spans="1:28" x14ac:dyDescent="0.2">
      <c r="A12" s="371" t="s">
        <v>853</v>
      </c>
      <c r="B12" s="816"/>
      <c r="C12" s="416" t="s">
        <v>572</v>
      </c>
      <c r="D12" s="371" t="s">
        <v>367</v>
      </c>
      <c r="E12" s="371" t="s">
        <v>368</v>
      </c>
      <c r="F12" s="416" t="s">
        <v>369</v>
      </c>
      <c r="G12" s="416" t="s">
        <v>25</v>
      </c>
      <c r="R12" s="672">
        <f t="shared" si="0"/>
        <v>0</v>
      </c>
      <c r="S12" s="676" t="str">
        <f t="shared" si="1"/>
        <v/>
      </c>
      <c r="T12" s="675" t="str">
        <f>IFERROR(INDEX(Üldreiting!$M:$M,MATCH(S12,Üldreiting!$H:$H,0)),"")</f>
        <v/>
      </c>
      <c r="U12" s="676" t="str">
        <f t="shared" si="2"/>
        <v/>
      </c>
      <c r="V12" s="675" t="str">
        <f>IFERROR(INDEX(Üldreiting!$M:$M,MATCH(U12,Üldreiting!$H:$H,0)),"")</f>
        <v/>
      </c>
      <c r="W12" s="676" t="str">
        <f t="shared" si="3"/>
        <v/>
      </c>
      <c r="X12" s="675" t="str">
        <f>IFERROR(INDEX(Üldreiting!$M:$M,MATCH(W12,Üldreiting!$H:$H,0)),"")</f>
        <v/>
      </c>
      <c r="Y12" s="674" t="str">
        <f t="shared" si="4"/>
        <v/>
      </c>
      <c r="Z12" s="675" t="str">
        <f>IFERROR(INDEX(Üldreiting!$M:$M,MATCH(Y12,Üldreiting!$H:$H,0)),"")</f>
        <v/>
      </c>
      <c r="AA12" s="676" t="str">
        <f t="shared" si="5"/>
        <v/>
      </c>
      <c r="AB12" s="675" t="str">
        <f>IFERROR(INDEX(Üldreiting!$M:$M,MATCH(AA12,Üldreiting!$H:$H,0)),"")</f>
        <v/>
      </c>
    </row>
    <row r="13" spans="1:28" x14ac:dyDescent="0.2">
      <c r="A13" s="371">
        <v>1</v>
      </c>
      <c r="B13" s="258" t="s">
        <v>884</v>
      </c>
      <c r="C13" s="817">
        <v>13</v>
      </c>
      <c r="D13" s="817">
        <v>1</v>
      </c>
      <c r="E13" s="200"/>
      <c r="F13" s="660">
        <v>12</v>
      </c>
      <c r="G13" s="200" t="str">
        <f>IF(AND(COUNT(F13:F16)=2,F13=MAX(F13:F16),COUNT(C13:F13)=3),A12&amp;"2",IF(AND(COUNT(E13:E16)=2,ISNUMBER(E13),E13=MIN(E13:E16),D13="",F13=""),A12&amp;"4",IF(AND(COUNT(D13:D16)=2,D13=MAX(D13:D16),E13="",F13=""),A12&amp;"1",IF(COUNT(F13:F16)=2,A12&amp;"3",""))))</f>
        <v>B3</v>
      </c>
      <c r="R13" s="672">
        <f t="shared" ca="1" si="0"/>
        <v>1980</v>
      </c>
      <c r="S13" s="676" t="str">
        <f t="shared" si="1"/>
        <v>Kadri Arunurm</v>
      </c>
      <c r="T13" s="675">
        <f ca="1">IFERROR(INDEX(Üldreiting!$M:$M,MATCH(S13,Üldreiting!$H:$H,0)),"")</f>
        <v>509</v>
      </c>
      <c r="U13" s="676" t="str">
        <f t="shared" si="2"/>
        <v>Mare Kingissepp</v>
      </c>
      <c r="V13" s="675">
        <f ca="1">IFERROR(INDEX(Üldreiting!$M:$M,MATCH(U13,Üldreiting!$H:$H,0)),"")</f>
        <v>726</v>
      </c>
      <c r="W13" s="676" t="str">
        <f t="shared" si="3"/>
        <v>Marge Mägi</v>
      </c>
      <c r="X13" s="675">
        <f ca="1">IFERROR(INDEX(Üldreiting!$M:$M,MATCH(W13,Üldreiting!$H:$H,0)),"")</f>
        <v>745</v>
      </c>
      <c r="Y13" s="674" t="str">
        <f t="shared" si="4"/>
        <v/>
      </c>
      <c r="Z13" s="675" t="str">
        <f>IFERROR(INDEX(Üldreiting!$M:$M,MATCH(Y13,Üldreiting!$H:$H,0)),"")</f>
        <v/>
      </c>
      <c r="AA13" s="676" t="str">
        <f t="shared" si="5"/>
        <v/>
      </c>
      <c r="AB13" s="675" t="str">
        <f>IFERROR(INDEX(Üldreiting!$M:$M,MATCH(AA13,Üldreiting!$H:$H,0)),"")</f>
        <v/>
      </c>
    </row>
    <row r="14" spans="1:28" x14ac:dyDescent="0.2">
      <c r="A14" s="371">
        <v>2</v>
      </c>
      <c r="B14" s="208" t="s">
        <v>885</v>
      </c>
      <c r="C14" s="818">
        <v>2</v>
      </c>
      <c r="D14" s="817"/>
      <c r="E14" s="200">
        <f>IF(AND(B16="-",ISNUMBER(C14),C14&lt;C15),13,"")</f>
        <v>13</v>
      </c>
      <c r="F14" s="660">
        <v>13</v>
      </c>
      <c r="G14" s="200" t="str">
        <f>IF(AND(COUNT(F13:F16)=2,F14=MAX(F13:F16),COUNT(C14:F14)=3),A12&amp;"2",IF(AND(COUNT(E13:E16)=2,ISNUMBER(E14),E14=MIN(E13:E16),D14="",F14=""),A12&amp;"4",IF(AND(COUNT(D13:D16)=2,D14=MAX(D13:D16),E14="",F14=""),A12&amp;"1",IF(COUNT(F13:F16)=2,A12&amp;"3",""))))</f>
        <v>B2</v>
      </c>
      <c r="R14" s="672">
        <f t="shared" ca="1" si="0"/>
        <v>1539</v>
      </c>
      <c r="S14" s="676" t="str">
        <f t="shared" si="1"/>
        <v>Aivar Sein</v>
      </c>
      <c r="T14" s="675">
        <f ca="1">IFERROR(INDEX(Üldreiting!$M:$M,MATCH(S14,Üldreiting!$H:$H,0)),"")</f>
        <v>546</v>
      </c>
      <c r="U14" s="676" t="str">
        <f t="shared" si="2"/>
        <v>Maive Sein</v>
      </c>
      <c r="V14" s="675">
        <f ca="1">IFERROR(INDEX(Üldreiting!$M:$M,MATCH(U14,Üldreiting!$H:$H,0)),"")</f>
        <v>785</v>
      </c>
      <c r="W14" s="676" t="str">
        <f t="shared" si="3"/>
        <v>Marina Vallik</v>
      </c>
      <c r="X14" s="675">
        <f ca="1">IFERROR(INDEX(Üldreiting!$M:$M,MATCH(W14,Üldreiting!$H:$H,0)),"")</f>
        <v>208</v>
      </c>
      <c r="Y14" s="674" t="str">
        <f t="shared" si="4"/>
        <v/>
      </c>
      <c r="Z14" s="675" t="str">
        <f>IFERROR(INDEX(Üldreiting!$M:$M,MATCH(Y14,Üldreiting!$H:$H,0)),"")</f>
        <v/>
      </c>
      <c r="AA14" s="676" t="str">
        <f t="shared" si="5"/>
        <v/>
      </c>
      <c r="AB14" s="675" t="str">
        <f>IFERROR(INDEX(Üldreiting!$M:$M,MATCH(AA14,Üldreiting!$H:$H,0)),"")</f>
        <v/>
      </c>
    </row>
    <row r="15" spans="1:28" x14ac:dyDescent="0.2">
      <c r="A15" s="371">
        <v>3</v>
      </c>
      <c r="B15" s="208" t="s">
        <v>783</v>
      </c>
      <c r="C15" s="818">
        <v>13</v>
      </c>
      <c r="D15" s="200">
        <v>13</v>
      </c>
      <c r="E15" s="200" t="str">
        <f>IF(AND(B16="-",ISNUMBER(C15),C15&lt;C14),13,"")</f>
        <v/>
      </c>
      <c r="F15" s="660"/>
      <c r="G15" s="200" t="str">
        <f>IF(AND(COUNT(F13:F16)=2,F15=MAX(F13:F16),COUNT(C15:F15)=3),A12&amp;"2",IF(AND(COUNT(E13:E16)=2,ISNUMBER(E15),E15=MIN(E13:E16),D15="",F15=""),A12&amp;"4",IF(AND(COUNT(D13:D16)=2,D15=MAX(D13:D16),E15="",F15=""),A12&amp;"1",IF(COUNT(F13:F16)=2,A12&amp;"3",""))))</f>
        <v>B1</v>
      </c>
      <c r="R15" s="672">
        <f t="shared" ca="1" si="0"/>
        <v>1129</v>
      </c>
      <c r="S15" s="676" t="str">
        <f t="shared" si="1"/>
        <v>Jaan Sepp</v>
      </c>
      <c r="T15" s="675">
        <f ca="1">IFERROR(INDEX(Üldreiting!$M:$M,MATCH(S15,Üldreiting!$H:$H,0)),"")</f>
        <v>386</v>
      </c>
      <c r="U15" s="676" t="str">
        <f t="shared" si="2"/>
        <v>Mait Metsla</v>
      </c>
      <c r="V15" s="675">
        <f ca="1">IFERROR(INDEX(Üldreiting!$M:$M,MATCH(U15,Üldreiting!$H:$H,0)),"")</f>
        <v>502</v>
      </c>
      <c r="W15" s="676" t="str">
        <f t="shared" si="3"/>
        <v>Oskar Sepp</v>
      </c>
      <c r="X15" s="675">
        <f ca="1">IFERROR(INDEX(Üldreiting!$M:$M,MATCH(W15,Üldreiting!$H:$H,0)),"")</f>
        <v>241</v>
      </c>
      <c r="Y15" s="674" t="str">
        <f t="shared" si="4"/>
        <v/>
      </c>
      <c r="Z15" s="675" t="str">
        <f>IFERROR(INDEX(Üldreiting!$M:$M,MATCH(Y15,Üldreiting!$H:$H,0)),"")</f>
        <v/>
      </c>
      <c r="AA15" s="676" t="str">
        <f t="shared" si="5"/>
        <v/>
      </c>
      <c r="AB15" s="675" t="str">
        <f>IFERROR(INDEX(Üldreiting!$M:$M,MATCH(AA15,Üldreiting!$H:$H,0)),"")</f>
        <v/>
      </c>
    </row>
    <row r="16" spans="1:28" x14ac:dyDescent="0.2">
      <c r="A16" s="371">
        <v>4</v>
      </c>
      <c r="B16" s="207" t="s">
        <v>573</v>
      </c>
      <c r="C16" s="817">
        <f>IF(B16="-",0,"")</f>
        <v>0</v>
      </c>
      <c r="D16" s="817"/>
      <c r="E16" s="200">
        <f>IF(B16="-",0,"")</f>
        <v>0</v>
      </c>
      <c r="F16" s="660"/>
      <c r="G16" s="200" t="str">
        <f>IF(AND(COUNT(F13:F16)=2,F16=MAX(F13:F16),COUNT(C16:F16)=3),A12&amp;"2",IF(AND(COUNT(E13:E16)=2,ISNUMBER(E16),E16=MIN(E13:E16),D16="",F16=""),A12&amp;"4",IF(AND(COUNT(D13:D16)=2,D16=MAX(D13:D16),E16="",F16=""),A12&amp;"1",IF(COUNT(F13:F16)=2,A12&amp;"3",""))))</f>
        <v>B4</v>
      </c>
      <c r="R16" s="672">
        <f t="shared" si="0"/>
        <v>0</v>
      </c>
      <c r="S16" s="676" t="str">
        <f t="shared" si="1"/>
        <v/>
      </c>
      <c r="T16" s="675" t="str">
        <f>IFERROR(INDEX(Üldreiting!$M:$M,MATCH(S16,Üldreiting!$H:$H,0)),"")</f>
        <v/>
      </c>
      <c r="U16" s="676" t="str">
        <f t="shared" si="2"/>
        <v/>
      </c>
      <c r="V16" s="675" t="str">
        <f>IFERROR(INDEX(Üldreiting!$M:$M,MATCH(U16,Üldreiting!$H:$H,0)),"")</f>
        <v/>
      </c>
      <c r="W16" s="676" t="str">
        <f t="shared" si="3"/>
        <v/>
      </c>
      <c r="X16" s="675" t="str">
        <f>IFERROR(INDEX(Üldreiting!$M:$M,MATCH(W16,Üldreiting!$H:$H,0)),"")</f>
        <v/>
      </c>
      <c r="Y16" s="674" t="str">
        <f t="shared" si="4"/>
        <v/>
      </c>
      <c r="Z16" s="675" t="str">
        <f>IFERROR(INDEX(Üldreiting!$M:$M,MATCH(Y16,Üldreiting!$H:$H,0)),"")</f>
        <v/>
      </c>
      <c r="AA16" s="676" t="str">
        <f t="shared" si="5"/>
        <v/>
      </c>
      <c r="AB16" s="675" t="str">
        <f>IFERROR(INDEX(Üldreiting!$M:$M,MATCH(AA16,Üldreiting!$H:$H,0)),"")</f>
        <v/>
      </c>
    </row>
    <row r="17" spans="1:28" x14ac:dyDescent="0.2">
      <c r="A17" s="69"/>
      <c r="B17" s="69"/>
      <c r="C17" s="69"/>
      <c r="D17" s="69"/>
      <c r="E17" s="69"/>
      <c r="F17" s="69"/>
      <c r="G17" s="69"/>
      <c r="R17" s="672">
        <f t="shared" si="0"/>
        <v>0</v>
      </c>
      <c r="S17" s="676" t="str">
        <f t="shared" si="1"/>
        <v/>
      </c>
      <c r="T17" s="675" t="str">
        <f>IFERROR(INDEX(Üldreiting!$M:$M,MATCH(S17,Üldreiting!$H:$H,0)),"")</f>
        <v/>
      </c>
      <c r="U17" s="676" t="str">
        <f t="shared" si="2"/>
        <v/>
      </c>
      <c r="V17" s="675" t="str">
        <f>IFERROR(INDEX(Üldreiting!$M:$M,MATCH(U17,Üldreiting!$H:$H,0)),"")</f>
        <v/>
      </c>
      <c r="W17" s="676" t="str">
        <f t="shared" si="3"/>
        <v/>
      </c>
      <c r="X17" s="675" t="str">
        <f>IFERROR(INDEX(Üldreiting!$M:$M,MATCH(W17,Üldreiting!$H:$H,0)),"")</f>
        <v/>
      </c>
      <c r="Y17" s="674" t="str">
        <f t="shared" si="4"/>
        <v/>
      </c>
      <c r="Z17" s="675" t="str">
        <f>IFERROR(INDEX(Üldreiting!$M:$M,MATCH(Y17,Üldreiting!$H:$H,0)),"")</f>
        <v/>
      </c>
      <c r="AA17" s="676" t="str">
        <f t="shared" si="5"/>
        <v/>
      </c>
      <c r="AB17" s="675" t="str">
        <f>IFERROR(INDEX(Üldreiting!$M:$M,MATCH(AA17,Üldreiting!$H:$H,0)),"")</f>
        <v/>
      </c>
    </row>
    <row r="18" spans="1:28" x14ac:dyDescent="0.2">
      <c r="A18" s="371" t="s">
        <v>854</v>
      </c>
      <c r="B18" s="816"/>
      <c r="C18" s="416" t="s">
        <v>572</v>
      </c>
      <c r="D18" s="371" t="s">
        <v>367</v>
      </c>
      <c r="E18" s="371" t="s">
        <v>368</v>
      </c>
      <c r="F18" s="416" t="s">
        <v>369</v>
      </c>
      <c r="G18" s="416" t="s">
        <v>25</v>
      </c>
      <c r="R18" s="672">
        <f t="shared" si="0"/>
        <v>0</v>
      </c>
      <c r="S18" s="676" t="str">
        <f t="shared" si="1"/>
        <v/>
      </c>
      <c r="T18" s="675" t="str">
        <f>IFERROR(INDEX(Üldreiting!$M:$M,MATCH(S18,Üldreiting!$H:$H,0)),"")</f>
        <v/>
      </c>
      <c r="U18" s="676" t="str">
        <f t="shared" si="2"/>
        <v/>
      </c>
      <c r="V18" s="675" t="str">
        <f>IFERROR(INDEX(Üldreiting!$M:$M,MATCH(U18,Üldreiting!$H:$H,0)),"")</f>
        <v/>
      </c>
      <c r="W18" s="676" t="str">
        <f t="shared" si="3"/>
        <v/>
      </c>
      <c r="X18" s="675" t="str">
        <f>IFERROR(INDEX(Üldreiting!$M:$M,MATCH(W18,Üldreiting!$H:$H,0)),"")</f>
        <v/>
      </c>
      <c r="Y18" s="674" t="str">
        <f t="shared" si="4"/>
        <v/>
      </c>
      <c r="Z18" s="675" t="str">
        <f>IFERROR(INDEX(Üldreiting!$M:$M,MATCH(Y18,Üldreiting!$H:$H,0)),"")</f>
        <v/>
      </c>
      <c r="AA18" s="676" t="str">
        <f t="shared" si="5"/>
        <v/>
      </c>
      <c r="AB18" s="675" t="str">
        <f>IFERROR(INDEX(Üldreiting!$M:$M,MATCH(AA18,Üldreiting!$H:$H,0)),"")</f>
        <v/>
      </c>
    </row>
    <row r="19" spans="1:28" x14ac:dyDescent="0.2">
      <c r="A19" s="371">
        <v>1</v>
      </c>
      <c r="B19" s="258" t="s">
        <v>886</v>
      </c>
      <c r="C19" s="817">
        <v>13</v>
      </c>
      <c r="D19" s="817">
        <v>13</v>
      </c>
      <c r="E19" s="200"/>
      <c r="F19" s="660"/>
      <c r="G19" s="200" t="str">
        <f>IF(AND(COUNT(F19:F22)=2,F19=MAX(F19:F22),COUNT(C19:F19)=3),A18&amp;"2",IF(AND(COUNT(E19:E22)=2,ISNUMBER(E19),E19=MIN(E19:E22),D19="",F19=""),A18&amp;"4",IF(AND(COUNT(D19:D22)=2,D19=MAX(D19:D22),E19="",F19=""),A18&amp;"1",IF(COUNT(F19:F22)=2,A18&amp;"3",""))))</f>
        <v>C1</v>
      </c>
      <c r="R19" s="672">
        <f t="shared" ref="R19:R82" ca="1" si="6">SUM(T19:AB19)</f>
        <v>2161</v>
      </c>
      <c r="S19" s="676" t="str">
        <f t="shared" si="1"/>
        <v>Jaan Joonas</v>
      </c>
      <c r="T19" s="675">
        <f ca="1">IFERROR(INDEX(Üldreiting!$M:$M,MATCH(S19,Üldreiting!$H:$H,0)),"")</f>
        <v>612</v>
      </c>
      <c r="U19" s="676" t="str">
        <f t="shared" si="2"/>
        <v>Marek Kolk</v>
      </c>
      <c r="V19" s="675">
        <f ca="1">IFERROR(INDEX(Üldreiting!$M:$M,MATCH(U19,Üldreiting!$H:$H,0)),"")</f>
        <v>1081</v>
      </c>
      <c r="W19" s="676" t="str">
        <f t="shared" si="3"/>
        <v>Toomas Hoole</v>
      </c>
      <c r="X19" s="675">
        <f ca="1">IFERROR(INDEX(Üldreiting!$M:$M,MATCH(W19,Üldreiting!$H:$H,0)),"")</f>
        <v>468</v>
      </c>
      <c r="Y19" s="674" t="str">
        <f t="shared" si="4"/>
        <v/>
      </c>
      <c r="Z19" s="675" t="str">
        <f>IFERROR(INDEX(Üldreiting!$M:$M,MATCH(Y19,Üldreiting!$H:$H,0)),"")</f>
        <v/>
      </c>
      <c r="AA19" s="676" t="str">
        <f t="shared" si="5"/>
        <v/>
      </c>
      <c r="AB19" s="675" t="str">
        <f>IFERROR(INDEX(Üldreiting!$M:$M,MATCH(AA19,Üldreiting!$H:$H,0)),"")</f>
        <v/>
      </c>
    </row>
    <row r="20" spans="1:28" x14ac:dyDescent="0.2">
      <c r="A20" s="371">
        <v>2</v>
      </c>
      <c r="B20" s="208" t="s">
        <v>654</v>
      </c>
      <c r="C20" s="818">
        <v>9</v>
      </c>
      <c r="D20" s="817"/>
      <c r="E20" s="200">
        <f>IF(AND(B22="-",ISNUMBER(C20),C20&lt;C21),13,"")</f>
        <v>13</v>
      </c>
      <c r="F20" s="660">
        <v>13</v>
      </c>
      <c r="G20" s="200" t="str">
        <f>IF(AND(COUNT(F19:F22)=2,F20=MAX(F19:F22),COUNT(C20:F20)=3),A18&amp;"2",IF(AND(COUNT(E19:E22)=2,ISNUMBER(E20),E20=MIN(E19:E22),D20="",F20=""),A18&amp;"4",IF(AND(COUNT(D19:D22)=2,D20=MAX(D19:D22),E20="",F20=""),A18&amp;"1",IF(COUNT(F19:F22)=2,A18&amp;"3",""))))</f>
        <v>C2</v>
      </c>
      <c r="R20" s="672">
        <f t="shared" ca="1" si="6"/>
        <v>1908</v>
      </c>
      <c r="S20" s="676" t="str">
        <f t="shared" si="1"/>
        <v>Aimar Poom</v>
      </c>
      <c r="T20" s="675">
        <f ca="1">IFERROR(INDEX(Üldreiting!$M:$M,MATCH(S20,Üldreiting!$H:$H,0)),"")</f>
        <v>701</v>
      </c>
      <c r="U20" s="676" t="str">
        <f t="shared" si="2"/>
        <v>Kertu Palm</v>
      </c>
      <c r="V20" s="675">
        <f ca="1">IFERROR(INDEX(Üldreiting!$M:$M,MATCH(U20,Üldreiting!$H:$H,0)),"")</f>
        <v>627</v>
      </c>
      <c r="W20" s="676" t="str">
        <f t="shared" si="3"/>
        <v>Valmar Pantšenko</v>
      </c>
      <c r="X20" s="675">
        <f ca="1">IFERROR(INDEX(Üldreiting!$M:$M,MATCH(W20,Üldreiting!$H:$H,0)),"")</f>
        <v>580</v>
      </c>
      <c r="Y20" s="674" t="str">
        <f t="shared" si="4"/>
        <v/>
      </c>
      <c r="Z20" s="675" t="str">
        <f>IFERROR(INDEX(Üldreiting!$M:$M,MATCH(Y20,Üldreiting!$H:$H,0)),"")</f>
        <v/>
      </c>
      <c r="AA20" s="676" t="str">
        <f t="shared" si="5"/>
        <v/>
      </c>
      <c r="AB20" s="675" t="str">
        <f>IFERROR(INDEX(Üldreiting!$M:$M,MATCH(AA20,Üldreiting!$H:$H,0)),"")</f>
        <v/>
      </c>
    </row>
    <row r="21" spans="1:28" x14ac:dyDescent="0.2">
      <c r="A21" s="371">
        <v>3</v>
      </c>
      <c r="B21" s="208" t="s">
        <v>887</v>
      </c>
      <c r="C21" s="818">
        <v>10</v>
      </c>
      <c r="D21" s="200">
        <v>3</v>
      </c>
      <c r="E21" s="200" t="str">
        <f>IF(AND(B22="-",ISNUMBER(C21),C21&lt;C20),13,"")</f>
        <v/>
      </c>
      <c r="F21" s="660">
        <v>2</v>
      </c>
      <c r="G21" s="200" t="str">
        <f>IF(AND(COUNT(F19:F22)=2,F21=MAX(F19:F22),COUNT(C21:F21)=3),A18&amp;"2",IF(AND(COUNT(E19:E22)=2,ISNUMBER(E21),E21=MIN(E19:E22),D21="",F21=""),A18&amp;"4",IF(AND(COUNT(D19:D22)=2,D21=MAX(D19:D22),E21="",F21=""),A18&amp;"1",IF(COUNT(F19:F22)=2,A18&amp;"3",""))))</f>
        <v>C3</v>
      </c>
      <c r="R21" s="672">
        <f t="shared" ca="1" si="6"/>
        <v>168</v>
      </c>
      <c r="S21" s="676" t="str">
        <f t="shared" si="1"/>
        <v>Enn Laanemäe</v>
      </c>
      <c r="T21" s="675">
        <f ca="1">IFERROR(INDEX(Üldreiting!$M:$M,MATCH(S21,Üldreiting!$H:$H,0)),"")</f>
        <v>56</v>
      </c>
      <c r="U21" s="676" t="str">
        <f t="shared" si="2"/>
        <v>Margus Külaviir</v>
      </c>
      <c r="V21" s="675">
        <f ca="1">IFERROR(INDEX(Üldreiting!$M:$M,MATCH(U21,Üldreiting!$H:$H,0)),"")</f>
        <v>56</v>
      </c>
      <c r="W21" s="676" t="str">
        <f t="shared" si="3"/>
        <v>Ruti Loid</v>
      </c>
      <c r="X21" s="675">
        <f ca="1">IFERROR(INDEX(Üldreiting!$M:$M,MATCH(W21,Üldreiting!$H:$H,0)),"")</f>
        <v>56</v>
      </c>
      <c r="Y21" s="674" t="str">
        <f t="shared" si="4"/>
        <v/>
      </c>
      <c r="Z21" s="675" t="str">
        <f>IFERROR(INDEX(Üldreiting!$M:$M,MATCH(Y21,Üldreiting!$H:$H,0)),"")</f>
        <v/>
      </c>
      <c r="AA21" s="676" t="str">
        <f t="shared" si="5"/>
        <v/>
      </c>
      <c r="AB21" s="675" t="str">
        <f>IFERROR(INDEX(Üldreiting!$M:$M,MATCH(AA21,Üldreiting!$H:$H,0)),"")</f>
        <v/>
      </c>
    </row>
    <row r="22" spans="1:28" x14ac:dyDescent="0.2">
      <c r="A22" s="371">
        <v>4</v>
      </c>
      <c r="B22" s="207" t="s">
        <v>573</v>
      </c>
      <c r="C22" s="817">
        <f>IF(B22="-",0,"")</f>
        <v>0</v>
      </c>
      <c r="D22" s="817"/>
      <c r="E22" s="200">
        <f>IF(B22="-",0,"")</f>
        <v>0</v>
      </c>
      <c r="F22" s="660"/>
      <c r="G22" s="200" t="str">
        <f>IF(AND(COUNT(F19:F22)=2,F22=MAX(F19:F22),COUNT(C22:F22)=3),A18&amp;"2",IF(AND(COUNT(E19:E22)=2,ISNUMBER(E22),E22=MIN(E19:E22),D22="",F22=""),A18&amp;"4",IF(AND(COUNT(D19:D22)=2,D22=MAX(D19:D22),E22="",F22=""),A18&amp;"1",IF(COUNT(F19:F22)=2,A18&amp;"3",""))))</f>
        <v>C4</v>
      </c>
      <c r="R22" s="672">
        <f t="shared" si="6"/>
        <v>0</v>
      </c>
      <c r="S22" s="676" t="str">
        <f t="shared" si="1"/>
        <v/>
      </c>
      <c r="T22" s="675" t="str">
        <f>IFERROR(INDEX(Üldreiting!$M:$M,MATCH(S22,Üldreiting!$H:$H,0)),"")</f>
        <v/>
      </c>
      <c r="U22" s="676" t="str">
        <f t="shared" si="2"/>
        <v/>
      </c>
      <c r="V22" s="675" t="str">
        <f>IFERROR(INDEX(Üldreiting!$M:$M,MATCH(U22,Üldreiting!$H:$H,0)),"")</f>
        <v/>
      </c>
      <c r="W22" s="676" t="str">
        <f t="shared" si="3"/>
        <v/>
      </c>
      <c r="X22" s="675" t="str">
        <f>IFERROR(INDEX(Üldreiting!$M:$M,MATCH(W22,Üldreiting!$H:$H,0)),"")</f>
        <v/>
      </c>
      <c r="Y22" s="674" t="str">
        <f t="shared" si="4"/>
        <v/>
      </c>
      <c r="Z22" s="675" t="str">
        <f>IFERROR(INDEX(Üldreiting!$M:$M,MATCH(Y22,Üldreiting!$H:$H,0)),"")</f>
        <v/>
      </c>
      <c r="AA22" s="676" t="str">
        <f t="shared" si="5"/>
        <v/>
      </c>
      <c r="AB22" s="675" t="str">
        <f>IFERROR(INDEX(Üldreiting!$M:$M,MATCH(AA22,Üldreiting!$H:$H,0)),"")</f>
        <v/>
      </c>
    </row>
    <row r="23" spans="1:28" x14ac:dyDescent="0.2">
      <c r="A23" s="238"/>
      <c r="B23" s="238"/>
      <c r="C23" s="238"/>
      <c r="D23" s="238"/>
      <c r="E23" s="238"/>
      <c r="F23" s="238"/>
      <c r="G23" s="238"/>
      <c r="R23" s="672">
        <f t="shared" si="6"/>
        <v>0</v>
      </c>
      <c r="S23" s="676" t="str">
        <f t="shared" si="1"/>
        <v/>
      </c>
      <c r="T23" s="675" t="str">
        <f>IFERROR(INDEX(Üldreiting!$M:$M,MATCH(S23,Üldreiting!$H:$H,0)),"")</f>
        <v/>
      </c>
      <c r="U23" s="676" t="str">
        <f t="shared" si="2"/>
        <v/>
      </c>
      <c r="V23" s="675" t="str">
        <f>IFERROR(INDEX(Üldreiting!$M:$M,MATCH(U23,Üldreiting!$H:$H,0)),"")</f>
        <v/>
      </c>
      <c r="W23" s="676" t="str">
        <f t="shared" si="3"/>
        <v/>
      </c>
      <c r="X23" s="675" t="str">
        <f>IFERROR(INDEX(Üldreiting!$M:$M,MATCH(W23,Üldreiting!$H:$H,0)),"")</f>
        <v/>
      </c>
      <c r="Y23" s="674" t="str">
        <f t="shared" si="4"/>
        <v/>
      </c>
      <c r="Z23" s="675" t="str">
        <f>IFERROR(INDEX(Üldreiting!$M:$M,MATCH(Y23,Üldreiting!$H:$H,0)),"")</f>
        <v/>
      </c>
      <c r="AA23" s="676" t="str">
        <f t="shared" si="5"/>
        <v/>
      </c>
      <c r="AB23" s="675" t="str">
        <f>IFERROR(INDEX(Üldreiting!$M:$M,MATCH(AA23,Üldreiting!$H:$H,0)),"")</f>
        <v/>
      </c>
    </row>
    <row r="24" spans="1:28" x14ac:dyDescent="0.2">
      <c r="A24" s="371" t="s">
        <v>855</v>
      </c>
      <c r="B24" s="816"/>
      <c r="C24" s="416" t="s">
        <v>572</v>
      </c>
      <c r="D24" s="371" t="s">
        <v>367</v>
      </c>
      <c r="E24" s="371" t="s">
        <v>368</v>
      </c>
      <c r="F24" s="416" t="s">
        <v>369</v>
      </c>
      <c r="G24" s="416" t="s">
        <v>25</v>
      </c>
      <c r="R24" s="672">
        <f t="shared" si="6"/>
        <v>0</v>
      </c>
      <c r="S24" s="676" t="str">
        <f t="shared" si="1"/>
        <v/>
      </c>
      <c r="T24" s="675" t="str">
        <f>IFERROR(INDEX(Üldreiting!$M:$M,MATCH(S24,Üldreiting!$H:$H,0)),"")</f>
        <v/>
      </c>
      <c r="U24" s="676" t="str">
        <f t="shared" si="2"/>
        <v/>
      </c>
      <c r="V24" s="675" t="str">
        <f>IFERROR(INDEX(Üldreiting!$M:$M,MATCH(U24,Üldreiting!$H:$H,0)),"")</f>
        <v/>
      </c>
      <c r="W24" s="676" t="str">
        <f t="shared" si="3"/>
        <v/>
      </c>
      <c r="X24" s="675" t="str">
        <f>IFERROR(INDEX(Üldreiting!$M:$M,MATCH(W24,Üldreiting!$H:$H,0)),"")</f>
        <v/>
      </c>
      <c r="Y24" s="674" t="str">
        <f t="shared" si="4"/>
        <v/>
      </c>
      <c r="Z24" s="675" t="str">
        <f>IFERROR(INDEX(Üldreiting!$M:$M,MATCH(Y24,Üldreiting!$H:$H,0)),"")</f>
        <v/>
      </c>
      <c r="AA24" s="676" t="str">
        <f t="shared" si="5"/>
        <v/>
      </c>
      <c r="AB24" s="675" t="str">
        <f>IFERROR(INDEX(Üldreiting!$M:$M,MATCH(AA24,Üldreiting!$H:$H,0)),"")</f>
        <v/>
      </c>
    </row>
    <row r="25" spans="1:28" x14ac:dyDescent="0.2">
      <c r="A25" s="371">
        <v>1</v>
      </c>
      <c r="B25" s="258" t="s">
        <v>777</v>
      </c>
      <c r="C25" s="817">
        <v>13</v>
      </c>
      <c r="D25" s="817">
        <v>9</v>
      </c>
      <c r="E25" s="200"/>
      <c r="F25" s="660"/>
      <c r="G25" s="200" t="str">
        <f>IF(AND(COUNT(F25:F28)=2,F25=MAX(F25:F28),COUNT(C25:F25)=3),A24&amp;"2",IF(AND(COUNT(E25:E28)=2,ISNUMBER(E25),E25=MIN(E25:E28),D25="",F25=""),A24&amp;"4",IF(AND(COUNT(D25:D28)=2,D25=MAX(D25:D28),E25="",F25=""),A24&amp;"1",IF(COUNT(F25:F28)=2,A24&amp;"3",""))))</f>
        <v>D1</v>
      </c>
      <c r="R25" s="672">
        <f t="shared" ca="1" si="6"/>
        <v>2443</v>
      </c>
      <c r="S25" s="676" t="str">
        <f t="shared" si="1"/>
        <v>Aigi Orro</v>
      </c>
      <c r="T25" s="675">
        <f ca="1">IFERROR(INDEX(Üldreiting!$M:$M,MATCH(S25,Üldreiting!$H:$H,0)),"")</f>
        <v>918.5</v>
      </c>
      <c r="U25" s="676" t="str">
        <f t="shared" si="2"/>
        <v>Elmo Lageda</v>
      </c>
      <c r="V25" s="675">
        <f ca="1">IFERROR(INDEX(Üldreiting!$M:$M,MATCH(U25,Üldreiting!$H:$H,0)),"")</f>
        <v>606</v>
      </c>
      <c r="W25" s="676" t="str">
        <f t="shared" si="3"/>
        <v>Kalle Orro</v>
      </c>
      <c r="X25" s="675">
        <f ca="1">IFERROR(INDEX(Üldreiting!$M:$M,MATCH(W25,Üldreiting!$H:$H,0)),"")</f>
        <v>918.5</v>
      </c>
      <c r="Y25" s="674" t="str">
        <f t="shared" si="4"/>
        <v/>
      </c>
      <c r="Z25" s="675" t="str">
        <f>IFERROR(INDEX(Üldreiting!$M:$M,MATCH(Y25,Üldreiting!$H:$H,0)),"")</f>
        <v/>
      </c>
      <c r="AA25" s="676" t="str">
        <f t="shared" si="5"/>
        <v/>
      </c>
      <c r="AB25" s="675" t="str">
        <f>IFERROR(INDEX(Üldreiting!$M:$M,MATCH(AA25,Üldreiting!$H:$H,0)),"")</f>
        <v/>
      </c>
    </row>
    <row r="26" spans="1:28" x14ac:dyDescent="0.2">
      <c r="A26" s="371">
        <v>2</v>
      </c>
      <c r="B26" s="208" t="s">
        <v>888</v>
      </c>
      <c r="C26" s="818">
        <v>13</v>
      </c>
      <c r="D26" s="817">
        <v>8</v>
      </c>
      <c r="E26" s="200" t="str">
        <f>IF(AND(B28="-",ISNUMBER(C26),C26&lt;C27),13,"")</f>
        <v/>
      </c>
      <c r="F26" s="660">
        <v>8</v>
      </c>
      <c r="G26" s="200" t="str">
        <f>IF(AND(COUNT(F25:F28)=2,F26=MAX(F25:F28),COUNT(C26:F26)=3),A24&amp;"2",IF(AND(COUNT(E25:E28)=2,ISNUMBER(E26),E26=MIN(E25:E28),D26="",F26=""),A24&amp;"4",IF(AND(COUNT(D25:D28)=2,D26=MAX(D25:D28),E26="",F26=""),A24&amp;"1",IF(COUNT(F25:F28)=2,A24&amp;"3",""))))</f>
        <v>D2</v>
      </c>
      <c r="R26" s="672">
        <f t="shared" ca="1" si="6"/>
        <v>1642.5</v>
      </c>
      <c r="S26" s="676" t="str">
        <f t="shared" si="1"/>
        <v>Jaan Lüitsepp</v>
      </c>
      <c r="T26" s="675">
        <f ca="1">IFERROR(INDEX(Üldreiting!$M:$M,MATCH(S26,Üldreiting!$H:$H,0)),"")</f>
        <v>105</v>
      </c>
      <c r="U26" s="676" t="str">
        <f t="shared" si="2"/>
        <v>Svetlana Veski</v>
      </c>
      <c r="V26" s="675">
        <f ca="1">IFERROR(INDEX(Üldreiting!$M:$M,MATCH(U26,Üldreiting!$H:$H,0)),"")</f>
        <v>401.5</v>
      </c>
      <c r="W26" s="676" t="str">
        <f t="shared" si="3"/>
        <v>Urmo Auväärt</v>
      </c>
      <c r="X26" s="675">
        <f ca="1">IFERROR(INDEX(Üldreiting!$M:$M,MATCH(W26,Üldreiting!$H:$H,0)),"")</f>
        <v>1136</v>
      </c>
      <c r="Y26" s="674" t="str">
        <f t="shared" si="4"/>
        <v/>
      </c>
      <c r="Z26" s="675" t="str">
        <f>IFERROR(INDEX(Üldreiting!$M:$M,MATCH(Y26,Üldreiting!$H:$H,0)),"")</f>
        <v/>
      </c>
      <c r="AA26" s="676" t="str">
        <f t="shared" si="5"/>
        <v/>
      </c>
      <c r="AB26" s="675" t="str">
        <f>IFERROR(INDEX(Üldreiting!$M:$M,MATCH(AA26,Üldreiting!$H:$H,0)),"")</f>
        <v/>
      </c>
    </row>
    <row r="27" spans="1:28" x14ac:dyDescent="0.2">
      <c r="A27" s="371">
        <v>3</v>
      </c>
      <c r="B27" s="208" t="s">
        <v>889</v>
      </c>
      <c r="C27" s="818">
        <v>0</v>
      </c>
      <c r="D27" s="200"/>
      <c r="E27" s="200">
        <f>IF(AND(B28="-",ISNUMBER(C27),C27&lt;C26),13,"")</f>
        <v>13</v>
      </c>
      <c r="F27" s="660">
        <v>7</v>
      </c>
      <c r="G27" s="200" t="str">
        <f>IF(AND(COUNT(F25:F28)=2,F27=MAX(F25:F28),COUNT(C27:F27)=3),A24&amp;"2",IF(AND(COUNT(E25:E28)=2,ISNUMBER(E27),E27=MIN(E25:E28),D27="",F27=""),A24&amp;"4",IF(AND(COUNT(D25:D28)=2,D27=MAX(D25:D28),E27="",F27=""),A24&amp;"1",IF(COUNT(F25:F28)=2,A24&amp;"3",""))))</f>
        <v>D3</v>
      </c>
      <c r="R27" s="672">
        <f t="shared" ca="1" si="6"/>
        <v>302</v>
      </c>
      <c r="S27" s="676" t="str">
        <f t="shared" si="1"/>
        <v>Matti Vinni</v>
      </c>
      <c r="T27" s="675">
        <f ca="1">IFERROR(INDEX(Üldreiting!$M:$M,MATCH(S27,Üldreiting!$H:$H,0)),"")</f>
        <v>174</v>
      </c>
      <c r="U27" s="676" t="str">
        <f t="shared" si="2"/>
        <v>Tõnu Haga</v>
      </c>
      <c r="V27" s="675">
        <f ca="1">IFERROR(INDEX(Üldreiting!$M:$M,MATCH(U27,Üldreiting!$H:$H,0)),"")</f>
        <v>64</v>
      </c>
      <c r="W27" s="676" t="str">
        <f t="shared" si="3"/>
        <v>Vello Vasser</v>
      </c>
      <c r="X27" s="675">
        <f ca="1">IFERROR(INDEX(Üldreiting!$M:$M,MATCH(W27,Üldreiting!$H:$H,0)),"")</f>
        <v>64</v>
      </c>
      <c r="Y27" s="674" t="str">
        <f t="shared" si="4"/>
        <v/>
      </c>
      <c r="Z27" s="675" t="str">
        <f>IFERROR(INDEX(Üldreiting!$M:$M,MATCH(Y27,Üldreiting!$H:$H,0)),"")</f>
        <v/>
      </c>
      <c r="AA27" s="676" t="str">
        <f t="shared" si="5"/>
        <v/>
      </c>
      <c r="AB27" s="675" t="str">
        <f>IFERROR(INDEX(Üldreiting!$M:$M,MATCH(AA27,Üldreiting!$H:$H,0)),"")</f>
        <v/>
      </c>
    </row>
    <row r="28" spans="1:28" x14ac:dyDescent="0.2">
      <c r="A28" s="371">
        <v>4</v>
      </c>
      <c r="B28" s="207" t="s">
        <v>573</v>
      </c>
      <c r="C28" s="817">
        <f>IF(B28="-",0,"")</f>
        <v>0</v>
      </c>
      <c r="D28" s="817"/>
      <c r="E28" s="200">
        <f>IF(B28="-",0,"")</f>
        <v>0</v>
      </c>
      <c r="F28" s="660"/>
      <c r="G28" s="200" t="str">
        <f>IF(AND(COUNT(F25:F28)=2,F28=MAX(F25:F28),COUNT(C28:F28)=3),A24&amp;"2",IF(AND(COUNT(E25:E28)=2,ISNUMBER(E28),E28=MIN(E25:E28),D28="",F28=""),A24&amp;"4",IF(AND(COUNT(D25:D28)=2,D28=MAX(D25:D28),E28="",F28=""),A24&amp;"1",IF(COUNT(F25:F28)=2,A24&amp;"3",""))))</f>
        <v>D4</v>
      </c>
      <c r="R28" s="672">
        <f t="shared" si="6"/>
        <v>0</v>
      </c>
      <c r="S28" s="676" t="str">
        <f t="shared" si="1"/>
        <v/>
      </c>
      <c r="T28" s="675" t="str">
        <f>IFERROR(INDEX(Üldreiting!$M:$M,MATCH(S28,Üldreiting!$H:$H,0)),"")</f>
        <v/>
      </c>
      <c r="U28" s="676" t="str">
        <f t="shared" si="2"/>
        <v/>
      </c>
      <c r="V28" s="675" t="str">
        <f>IFERROR(INDEX(Üldreiting!$M:$M,MATCH(U28,Üldreiting!$H:$H,0)),"")</f>
        <v/>
      </c>
      <c r="W28" s="676" t="str">
        <f t="shared" si="3"/>
        <v/>
      </c>
      <c r="X28" s="675" t="str">
        <f>IFERROR(INDEX(Üldreiting!$M:$M,MATCH(W28,Üldreiting!$H:$H,0)),"")</f>
        <v/>
      </c>
      <c r="Y28" s="674" t="str">
        <f t="shared" si="4"/>
        <v/>
      </c>
      <c r="Z28" s="675" t="str">
        <f>IFERROR(INDEX(Üldreiting!$M:$M,MATCH(Y28,Üldreiting!$H:$H,0)),"")</f>
        <v/>
      </c>
      <c r="AA28" s="676" t="str">
        <f t="shared" si="5"/>
        <v/>
      </c>
      <c r="AB28" s="675" t="str">
        <f>IFERROR(INDEX(Üldreiting!$M:$M,MATCH(AA28,Üldreiting!$H:$H,0)),"")</f>
        <v/>
      </c>
    </row>
    <row r="29" spans="1:28" hidden="1" x14ac:dyDescent="0.2">
      <c r="R29" s="672">
        <f t="shared" si="6"/>
        <v>0</v>
      </c>
      <c r="S29" s="676" t="str">
        <f t="shared" si="1"/>
        <v/>
      </c>
      <c r="T29" s="675" t="str">
        <f>IFERROR(INDEX(Üldreiting!$M:$M,MATCH(S29,Üldreiting!$H:$H,0)),"")</f>
        <v/>
      </c>
      <c r="U29" s="676" t="str">
        <f t="shared" si="2"/>
        <v/>
      </c>
      <c r="V29" s="675" t="str">
        <f>IFERROR(INDEX(Üldreiting!$M:$M,MATCH(U29,Üldreiting!$H:$H,0)),"")</f>
        <v/>
      </c>
      <c r="W29" s="676" t="str">
        <f t="shared" si="3"/>
        <v/>
      </c>
      <c r="X29" s="675" t="str">
        <f>IFERROR(INDEX(Üldreiting!$M:$M,MATCH(W29,Üldreiting!$H:$H,0)),"")</f>
        <v/>
      </c>
      <c r="Y29" s="674" t="str">
        <f t="shared" si="4"/>
        <v/>
      </c>
      <c r="Z29" s="675" t="str">
        <f>IFERROR(INDEX(Üldreiting!$M:$M,MATCH(Y29,Üldreiting!$H:$H,0)),"")</f>
        <v/>
      </c>
      <c r="AA29" s="676" t="str">
        <f t="shared" si="5"/>
        <v/>
      </c>
      <c r="AB29" s="675" t="str">
        <f>IFERROR(INDEX(Üldreiting!$M:$M,MATCH(AA29,Üldreiting!$H:$H,0)),"")</f>
        <v/>
      </c>
    </row>
    <row r="30" spans="1:28" hidden="1" x14ac:dyDescent="0.2">
      <c r="A30" s="371" t="s">
        <v>856</v>
      </c>
      <c r="B30" s="816"/>
      <c r="C30" s="416" t="s">
        <v>572</v>
      </c>
      <c r="D30" s="371" t="s">
        <v>367</v>
      </c>
      <c r="E30" s="371" t="s">
        <v>368</v>
      </c>
      <c r="F30" s="416" t="s">
        <v>369</v>
      </c>
      <c r="G30" s="416" t="s">
        <v>25</v>
      </c>
      <c r="R30" s="672">
        <f t="shared" si="6"/>
        <v>0</v>
      </c>
      <c r="S30" s="676" t="str">
        <f t="shared" si="1"/>
        <v/>
      </c>
      <c r="T30" s="675" t="str">
        <f>IFERROR(INDEX(Üldreiting!$M:$M,MATCH(S30,Üldreiting!$H:$H,0)),"")</f>
        <v/>
      </c>
      <c r="U30" s="676" t="str">
        <f t="shared" si="2"/>
        <v/>
      </c>
      <c r="V30" s="675" t="str">
        <f>IFERROR(INDEX(Üldreiting!$M:$M,MATCH(U30,Üldreiting!$H:$H,0)),"")</f>
        <v/>
      </c>
      <c r="W30" s="676" t="str">
        <f t="shared" si="3"/>
        <v/>
      </c>
      <c r="X30" s="675" t="str">
        <f>IFERROR(INDEX(Üldreiting!$M:$M,MATCH(W30,Üldreiting!$H:$H,0)),"")</f>
        <v/>
      </c>
      <c r="Y30" s="674" t="str">
        <f t="shared" si="4"/>
        <v/>
      </c>
      <c r="Z30" s="675" t="str">
        <f>IFERROR(INDEX(Üldreiting!$M:$M,MATCH(Y30,Üldreiting!$H:$H,0)),"")</f>
        <v/>
      </c>
      <c r="AA30" s="676" t="str">
        <f t="shared" si="5"/>
        <v/>
      </c>
      <c r="AB30" s="675" t="str">
        <f>IFERROR(INDEX(Üldreiting!$M:$M,MATCH(AA30,Üldreiting!$H:$H,0)),"")</f>
        <v/>
      </c>
    </row>
    <row r="31" spans="1:28" hidden="1" x14ac:dyDescent="0.2">
      <c r="A31" s="371">
        <v>1</v>
      </c>
      <c r="B31" s="258"/>
      <c r="C31" s="817"/>
      <c r="D31" s="817"/>
      <c r="E31" s="200"/>
      <c r="F31" s="660"/>
      <c r="G31" s="200" t="str">
        <f>IF(AND(COUNT(F31:F34)=2,F31=MAX(F31:F34),COUNT(C31:F31)=3),A30&amp;"2",IF(AND(COUNT(E31:E34)=2,ISNUMBER(E31),E31=MIN(E31:E34),D31="",F31=""),A30&amp;"4",IF(AND(COUNT(D31:D34)=2,D31=MAX(D31:D34),E31="",F31=""),A30&amp;"1",IF(COUNT(F31:F34)=2,A30&amp;"3",""))))</f>
        <v/>
      </c>
      <c r="R31" s="672">
        <f t="shared" si="6"/>
        <v>0</v>
      </c>
      <c r="S31" s="676" t="str">
        <f t="shared" si="1"/>
        <v/>
      </c>
      <c r="T31" s="675" t="str">
        <f>IFERROR(INDEX(Üldreiting!$M:$M,MATCH(S31,Üldreiting!$H:$H,0)),"")</f>
        <v/>
      </c>
      <c r="U31" s="676" t="str">
        <f t="shared" si="2"/>
        <v/>
      </c>
      <c r="V31" s="675" t="str">
        <f>IFERROR(INDEX(Üldreiting!$M:$M,MATCH(U31,Üldreiting!$H:$H,0)),"")</f>
        <v/>
      </c>
      <c r="W31" s="676" t="str">
        <f t="shared" si="3"/>
        <v/>
      </c>
      <c r="X31" s="675" t="str">
        <f>IFERROR(INDEX(Üldreiting!$M:$M,MATCH(W31,Üldreiting!$H:$H,0)),"")</f>
        <v/>
      </c>
      <c r="Y31" s="674" t="str">
        <f t="shared" si="4"/>
        <v/>
      </c>
      <c r="Z31" s="675" t="str">
        <f>IFERROR(INDEX(Üldreiting!$M:$M,MATCH(Y31,Üldreiting!$H:$H,0)),"")</f>
        <v/>
      </c>
      <c r="AA31" s="676" t="str">
        <f t="shared" si="5"/>
        <v/>
      </c>
      <c r="AB31" s="675" t="str">
        <f>IFERROR(INDEX(Üldreiting!$M:$M,MATCH(AA31,Üldreiting!$H:$H,0)),"")</f>
        <v/>
      </c>
    </row>
    <row r="32" spans="1:28" hidden="1" x14ac:dyDescent="0.2">
      <c r="A32" s="371">
        <v>2</v>
      </c>
      <c r="B32" s="208"/>
      <c r="C32" s="818"/>
      <c r="D32" s="817"/>
      <c r="E32" s="200" t="str">
        <f>IF(AND(B34="-",ISNUMBER(C32),C32&lt;C33),13,"")</f>
        <v/>
      </c>
      <c r="F32" s="660"/>
      <c r="G32" s="200" t="str">
        <f>IF(AND(COUNT(F31:F34)=2,F32=MAX(F31:F34),COUNT(C32:F32)=3),A30&amp;"2",IF(AND(COUNT(E31:E34)=2,ISNUMBER(E32),E32=MIN(E31:E34),D32="",F32=""),A30&amp;"4",IF(AND(COUNT(D31:D34)=2,D32=MAX(D31:D34),E32="",F32=""),A30&amp;"1",IF(COUNT(F31:F34)=2,A30&amp;"3",""))))</f>
        <v/>
      </c>
      <c r="R32" s="672">
        <f t="shared" si="6"/>
        <v>0</v>
      </c>
      <c r="S32" s="676" t="str">
        <f t="shared" si="1"/>
        <v/>
      </c>
      <c r="T32" s="675" t="str">
        <f>IFERROR(INDEX(Üldreiting!$M:$M,MATCH(S32,Üldreiting!$H:$H,0)),"")</f>
        <v/>
      </c>
      <c r="U32" s="676" t="str">
        <f t="shared" si="2"/>
        <v/>
      </c>
      <c r="V32" s="675" t="str">
        <f>IFERROR(INDEX(Üldreiting!$M:$M,MATCH(U32,Üldreiting!$H:$H,0)),"")</f>
        <v/>
      </c>
      <c r="W32" s="676" t="str">
        <f t="shared" si="3"/>
        <v/>
      </c>
      <c r="X32" s="675" t="str">
        <f>IFERROR(INDEX(Üldreiting!$M:$M,MATCH(W32,Üldreiting!$H:$H,0)),"")</f>
        <v/>
      </c>
      <c r="Y32" s="674" t="str">
        <f t="shared" si="4"/>
        <v/>
      </c>
      <c r="Z32" s="675" t="str">
        <f>IFERROR(INDEX(Üldreiting!$M:$M,MATCH(Y32,Üldreiting!$H:$H,0)),"")</f>
        <v/>
      </c>
      <c r="AA32" s="676" t="str">
        <f t="shared" si="5"/>
        <v/>
      </c>
      <c r="AB32" s="675" t="str">
        <f>IFERROR(INDEX(Üldreiting!$M:$M,MATCH(AA32,Üldreiting!$H:$H,0)),"")</f>
        <v/>
      </c>
    </row>
    <row r="33" spans="1:28" hidden="1" x14ac:dyDescent="0.2">
      <c r="A33" s="371">
        <v>3</v>
      </c>
      <c r="B33" s="208"/>
      <c r="C33" s="818"/>
      <c r="D33" s="200"/>
      <c r="E33" s="200" t="str">
        <f>IF(AND(B34="-",ISNUMBER(C33),C33&lt;C32),13,"")</f>
        <v/>
      </c>
      <c r="F33" s="660"/>
      <c r="G33" s="200" t="str">
        <f>IF(AND(COUNT(F31:F34)=2,F33=MAX(F31:F34),COUNT(C33:F33)=3),A30&amp;"2",IF(AND(COUNT(E31:E34)=2,ISNUMBER(E33),E33=MIN(E31:E34),D33="",F33=""),A30&amp;"4",IF(AND(COUNT(D31:D34)=2,D33=MAX(D31:D34),E33="",F33=""),A30&amp;"1",IF(COUNT(F31:F34)=2,A30&amp;"3",""))))</f>
        <v/>
      </c>
      <c r="R33" s="672">
        <f t="shared" si="6"/>
        <v>0</v>
      </c>
      <c r="S33" s="676" t="str">
        <f t="shared" si="1"/>
        <v/>
      </c>
      <c r="T33" s="675" t="str">
        <f>IFERROR(INDEX(Üldreiting!$M:$M,MATCH(S33,Üldreiting!$H:$H,0)),"")</f>
        <v/>
      </c>
      <c r="U33" s="676" t="str">
        <f t="shared" si="2"/>
        <v/>
      </c>
      <c r="V33" s="675" t="str">
        <f>IFERROR(INDEX(Üldreiting!$M:$M,MATCH(U33,Üldreiting!$H:$H,0)),"")</f>
        <v/>
      </c>
      <c r="W33" s="676" t="str">
        <f t="shared" si="3"/>
        <v/>
      </c>
      <c r="X33" s="675" t="str">
        <f>IFERROR(INDEX(Üldreiting!$M:$M,MATCH(W33,Üldreiting!$H:$H,0)),"")</f>
        <v/>
      </c>
      <c r="Y33" s="674" t="str">
        <f t="shared" si="4"/>
        <v/>
      </c>
      <c r="Z33" s="675" t="str">
        <f>IFERROR(INDEX(Üldreiting!$M:$M,MATCH(Y33,Üldreiting!$H:$H,0)),"")</f>
        <v/>
      </c>
      <c r="AA33" s="676" t="str">
        <f t="shared" si="5"/>
        <v/>
      </c>
      <c r="AB33" s="675" t="str">
        <f>IFERROR(INDEX(Üldreiting!$M:$M,MATCH(AA33,Üldreiting!$H:$H,0)),"")</f>
        <v/>
      </c>
    </row>
    <row r="34" spans="1:28" hidden="1" x14ac:dyDescent="0.2">
      <c r="A34" s="371">
        <v>4</v>
      </c>
      <c r="B34" s="207"/>
      <c r="C34" s="817" t="str">
        <f>IF(B34="-",0,"")</f>
        <v/>
      </c>
      <c r="D34" s="817"/>
      <c r="E34" s="200" t="str">
        <f>IF(B34="-",0,"")</f>
        <v/>
      </c>
      <c r="F34" s="660"/>
      <c r="G34" s="200" t="str">
        <f>IF(AND(COUNT(F31:F34)=2,F34=MAX(F31:F34),COUNT(C34:F34)=3),A30&amp;"2",IF(AND(COUNT(E31:E34)=2,ISNUMBER(E34),E34=MIN(E31:E34),D34="",F34=""),A30&amp;"4",IF(AND(COUNT(D31:D34)=2,D34=MAX(D31:D34),E34="",F34=""),A30&amp;"1",IF(COUNT(F31:F34)=2,A30&amp;"3",""))))</f>
        <v/>
      </c>
      <c r="R34" s="672">
        <f t="shared" si="6"/>
        <v>0</v>
      </c>
      <c r="S34" s="676" t="str">
        <f t="shared" si="1"/>
        <v/>
      </c>
      <c r="T34" s="675" t="str">
        <f>IFERROR(INDEX(Üldreiting!$M:$M,MATCH(S34,Üldreiting!$H:$H,0)),"")</f>
        <v/>
      </c>
      <c r="U34" s="676" t="str">
        <f t="shared" si="2"/>
        <v/>
      </c>
      <c r="V34" s="675" t="str">
        <f>IFERROR(INDEX(Üldreiting!$M:$M,MATCH(U34,Üldreiting!$H:$H,0)),"")</f>
        <v/>
      </c>
      <c r="W34" s="676" t="str">
        <f t="shared" si="3"/>
        <v/>
      </c>
      <c r="X34" s="675" t="str">
        <f>IFERROR(INDEX(Üldreiting!$M:$M,MATCH(W34,Üldreiting!$H:$H,0)),"")</f>
        <v/>
      </c>
      <c r="Y34" s="674" t="str">
        <f t="shared" si="4"/>
        <v/>
      </c>
      <c r="Z34" s="675" t="str">
        <f>IFERROR(INDEX(Üldreiting!$M:$M,MATCH(Y34,Üldreiting!$H:$H,0)),"")</f>
        <v/>
      </c>
      <c r="AA34" s="676" t="str">
        <f t="shared" si="5"/>
        <v/>
      </c>
      <c r="AB34" s="675" t="str">
        <f>IFERROR(INDEX(Üldreiting!$M:$M,MATCH(AA34,Üldreiting!$H:$H,0)),"")</f>
        <v/>
      </c>
    </row>
    <row r="35" spans="1:28" hidden="1" x14ac:dyDescent="0.2">
      <c r="A35" s="69"/>
      <c r="B35" s="819"/>
      <c r="C35" s="69"/>
      <c r="D35" s="69"/>
      <c r="E35" s="69"/>
      <c r="F35" s="69"/>
      <c r="G35" s="819" t="s">
        <v>573</v>
      </c>
      <c r="R35" s="672">
        <f t="shared" si="6"/>
        <v>0</v>
      </c>
      <c r="S35" s="676" t="str">
        <f t="shared" si="1"/>
        <v/>
      </c>
      <c r="T35" s="675" t="str">
        <f>IFERROR(INDEX(Üldreiting!$M:$M,MATCH(S35,Üldreiting!$H:$H,0)),"")</f>
        <v/>
      </c>
      <c r="U35" s="676" t="str">
        <f t="shared" si="2"/>
        <v/>
      </c>
      <c r="V35" s="675" t="str">
        <f>IFERROR(INDEX(Üldreiting!$M:$M,MATCH(U35,Üldreiting!$H:$H,0)),"")</f>
        <v/>
      </c>
      <c r="W35" s="676" t="str">
        <f t="shared" si="3"/>
        <v/>
      </c>
      <c r="X35" s="675" t="str">
        <f>IFERROR(INDEX(Üldreiting!$M:$M,MATCH(W35,Üldreiting!$H:$H,0)),"")</f>
        <v/>
      </c>
      <c r="Y35" s="674" t="str">
        <f t="shared" si="4"/>
        <v/>
      </c>
      <c r="Z35" s="675" t="str">
        <f>IFERROR(INDEX(Üldreiting!$M:$M,MATCH(Y35,Üldreiting!$H:$H,0)),"")</f>
        <v/>
      </c>
      <c r="AA35" s="676" t="str">
        <f t="shared" si="5"/>
        <v/>
      </c>
      <c r="AB35" s="675" t="str">
        <f>IFERROR(INDEX(Üldreiting!$M:$M,MATCH(AA35,Üldreiting!$H:$H,0)),"")</f>
        <v/>
      </c>
    </row>
    <row r="36" spans="1:28" hidden="1" x14ac:dyDescent="0.2">
      <c r="A36" s="371" t="s">
        <v>857</v>
      </c>
      <c r="B36" s="816"/>
      <c r="C36" s="416" t="s">
        <v>572</v>
      </c>
      <c r="D36" s="371" t="s">
        <v>367</v>
      </c>
      <c r="E36" s="371" t="s">
        <v>368</v>
      </c>
      <c r="F36" s="416" t="s">
        <v>369</v>
      </c>
      <c r="G36" s="416" t="s">
        <v>25</v>
      </c>
      <c r="R36" s="672">
        <f t="shared" si="6"/>
        <v>0</v>
      </c>
      <c r="S36" s="676" t="str">
        <f t="shared" si="1"/>
        <v/>
      </c>
      <c r="T36" s="675" t="str">
        <f>IFERROR(INDEX(Üldreiting!$M:$M,MATCH(S36,Üldreiting!$H:$H,0)),"")</f>
        <v/>
      </c>
      <c r="U36" s="676" t="str">
        <f t="shared" si="2"/>
        <v/>
      </c>
      <c r="V36" s="675" t="str">
        <f>IFERROR(INDEX(Üldreiting!$M:$M,MATCH(U36,Üldreiting!$H:$H,0)),"")</f>
        <v/>
      </c>
      <c r="W36" s="676" t="str">
        <f t="shared" si="3"/>
        <v/>
      </c>
      <c r="X36" s="675" t="str">
        <f>IFERROR(INDEX(Üldreiting!$M:$M,MATCH(W36,Üldreiting!$H:$H,0)),"")</f>
        <v/>
      </c>
      <c r="Y36" s="674" t="str">
        <f t="shared" si="4"/>
        <v/>
      </c>
      <c r="Z36" s="675" t="str">
        <f>IFERROR(INDEX(Üldreiting!$M:$M,MATCH(Y36,Üldreiting!$H:$H,0)),"")</f>
        <v/>
      </c>
      <c r="AA36" s="676" t="str">
        <f t="shared" si="5"/>
        <v/>
      </c>
      <c r="AB36" s="675" t="str">
        <f>IFERROR(INDEX(Üldreiting!$M:$M,MATCH(AA36,Üldreiting!$H:$H,0)),"")</f>
        <v/>
      </c>
    </row>
    <row r="37" spans="1:28" hidden="1" x14ac:dyDescent="0.2">
      <c r="A37" s="371">
        <v>1</v>
      </c>
      <c r="B37" s="258"/>
      <c r="C37" s="817"/>
      <c r="D37" s="817"/>
      <c r="E37" s="200"/>
      <c r="F37" s="660"/>
      <c r="G37" s="200" t="str">
        <f>IF(AND(COUNT(F37:F40)=2,F37=MAX(F37:F40),COUNT(C37:F37)=3),A36&amp;"2",IF(AND(COUNT(E37:E40)=2,ISNUMBER(E37),E37=MIN(E37:E40),D37="",F37=""),A36&amp;"4",IF(AND(COUNT(D37:D40)=2,D37=MAX(D37:D40),E37="",F37=""),A36&amp;"1",IF(COUNT(F37:F40)=2,A36&amp;"3",""))))</f>
        <v/>
      </c>
      <c r="R37" s="672">
        <f t="shared" si="6"/>
        <v>0</v>
      </c>
      <c r="S37" s="676" t="str">
        <f t="shared" si="1"/>
        <v/>
      </c>
      <c r="T37" s="675" t="str">
        <f>IFERROR(INDEX(Üldreiting!$M:$M,MATCH(S37,Üldreiting!$H:$H,0)),"")</f>
        <v/>
      </c>
      <c r="U37" s="676" t="str">
        <f t="shared" si="2"/>
        <v/>
      </c>
      <c r="V37" s="675" t="str">
        <f>IFERROR(INDEX(Üldreiting!$M:$M,MATCH(U37,Üldreiting!$H:$H,0)),"")</f>
        <v/>
      </c>
      <c r="W37" s="676" t="str">
        <f t="shared" si="3"/>
        <v/>
      </c>
      <c r="X37" s="675" t="str">
        <f>IFERROR(INDEX(Üldreiting!$M:$M,MATCH(W37,Üldreiting!$H:$H,0)),"")</f>
        <v/>
      </c>
      <c r="Y37" s="674" t="str">
        <f t="shared" si="4"/>
        <v/>
      </c>
      <c r="Z37" s="675" t="str">
        <f>IFERROR(INDEX(Üldreiting!$M:$M,MATCH(Y37,Üldreiting!$H:$H,0)),"")</f>
        <v/>
      </c>
      <c r="AA37" s="676" t="str">
        <f t="shared" si="5"/>
        <v/>
      </c>
      <c r="AB37" s="675" t="str">
        <f>IFERROR(INDEX(Üldreiting!$M:$M,MATCH(AA37,Üldreiting!$H:$H,0)),"")</f>
        <v/>
      </c>
    </row>
    <row r="38" spans="1:28" hidden="1" x14ac:dyDescent="0.2">
      <c r="A38" s="371">
        <v>2</v>
      </c>
      <c r="B38" s="208"/>
      <c r="C38" s="818"/>
      <c r="D38" s="817"/>
      <c r="E38" s="200" t="str">
        <f>IF(AND(B40="-",ISNUMBER(C38),C38&lt;C39),13,"")</f>
        <v/>
      </c>
      <c r="F38" s="660"/>
      <c r="G38" s="200" t="str">
        <f>IF(AND(COUNT(F37:F40)=2,F38=MAX(F37:F40),COUNT(C38:F38)=3),A36&amp;"2",IF(AND(COUNT(E37:E40)=2,ISNUMBER(E38),E38=MIN(E37:E40),D38="",F38=""),A36&amp;"4",IF(AND(COUNT(D37:D40)=2,D38=MAX(D37:D40),E38="",F38=""),A36&amp;"1",IF(COUNT(F37:F40)=2,A36&amp;"3",""))))</f>
        <v/>
      </c>
      <c r="R38" s="672">
        <f t="shared" si="6"/>
        <v>0</v>
      </c>
      <c r="S38" s="676" t="str">
        <f t="shared" si="1"/>
        <v/>
      </c>
      <c r="T38" s="675" t="str">
        <f>IFERROR(INDEX(Üldreiting!$M:$M,MATCH(S38,Üldreiting!$H:$H,0)),"")</f>
        <v/>
      </c>
      <c r="U38" s="676" t="str">
        <f t="shared" si="2"/>
        <v/>
      </c>
      <c r="V38" s="675" t="str">
        <f>IFERROR(INDEX(Üldreiting!$M:$M,MATCH(U38,Üldreiting!$H:$H,0)),"")</f>
        <v/>
      </c>
      <c r="W38" s="676" t="str">
        <f t="shared" si="3"/>
        <v/>
      </c>
      <c r="X38" s="675" t="str">
        <f>IFERROR(INDEX(Üldreiting!$M:$M,MATCH(W38,Üldreiting!$H:$H,0)),"")</f>
        <v/>
      </c>
      <c r="Y38" s="674" t="str">
        <f t="shared" si="4"/>
        <v/>
      </c>
      <c r="Z38" s="675" t="str">
        <f>IFERROR(INDEX(Üldreiting!$M:$M,MATCH(Y38,Üldreiting!$H:$H,0)),"")</f>
        <v/>
      </c>
      <c r="AA38" s="676" t="str">
        <f t="shared" si="5"/>
        <v/>
      </c>
      <c r="AB38" s="675" t="str">
        <f>IFERROR(INDEX(Üldreiting!$M:$M,MATCH(AA38,Üldreiting!$H:$H,0)),"")</f>
        <v/>
      </c>
    </row>
    <row r="39" spans="1:28" hidden="1" x14ac:dyDescent="0.2">
      <c r="A39" s="371">
        <v>3</v>
      </c>
      <c r="B39" s="208"/>
      <c r="C39" s="818"/>
      <c r="D39" s="200"/>
      <c r="E39" s="200" t="str">
        <f>IF(AND(B40="-",ISNUMBER(C39),C39&lt;C38),13,"")</f>
        <v/>
      </c>
      <c r="F39" s="660"/>
      <c r="G39" s="200" t="str">
        <f>IF(AND(COUNT(F37:F40)=2,F39=MAX(F37:F40),COUNT(C39:F39)=3),A36&amp;"2",IF(AND(COUNT(E37:E40)=2,ISNUMBER(E39),E39=MIN(E37:E40),D39="",F39=""),A36&amp;"4",IF(AND(COUNT(D37:D40)=2,D39=MAX(D37:D40),E39="",F39=""),A36&amp;"1",IF(COUNT(F37:F40)=2,A36&amp;"3",""))))</f>
        <v/>
      </c>
      <c r="R39" s="672">
        <f t="shared" si="6"/>
        <v>0</v>
      </c>
      <c r="S39" s="676" t="str">
        <f t="shared" si="1"/>
        <v/>
      </c>
      <c r="T39" s="675" t="str">
        <f>IFERROR(INDEX(Üldreiting!$M:$M,MATCH(S39,Üldreiting!$H:$H,0)),"")</f>
        <v/>
      </c>
      <c r="U39" s="676" t="str">
        <f t="shared" si="2"/>
        <v/>
      </c>
      <c r="V39" s="675" t="str">
        <f>IFERROR(INDEX(Üldreiting!$M:$M,MATCH(U39,Üldreiting!$H:$H,0)),"")</f>
        <v/>
      </c>
      <c r="W39" s="676" t="str">
        <f t="shared" si="3"/>
        <v/>
      </c>
      <c r="X39" s="675" t="str">
        <f>IFERROR(INDEX(Üldreiting!$M:$M,MATCH(W39,Üldreiting!$H:$H,0)),"")</f>
        <v/>
      </c>
      <c r="Y39" s="674" t="str">
        <f t="shared" si="4"/>
        <v/>
      </c>
      <c r="Z39" s="675" t="str">
        <f>IFERROR(INDEX(Üldreiting!$M:$M,MATCH(Y39,Üldreiting!$H:$H,0)),"")</f>
        <v/>
      </c>
      <c r="AA39" s="676" t="str">
        <f t="shared" si="5"/>
        <v/>
      </c>
      <c r="AB39" s="675" t="str">
        <f>IFERROR(INDEX(Üldreiting!$M:$M,MATCH(AA39,Üldreiting!$H:$H,0)),"")</f>
        <v/>
      </c>
    </row>
    <row r="40" spans="1:28" hidden="1" x14ac:dyDescent="0.2">
      <c r="A40" s="371">
        <v>4</v>
      </c>
      <c r="B40" s="207"/>
      <c r="C40" s="817" t="str">
        <f>IF(B40="-",0,"")</f>
        <v/>
      </c>
      <c r="D40" s="817"/>
      <c r="E40" s="200" t="str">
        <f>IF(B40="-",0,"")</f>
        <v/>
      </c>
      <c r="F40" s="660"/>
      <c r="G40" s="200" t="str">
        <f>IF(AND(COUNT(F37:F40)=2,F40=MAX(F37:F40),COUNT(C40:F40)=3),A36&amp;"2",IF(AND(COUNT(E37:E40)=2,ISNUMBER(E40),E40=MIN(E37:E40),D40="",F40=""),A36&amp;"4",IF(AND(COUNT(D37:D40)=2,D40=MAX(D37:D40),E40="",F40=""),A36&amp;"1",IF(COUNT(F37:F40)=2,A36&amp;"3",""))))</f>
        <v/>
      </c>
      <c r="R40" s="672">
        <f t="shared" si="6"/>
        <v>0</v>
      </c>
      <c r="S40" s="676" t="str">
        <f t="shared" si="1"/>
        <v/>
      </c>
      <c r="T40" s="675" t="str">
        <f>IFERROR(INDEX(Üldreiting!$M:$M,MATCH(S40,Üldreiting!$H:$H,0)),"")</f>
        <v/>
      </c>
      <c r="U40" s="676" t="str">
        <f t="shared" si="2"/>
        <v/>
      </c>
      <c r="V40" s="675" t="str">
        <f>IFERROR(INDEX(Üldreiting!$M:$M,MATCH(U40,Üldreiting!$H:$H,0)),"")</f>
        <v/>
      </c>
      <c r="W40" s="676" t="str">
        <f t="shared" si="3"/>
        <v/>
      </c>
      <c r="X40" s="675" t="str">
        <f>IFERROR(INDEX(Üldreiting!$M:$M,MATCH(W40,Üldreiting!$H:$H,0)),"")</f>
        <v/>
      </c>
      <c r="Y40" s="674" t="str">
        <f t="shared" si="4"/>
        <v/>
      </c>
      <c r="Z40" s="675" t="str">
        <f>IFERROR(INDEX(Üldreiting!$M:$M,MATCH(Y40,Üldreiting!$H:$H,0)),"")</f>
        <v/>
      </c>
      <c r="AA40" s="676" t="str">
        <f t="shared" si="5"/>
        <v/>
      </c>
      <c r="AB40" s="675" t="str">
        <f>IFERROR(INDEX(Üldreiting!$M:$M,MATCH(AA40,Üldreiting!$H:$H,0)),"")</f>
        <v/>
      </c>
    </row>
    <row r="41" spans="1:28" hidden="1" x14ac:dyDescent="0.2">
      <c r="A41" s="69"/>
      <c r="B41" s="69"/>
      <c r="C41" s="69"/>
      <c r="D41" s="69"/>
      <c r="E41" s="69"/>
      <c r="F41" s="69"/>
      <c r="G41" s="69"/>
      <c r="R41" s="672">
        <f t="shared" si="6"/>
        <v>0</v>
      </c>
      <c r="S41" s="676" t="str">
        <f t="shared" si="1"/>
        <v/>
      </c>
      <c r="T41" s="675" t="str">
        <f>IFERROR(INDEX(Üldreiting!$M:$M,MATCH(S41,Üldreiting!$H:$H,0)),"")</f>
        <v/>
      </c>
      <c r="U41" s="676" t="str">
        <f t="shared" si="2"/>
        <v/>
      </c>
      <c r="V41" s="675" t="str">
        <f>IFERROR(INDEX(Üldreiting!$M:$M,MATCH(U41,Üldreiting!$H:$H,0)),"")</f>
        <v/>
      </c>
      <c r="W41" s="676" t="str">
        <f t="shared" si="3"/>
        <v/>
      </c>
      <c r="X41" s="675" t="str">
        <f>IFERROR(INDEX(Üldreiting!$M:$M,MATCH(W41,Üldreiting!$H:$H,0)),"")</f>
        <v/>
      </c>
      <c r="Y41" s="674" t="str">
        <f t="shared" si="4"/>
        <v/>
      </c>
      <c r="Z41" s="675" t="str">
        <f>IFERROR(INDEX(Üldreiting!$M:$M,MATCH(Y41,Üldreiting!$H:$H,0)),"")</f>
        <v/>
      </c>
      <c r="AA41" s="676" t="str">
        <f t="shared" si="5"/>
        <v/>
      </c>
      <c r="AB41" s="675" t="str">
        <f>IFERROR(INDEX(Üldreiting!$M:$M,MATCH(AA41,Üldreiting!$H:$H,0)),"")</f>
        <v/>
      </c>
    </row>
    <row r="42" spans="1:28" hidden="1" x14ac:dyDescent="0.2">
      <c r="A42" s="371" t="s">
        <v>858</v>
      </c>
      <c r="B42" s="816"/>
      <c r="C42" s="416" t="s">
        <v>572</v>
      </c>
      <c r="D42" s="371" t="s">
        <v>367</v>
      </c>
      <c r="E42" s="371" t="s">
        <v>368</v>
      </c>
      <c r="F42" s="416" t="s">
        <v>369</v>
      </c>
      <c r="G42" s="416" t="s">
        <v>25</v>
      </c>
      <c r="R42" s="672">
        <f t="shared" si="6"/>
        <v>0</v>
      </c>
      <c r="S42" s="676" t="str">
        <f t="shared" si="1"/>
        <v/>
      </c>
      <c r="T42" s="675" t="str">
        <f>IFERROR(INDEX(Üldreiting!$M:$M,MATCH(S42,Üldreiting!$H:$H,0)),"")</f>
        <v/>
      </c>
      <c r="U42" s="676" t="str">
        <f t="shared" si="2"/>
        <v/>
      </c>
      <c r="V42" s="675" t="str">
        <f>IFERROR(INDEX(Üldreiting!$M:$M,MATCH(U42,Üldreiting!$H:$H,0)),"")</f>
        <v/>
      </c>
      <c r="W42" s="676" t="str">
        <f t="shared" si="3"/>
        <v/>
      </c>
      <c r="X42" s="675" t="str">
        <f>IFERROR(INDEX(Üldreiting!$M:$M,MATCH(W42,Üldreiting!$H:$H,0)),"")</f>
        <v/>
      </c>
      <c r="Y42" s="674" t="str">
        <f t="shared" si="4"/>
        <v/>
      </c>
      <c r="Z42" s="675" t="str">
        <f>IFERROR(INDEX(Üldreiting!$M:$M,MATCH(Y42,Üldreiting!$H:$H,0)),"")</f>
        <v/>
      </c>
      <c r="AA42" s="676" t="str">
        <f t="shared" si="5"/>
        <v/>
      </c>
      <c r="AB42" s="675" t="str">
        <f>IFERROR(INDEX(Üldreiting!$M:$M,MATCH(AA42,Üldreiting!$H:$H,0)),"")</f>
        <v/>
      </c>
    </row>
    <row r="43" spans="1:28" hidden="1" x14ac:dyDescent="0.2">
      <c r="A43" s="371">
        <v>1</v>
      </c>
      <c r="B43" s="258"/>
      <c r="C43" s="817"/>
      <c r="D43" s="817"/>
      <c r="E43" s="200"/>
      <c r="F43" s="660"/>
      <c r="G43" s="200" t="str">
        <f>IF(AND(COUNT(F43:F46)=2,F43=MAX(F43:F46),COUNT(C43:F43)=3),A42&amp;"2",IF(AND(COUNT(E43:E46)=2,ISNUMBER(E43),E43=MIN(E43:E46),D43="",F43=""),A42&amp;"4",IF(AND(COUNT(D43:D46)=2,D43=MAX(D43:D46),E43="",F43=""),A42&amp;"1",IF(COUNT(F43:F46)=2,A42&amp;"3",""))))</f>
        <v/>
      </c>
      <c r="R43" s="672">
        <f t="shared" si="6"/>
        <v>0</v>
      </c>
      <c r="S43" s="676" t="str">
        <f t="shared" si="1"/>
        <v/>
      </c>
      <c r="T43" s="675" t="str">
        <f>IFERROR(INDEX(Üldreiting!$M:$M,MATCH(S43,Üldreiting!$H:$H,0)),"")</f>
        <v/>
      </c>
      <c r="U43" s="676" t="str">
        <f t="shared" si="2"/>
        <v/>
      </c>
      <c r="V43" s="675" t="str">
        <f>IFERROR(INDEX(Üldreiting!$M:$M,MATCH(U43,Üldreiting!$H:$H,0)),"")</f>
        <v/>
      </c>
      <c r="W43" s="676" t="str">
        <f t="shared" si="3"/>
        <v/>
      </c>
      <c r="X43" s="675" t="str">
        <f>IFERROR(INDEX(Üldreiting!$M:$M,MATCH(W43,Üldreiting!$H:$H,0)),"")</f>
        <v/>
      </c>
      <c r="Y43" s="674" t="str">
        <f t="shared" si="4"/>
        <v/>
      </c>
      <c r="Z43" s="675" t="str">
        <f>IFERROR(INDEX(Üldreiting!$M:$M,MATCH(Y43,Üldreiting!$H:$H,0)),"")</f>
        <v/>
      </c>
      <c r="AA43" s="676" t="str">
        <f t="shared" si="5"/>
        <v/>
      </c>
      <c r="AB43" s="675" t="str">
        <f>IFERROR(INDEX(Üldreiting!$M:$M,MATCH(AA43,Üldreiting!$H:$H,0)),"")</f>
        <v/>
      </c>
    </row>
    <row r="44" spans="1:28" hidden="1" x14ac:dyDescent="0.2">
      <c r="A44" s="371">
        <v>2</v>
      </c>
      <c r="B44" s="208"/>
      <c r="C44" s="818"/>
      <c r="D44" s="817"/>
      <c r="E44" s="200" t="str">
        <f>IF(AND(B46="-",ISNUMBER(C44),C44&lt;C45),13,"")</f>
        <v/>
      </c>
      <c r="F44" s="660"/>
      <c r="G44" s="200" t="str">
        <f>IF(AND(COUNT(F43:F46)=2,F44=MAX(F43:F46),COUNT(C44:F44)=3),A42&amp;"2",IF(AND(COUNT(E43:E46)=2,ISNUMBER(E44),E44=MIN(E43:E46),D44="",F44=""),A42&amp;"4",IF(AND(COUNT(D43:D46)=2,D44=MAX(D43:D46),E44="",F44=""),A42&amp;"1",IF(COUNT(F43:F46)=2,A42&amp;"3",""))))</f>
        <v/>
      </c>
      <c r="R44" s="672">
        <f t="shared" si="6"/>
        <v>0</v>
      </c>
      <c r="S44" s="676" t="str">
        <f t="shared" si="1"/>
        <v/>
      </c>
      <c r="T44" s="675" t="str">
        <f>IFERROR(INDEX(Üldreiting!$M:$M,MATCH(S44,Üldreiting!$H:$H,0)),"")</f>
        <v/>
      </c>
      <c r="U44" s="676" t="str">
        <f t="shared" si="2"/>
        <v/>
      </c>
      <c r="V44" s="675" t="str">
        <f>IFERROR(INDEX(Üldreiting!$M:$M,MATCH(U44,Üldreiting!$H:$H,0)),"")</f>
        <v/>
      </c>
      <c r="W44" s="676" t="str">
        <f t="shared" si="3"/>
        <v/>
      </c>
      <c r="X44" s="675" t="str">
        <f>IFERROR(INDEX(Üldreiting!$M:$M,MATCH(W44,Üldreiting!$H:$H,0)),"")</f>
        <v/>
      </c>
      <c r="Y44" s="674" t="str">
        <f t="shared" si="4"/>
        <v/>
      </c>
      <c r="Z44" s="675" t="str">
        <f>IFERROR(INDEX(Üldreiting!$M:$M,MATCH(Y44,Üldreiting!$H:$H,0)),"")</f>
        <v/>
      </c>
      <c r="AA44" s="676" t="str">
        <f t="shared" si="5"/>
        <v/>
      </c>
      <c r="AB44" s="675" t="str">
        <f>IFERROR(INDEX(Üldreiting!$M:$M,MATCH(AA44,Üldreiting!$H:$H,0)),"")</f>
        <v/>
      </c>
    </row>
    <row r="45" spans="1:28" hidden="1" x14ac:dyDescent="0.2">
      <c r="A45" s="371">
        <v>3</v>
      </c>
      <c r="B45" s="208"/>
      <c r="C45" s="818"/>
      <c r="D45" s="200"/>
      <c r="E45" s="200" t="str">
        <f>IF(AND(B46="-",ISNUMBER(C45),C45&lt;C44),13,"")</f>
        <v/>
      </c>
      <c r="F45" s="660"/>
      <c r="G45" s="200" t="str">
        <f>IF(AND(COUNT(F43:F46)=2,F45=MAX(F43:F46),COUNT(C45:F45)=3),A42&amp;"2",IF(AND(COUNT(E43:E46)=2,ISNUMBER(E45),E45=MIN(E43:E46),D45="",F45=""),A42&amp;"4",IF(AND(COUNT(D43:D46)=2,D45=MAX(D43:D46),E45="",F45=""),A42&amp;"1",IF(COUNT(F43:F46)=2,A42&amp;"3",""))))</f>
        <v/>
      </c>
      <c r="R45" s="672">
        <f t="shared" si="6"/>
        <v>0</v>
      </c>
      <c r="S45" s="676" t="str">
        <f t="shared" si="1"/>
        <v/>
      </c>
      <c r="T45" s="675" t="str">
        <f>IFERROR(INDEX(Üldreiting!$M:$M,MATCH(S45,Üldreiting!$H:$H,0)),"")</f>
        <v/>
      </c>
      <c r="U45" s="676" t="str">
        <f t="shared" si="2"/>
        <v/>
      </c>
      <c r="V45" s="675" t="str">
        <f>IFERROR(INDEX(Üldreiting!$M:$M,MATCH(U45,Üldreiting!$H:$H,0)),"")</f>
        <v/>
      </c>
      <c r="W45" s="676" t="str">
        <f t="shared" si="3"/>
        <v/>
      </c>
      <c r="X45" s="675" t="str">
        <f>IFERROR(INDEX(Üldreiting!$M:$M,MATCH(W45,Üldreiting!$H:$H,0)),"")</f>
        <v/>
      </c>
      <c r="Y45" s="674" t="str">
        <f t="shared" si="4"/>
        <v/>
      </c>
      <c r="Z45" s="675" t="str">
        <f>IFERROR(INDEX(Üldreiting!$M:$M,MATCH(Y45,Üldreiting!$H:$H,0)),"")</f>
        <v/>
      </c>
      <c r="AA45" s="676" t="str">
        <f t="shared" si="5"/>
        <v/>
      </c>
      <c r="AB45" s="675" t="str">
        <f>IFERROR(INDEX(Üldreiting!$M:$M,MATCH(AA45,Üldreiting!$H:$H,0)),"")</f>
        <v/>
      </c>
    </row>
    <row r="46" spans="1:28" hidden="1" x14ac:dyDescent="0.2">
      <c r="A46" s="371">
        <v>4</v>
      </c>
      <c r="B46" s="207"/>
      <c r="C46" s="817" t="str">
        <f>IF(B46="-",0,"")</f>
        <v/>
      </c>
      <c r="D46" s="817"/>
      <c r="E46" s="200" t="str">
        <f>IF(B46="-",0,"")</f>
        <v/>
      </c>
      <c r="F46" s="660"/>
      <c r="G46" s="200" t="str">
        <f>IF(AND(COUNT(F43:F46)=2,F46=MAX(F43:F46),COUNT(C46:F46)=3),A42&amp;"2",IF(AND(COUNT(E43:E46)=2,ISNUMBER(E46),E46=MIN(E43:E46),D46="",F46=""),A42&amp;"4",IF(AND(COUNT(D43:D46)=2,D46=MAX(D43:D46),E46="",F46=""),A42&amp;"1",IF(COUNT(F43:F46)=2,A42&amp;"3",""))))</f>
        <v/>
      </c>
      <c r="R46" s="672">
        <f t="shared" si="6"/>
        <v>0</v>
      </c>
      <c r="S46" s="676" t="str">
        <f t="shared" si="1"/>
        <v/>
      </c>
      <c r="T46" s="675" t="str">
        <f>IFERROR(INDEX(Üldreiting!$M:$M,MATCH(S46,Üldreiting!$H:$H,0)),"")</f>
        <v/>
      </c>
      <c r="U46" s="676" t="str">
        <f t="shared" si="2"/>
        <v/>
      </c>
      <c r="V46" s="675" t="str">
        <f>IFERROR(INDEX(Üldreiting!$M:$M,MATCH(U46,Üldreiting!$H:$H,0)),"")</f>
        <v/>
      </c>
      <c r="W46" s="676" t="str">
        <f t="shared" si="3"/>
        <v/>
      </c>
      <c r="X46" s="675" t="str">
        <f>IFERROR(INDEX(Üldreiting!$M:$M,MATCH(W46,Üldreiting!$H:$H,0)),"")</f>
        <v/>
      </c>
      <c r="Y46" s="674" t="str">
        <f t="shared" si="4"/>
        <v/>
      </c>
      <c r="Z46" s="675" t="str">
        <f>IFERROR(INDEX(Üldreiting!$M:$M,MATCH(Y46,Üldreiting!$H:$H,0)),"")</f>
        <v/>
      </c>
      <c r="AA46" s="676" t="str">
        <f t="shared" si="5"/>
        <v/>
      </c>
      <c r="AB46" s="675" t="str">
        <f>IFERROR(INDEX(Üldreiting!$M:$M,MATCH(AA46,Üldreiting!$H:$H,0)),"")</f>
        <v/>
      </c>
    </row>
    <row r="47" spans="1:28" hidden="1" x14ac:dyDescent="0.2">
      <c r="A47" s="238"/>
      <c r="B47" s="238"/>
      <c r="C47" s="238"/>
      <c r="D47" s="238"/>
      <c r="E47" s="238"/>
      <c r="F47" s="238"/>
      <c r="G47" s="238"/>
      <c r="R47" s="672">
        <f t="shared" si="6"/>
        <v>0</v>
      </c>
      <c r="S47" s="676" t="str">
        <f t="shared" si="1"/>
        <v/>
      </c>
      <c r="T47" s="675" t="str">
        <f>IFERROR(INDEX(Üldreiting!$M:$M,MATCH(S47,Üldreiting!$H:$H,0)),"")</f>
        <v/>
      </c>
      <c r="U47" s="676" t="str">
        <f t="shared" si="2"/>
        <v/>
      </c>
      <c r="V47" s="675" t="str">
        <f>IFERROR(INDEX(Üldreiting!$M:$M,MATCH(U47,Üldreiting!$H:$H,0)),"")</f>
        <v/>
      </c>
      <c r="W47" s="676" t="str">
        <f t="shared" si="3"/>
        <v/>
      </c>
      <c r="X47" s="675" t="str">
        <f>IFERROR(INDEX(Üldreiting!$M:$M,MATCH(W47,Üldreiting!$H:$H,0)),"")</f>
        <v/>
      </c>
      <c r="Y47" s="674" t="str">
        <f t="shared" si="4"/>
        <v/>
      </c>
      <c r="Z47" s="675" t="str">
        <f>IFERROR(INDEX(Üldreiting!$M:$M,MATCH(Y47,Üldreiting!$H:$H,0)),"")</f>
        <v/>
      </c>
      <c r="AA47" s="676" t="str">
        <f t="shared" si="5"/>
        <v/>
      </c>
      <c r="AB47" s="675" t="str">
        <f>IFERROR(INDEX(Üldreiting!$M:$M,MATCH(AA47,Üldreiting!$H:$H,0)),"")</f>
        <v/>
      </c>
    </row>
    <row r="48" spans="1:28" hidden="1" x14ac:dyDescent="0.2">
      <c r="A48" s="371" t="s">
        <v>859</v>
      </c>
      <c r="B48" s="816"/>
      <c r="C48" s="416" t="s">
        <v>572</v>
      </c>
      <c r="D48" s="371" t="s">
        <v>367</v>
      </c>
      <c r="E48" s="371" t="s">
        <v>368</v>
      </c>
      <c r="F48" s="416" t="s">
        <v>369</v>
      </c>
      <c r="G48" s="416" t="s">
        <v>25</v>
      </c>
      <c r="R48" s="672">
        <f t="shared" si="6"/>
        <v>0</v>
      </c>
      <c r="S48" s="676" t="str">
        <f t="shared" si="1"/>
        <v/>
      </c>
      <c r="T48" s="675" t="str">
        <f>IFERROR(INDEX(Üldreiting!$M:$M,MATCH(S48,Üldreiting!$H:$H,0)),"")</f>
        <v/>
      </c>
      <c r="U48" s="676" t="str">
        <f t="shared" si="2"/>
        <v/>
      </c>
      <c r="V48" s="675" t="str">
        <f>IFERROR(INDEX(Üldreiting!$M:$M,MATCH(U48,Üldreiting!$H:$H,0)),"")</f>
        <v/>
      </c>
      <c r="W48" s="676" t="str">
        <f t="shared" si="3"/>
        <v/>
      </c>
      <c r="X48" s="675" t="str">
        <f>IFERROR(INDEX(Üldreiting!$M:$M,MATCH(W48,Üldreiting!$H:$H,0)),"")</f>
        <v/>
      </c>
      <c r="Y48" s="674" t="str">
        <f t="shared" si="4"/>
        <v/>
      </c>
      <c r="Z48" s="675" t="str">
        <f>IFERROR(INDEX(Üldreiting!$M:$M,MATCH(Y48,Üldreiting!$H:$H,0)),"")</f>
        <v/>
      </c>
      <c r="AA48" s="676" t="str">
        <f t="shared" si="5"/>
        <v/>
      </c>
      <c r="AB48" s="675" t="str">
        <f>IFERROR(INDEX(Üldreiting!$M:$M,MATCH(AA48,Üldreiting!$H:$H,0)),"")</f>
        <v/>
      </c>
    </row>
    <row r="49" spans="1:28" hidden="1" x14ac:dyDescent="0.2">
      <c r="A49" s="371">
        <v>1</v>
      </c>
      <c r="B49" s="258"/>
      <c r="C49" s="817"/>
      <c r="D49" s="817"/>
      <c r="E49" s="200"/>
      <c r="F49" s="660"/>
      <c r="G49" s="200" t="str">
        <f>IF(AND(COUNT(F49:F52)=2,F49=MAX(F49:F52),COUNT(C49:F49)=3),A48&amp;"2",IF(AND(COUNT(E49:E52)=2,ISNUMBER(E49),E49=MIN(E49:E52),D49="",F49=""),A48&amp;"4",IF(AND(COUNT(D49:D52)=2,D49=MAX(D49:D52),E49="",F49=""),A48&amp;"1",IF(COUNT(F49:F52)=2,A48&amp;"3",""))))</f>
        <v/>
      </c>
      <c r="R49" s="672">
        <f t="shared" si="6"/>
        <v>0</v>
      </c>
      <c r="S49" s="676" t="str">
        <f t="shared" si="1"/>
        <v/>
      </c>
      <c r="T49" s="675" t="str">
        <f>IFERROR(INDEX(Üldreiting!$M:$M,MATCH(S49,Üldreiting!$H:$H,0)),"")</f>
        <v/>
      </c>
      <c r="U49" s="676" t="str">
        <f t="shared" si="2"/>
        <v/>
      </c>
      <c r="V49" s="675" t="str">
        <f>IFERROR(INDEX(Üldreiting!$M:$M,MATCH(U49,Üldreiting!$H:$H,0)),"")</f>
        <v/>
      </c>
      <c r="W49" s="676" t="str">
        <f t="shared" si="3"/>
        <v/>
      </c>
      <c r="X49" s="675" t="str">
        <f>IFERROR(INDEX(Üldreiting!$M:$M,MATCH(W49,Üldreiting!$H:$H,0)),"")</f>
        <v/>
      </c>
      <c r="Y49" s="674" t="str">
        <f t="shared" si="4"/>
        <v/>
      </c>
      <c r="Z49" s="675" t="str">
        <f>IFERROR(INDEX(Üldreiting!$M:$M,MATCH(Y49,Üldreiting!$H:$H,0)),"")</f>
        <v/>
      </c>
      <c r="AA49" s="676" t="str">
        <f t="shared" si="5"/>
        <v/>
      </c>
      <c r="AB49" s="675" t="str">
        <f>IFERROR(INDEX(Üldreiting!$M:$M,MATCH(AA49,Üldreiting!$H:$H,0)),"")</f>
        <v/>
      </c>
    </row>
    <row r="50" spans="1:28" hidden="1" x14ac:dyDescent="0.2">
      <c r="A50" s="371">
        <v>2</v>
      </c>
      <c r="B50" s="208"/>
      <c r="C50" s="818"/>
      <c r="D50" s="817"/>
      <c r="E50" s="200" t="str">
        <f>IF(AND(B52="-",ISNUMBER(C50),C50&lt;C51),13,"")</f>
        <v/>
      </c>
      <c r="F50" s="660"/>
      <c r="G50" s="200" t="str">
        <f>IF(AND(COUNT(F49:F52)=2,F50=MAX(F49:F52),COUNT(C50:F50)=3),A48&amp;"2",IF(AND(COUNT(E49:E52)=2,ISNUMBER(E50),E50=MIN(E49:E52),D50="",F50=""),A48&amp;"4",IF(AND(COUNT(D49:D52)=2,D50=MAX(D49:D52),E50="",F50=""),A48&amp;"1",IF(COUNT(F49:F52)=2,A48&amp;"3",""))))</f>
        <v/>
      </c>
      <c r="R50" s="672">
        <f t="shared" si="6"/>
        <v>0</v>
      </c>
      <c r="S50" s="676" t="str">
        <f t="shared" si="1"/>
        <v/>
      </c>
      <c r="T50" s="675" t="str">
        <f>IFERROR(INDEX(Üldreiting!$M:$M,MATCH(S50,Üldreiting!$H:$H,0)),"")</f>
        <v/>
      </c>
      <c r="U50" s="676" t="str">
        <f t="shared" si="2"/>
        <v/>
      </c>
      <c r="V50" s="675" t="str">
        <f>IFERROR(INDEX(Üldreiting!$M:$M,MATCH(U50,Üldreiting!$H:$H,0)),"")</f>
        <v/>
      </c>
      <c r="W50" s="676" t="str">
        <f t="shared" si="3"/>
        <v/>
      </c>
      <c r="X50" s="675" t="str">
        <f>IFERROR(INDEX(Üldreiting!$M:$M,MATCH(W50,Üldreiting!$H:$H,0)),"")</f>
        <v/>
      </c>
      <c r="Y50" s="674" t="str">
        <f t="shared" si="4"/>
        <v/>
      </c>
      <c r="Z50" s="675" t="str">
        <f>IFERROR(INDEX(Üldreiting!$M:$M,MATCH(Y50,Üldreiting!$H:$H,0)),"")</f>
        <v/>
      </c>
      <c r="AA50" s="676" t="str">
        <f t="shared" si="5"/>
        <v/>
      </c>
      <c r="AB50" s="675" t="str">
        <f>IFERROR(INDEX(Üldreiting!$M:$M,MATCH(AA50,Üldreiting!$H:$H,0)),"")</f>
        <v/>
      </c>
    </row>
    <row r="51" spans="1:28" hidden="1" x14ac:dyDescent="0.2">
      <c r="A51" s="371">
        <v>3</v>
      </c>
      <c r="B51" s="208"/>
      <c r="C51" s="818"/>
      <c r="D51" s="200"/>
      <c r="E51" s="200" t="str">
        <f>IF(AND(B52="-",ISNUMBER(C51),C51&lt;C50),13,"")</f>
        <v/>
      </c>
      <c r="F51" s="660"/>
      <c r="G51" s="200" t="str">
        <f>IF(AND(COUNT(F49:F52)=2,F51=MAX(F49:F52),COUNT(C51:F51)=3),A48&amp;"2",IF(AND(COUNT(E49:E52)=2,ISNUMBER(E51),E51=MIN(E49:E52),D51="",F51=""),A48&amp;"4",IF(AND(COUNT(D49:D52)=2,D51=MAX(D49:D52),E51="",F51=""),A48&amp;"1",IF(COUNT(F49:F52)=2,A48&amp;"3",""))))</f>
        <v/>
      </c>
      <c r="R51" s="672">
        <f t="shared" si="6"/>
        <v>0</v>
      </c>
      <c r="S51" s="676" t="str">
        <f t="shared" si="1"/>
        <v/>
      </c>
      <c r="T51" s="675" t="str">
        <f>IFERROR(INDEX(Üldreiting!$M:$M,MATCH(S51,Üldreiting!$H:$H,0)),"")</f>
        <v/>
      </c>
      <c r="U51" s="676" t="str">
        <f t="shared" si="2"/>
        <v/>
      </c>
      <c r="V51" s="675" t="str">
        <f>IFERROR(INDEX(Üldreiting!$M:$M,MATCH(U51,Üldreiting!$H:$H,0)),"")</f>
        <v/>
      </c>
      <c r="W51" s="676" t="str">
        <f t="shared" si="3"/>
        <v/>
      </c>
      <c r="X51" s="675" t="str">
        <f>IFERROR(INDEX(Üldreiting!$M:$M,MATCH(W51,Üldreiting!$H:$H,0)),"")</f>
        <v/>
      </c>
      <c r="Y51" s="674" t="str">
        <f t="shared" si="4"/>
        <v/>
      </c>
      <c r="Z51" s="675" t="str">
        <f>IFERROR(INDEX(Üldreiting!$M:$M,MATCH(Y51,Üldreiting!$H:$H,0)),"")</f>
        <v/>
      </c>
      <c r="AA51" s="676" t="str">
        <f t="shared" si="5"/>
        <v/>
      </c>
      <c r="AB51" s="675" t="str">
        <f>IFERROR(INDEX(Üldreiting!$M:$M,MATCH(AA51,Üldreiting!$H:$H,0)),"")</f>
        <v/>
      </c>
    </row>
    <row r="52" spans="1:28" hidden="1" x14ac:dyDescent="0.2">
      <c r="A52" s="371">
        <v>4</v>
      </c>
      <c r="B52" s="207"/>
      <c r="C52" s="817" t="str">
        <f>IF(B52="-",0,"")</f>
        <v/>
      </c>
      <c r="D52" s="817"/>
      <c r="E52" s="200" t="str">
        <f>IF(B52="-",0,"")</f>
        <v/>
      </c>
      <c r="F52" s="660"/>
      <c r="G52" s="200" t="str">
        <f>IF(AND(COUNT(F49:F52)=2,F52=MAX(F49:F52),COUNT(C52:F52)=3),A48&amp;"2",IF(AND(COUNT(E49:E52)=2,ISNUMBER(E52),E52=MIN(E49:E52),D52="",F52=""),A48&amp;"4",IF(AND(COUNT(D49:D52)=2,D52=MAX(D49:D52),E52="",F52=""),A48&amp;"1",IF(COUNT(F49:F52)=2,A48&amp;"3",""))))</f>
        <v/>
      </c>
      <c r="R52" s="672">
        <f t="shared" si="6"/>
        <v>0</v>
      </c>
      <c r="S52" s="676" t="str">
        <f t="shared" si="1"/>
        <v/>
      </c>
      <c r="T52" s="675" t="str">
        <f>IFERROR(INDEX(Üldreiting!$M:$M,MATCH(S52,Üldreiting!$H:$H,0)),"")</f>
        <v/>
      </c>
      <c r="U52" s="676" t="str">
        <f t="shared" si="2"/>
        <v/>
      </c>
      <c r="V52" s="675" t="str">
        <f>IFERROR(INDEX(Üldreiting!$M:$M,MATCH(U52,Üldreiting!$H:$H,0)),"")</f>
        <v/>
      </c>
      <c r="W52" s="676" t="str">
        <f t="shared" si="3"/>
        <v/>
      </c>
      <c r="X52" s="675" t="str">
        <f>IFERROR(INDEX(Üldreiting!$M:$M,MATCH(W52,Üldreiting!$H:$H,0)),"")</f>
        <v/>
      </c>
      <c r="Y52" s="674" t="str">
        <f t="shared" si="4"/>
        <v/>
      </c>
      <c r="Z52" s="675" t="str">
        <f>IFERROR(INDEX(Üldreiting!$M:$M,MATCH(Y52,Üldreiting!$H:$H,0)),"")</f>
        <v/>
      </c>
      <c r="AA52" s="676" t="str">
        <f t="shared" si="5"/>
        <v/>
      </c>
      <c r="AB52" s="675" t="str">
        <f>IFERROR(INDEX(Üldreiting!$M:$M,MATCH(AA52,Üldreiting!$H:$H,0)),"")</f>
        <v/>
      </c>
    </row>
    <row r="53" spans="1:28" hidden="1" x14ac:dyDescent="0.2">
      <c r="R53" s="672">
        <f t="shared" si="6"/>
        <v>0</v>
      </c>
      <c r="S53" s="676" t="str">
        <f t="shared" si="1"/>
        <v/>
      </c>
      <c r="T53" s="675" t="str">
        <f>IFERROR(INDEX(Üldreiting!$M:$M,MATCH(S53,Üldreiting!$H:$H,0)),"")</f>
        <v/>
      </c>
      <c r="U53" s="676" t="str">
        <f t="shared" si="2"/>
        <v/>
      </c>
      <c r="V53" s="675" t="str">
        <f>IFERROR(INDEX(Üldreiting!$M:$M,MATCH(U53,Üldreiting!$H:$H,0)),"")</f>
        <v/>
      </c>
      <c r="W53" s="676" t="str">
        <f t="shared" si="3"/>
        <v/>
      </c>
      <c r="X53" s="675" t="str">
        <f>IFERROR(INDEX(Üldreiting!$M:$M,MATCH(W53,Üldreiting!$H:$H,0)),"")</f>
        <v/>
      </c>
      <c r="Y53" s="674" t="str">
        <f t="shared" si="4"/>
        <v/>
      </c>
      <c r="Z53" s="675" t="str">
        <f>IFERROR(INDEX(Üldreiting!$M:$M,MATCH(Y53,Üldreiting!$H:$H,0)),"")</f>
        <v/>
      </c>
      <c r="AA53" s="676" t="str">
        <f t="shared" si="5"/>
        <v/>
      </c>
      <c r="AB53" s="675" t="str">
        <f>IFERROR(INDEX(Üldreiting!$M:$M,MATCH(AA53,Üldreiting!$H:$H,0)),"")</f>
        <v/>
      </c>
    </row>
    <row r="54" spans="1:28" hidden="1" x14ac:dyDescent="0.2">
      <c r="R54" s="672">
        <f t="shared" si="6"/>
        <v>0</v>
      </c>
      <c r="S54" s="676" t="str">
        <f t="shared" si="1"/>
        <v/>
      </c>
      <c r="T54" s="675" t="str">
        <f>IFERROR(INDEX(Üldreiting!$M:$M,MATCH(S54,Üldreiting!$H:$H,0)),"")</f>
        <v/>
      </c>
      <c r="U54" s="676" t="str">
        <f t="shared" si="2"/>
        <v/>
      </c>
      <c r="V54" s="675" t="str">
        <f>IFERROR(INDEX(Üldreiting!$M:$M,MATCH(U54,Üldreiting!$H:$H,0)),"")</f>
        <v/>
      </c>
      <c r="W54" s="676" t="str">
        <f t="shared" si="3"/>
        <v/>
      </c>
      <c r="X54" s="675" t="str">
        <f>IFERROR(INDEX(Üldreiting!$M:$M,MATCH(W54,Üldreiting!$H:$H,0)),"")</f>
        <v/>
      </c>
      <c r="Y54" s="674" t="str">
        <f t="shared" si="4"/>
        <v/>
      </c>
      <c r="Z54" s="675" t="str">
        <f>IFERROR(INDEX(Üldreiting!$M:$M,MATCH(Y54,Üldreiting!$H:$H,0)),"")</f>
        <v/>
      </c>
      <c r="AA54" s="676" t="str">
        <f t="shared" si="5"/>
        <v/>
      </c>
      <c r="AB54" s="675" t="str">
        <f>IFERROR(INDEX(Üldreiting!$M:$M,MATCH(AA54,Üldreiting!$H:$H,0)),"")</f>
        <v/>
      </c>
    </row>
    <row r="55" spans="1:28" hidden="1" x14ac:dyDescent="0.2">
      <c r="R55" s="672">
        <f t="shared" si="6"/>
        <v>0</v>
      </c>
      <c r="S55" s="676" t="str">
        <f t="shared" si="1"/>
        <v/>
      </c>
      <c r="T55" s="675" t="str">
        <f>IFERROR(INDEX(Üldreiting!$M:$M,MATCH(S55,Üldreiting!$H:$H,0)),"")</f>
        <v/>
      </c>
      <c r="U55" s="676" t="str">
        <f t="shared" si="2"/>
        <v/>
      </c>
      <c r="V55" s="675" t="str">
        <f>IFERROR(INDEX(Üldreiting!$M:$M,MATCH(U55,Üldreiting!$H:$H,0)),"")</f>
        <v/>
      </c>
      <c r="W55" s="676" t="str">
        <f t="shared" si="3"/>
        <v/>
      </c>
      <c r="X55" s="675" t="str">
        <f>IFERROR(INDEX(Üldreiting!$M:$M,MATCH(W55,Üldreiting!$H:$H,0)),"")</f>
        <v/>
      </c>
      <c r="Y55" s="674" t="str">
        <f t="shared" si="4"/>
        <v/>
      </c>
      <c r="Z55" s="675" t="str">
        <f>IFERROR(INDEX(Üldreiting!$M:$M,MATCH(Y55,Üldreiting!$H:$H,0)),"")</f>
        <v/>
      </c>
      <c r="AA55" s="676" t="str">
        <f t="shared" si="5"/>
        <v/>
      </c>
      <c r="AB55" s="675" t="str">
        <f>IFERROR(INDEX(Üldreiting!$M:$M,MATCH(AA55,Üldreiting!$H:$H,0)),"")</f>
        <v/>
      </c>
    </row>
    <row r="56" spans="1:28" hidden="1" x14ac:dyDescent="0.2">
      <c r="R56" s="672">
        <f t="shared" si="6"/>
        <v>0</v>
      </c>
      <c r="S56" s="676" t="str">
        <f t="shared" si="1"/>
        <v/>
      </c>
      <c r="T56" s="675" t="str">
        <f>IFERROR(INDEX(Üldreiting!$M:$M,MATCH(S56,Üldreiting!$H:$H,0)),"")</f>
        <v/>
      </c>
      <c r="U56" s="676" t="str">
        <f t="shared" si="2"/>
        <v/>
      </c>
      <c r="V56" s="675" t="str">
        <f>IFERROR(INDEX(Üldreiting!$M:$M,MATCH(U56,Üldreiting!$H:$H,0)),"")</f>
        <v/>
      </c>
      <c r="W56" s="676" t="str">
        <f t="shared" si="3"/>
        <v/>
      </c>
      <c r="X56" s="675" t="str">
        <f>IFERROR(INDEX(Üldreiting!$M:$M,MATCH(W56,Üldreiting!$H:$H,0)),"")</f>
        <v/>
      </c>
      <c r="Y56" s="674" t="str">
        <f t="shared" si="4"/>
        <v/>
      </c>
      <c r="Z56" s="675" t="str">
        <f>IFERROR(INDEX(Üldreiting!$M:$M,MATCH(Y56,Üldreiting!$H:$H,0)),"")</f>
        <v/>
      </c>
      <c r="AA56" s="676" t="str">
        <f t="shared" si="5"/>
        <v/>
      </c>
      <c r="AB56" s="675" t="str">
        <f>IFERROR(INDEX(Üldreiting!$M:$M,MATCH(AA56,Üldreiting!$H:$H,0)),"")</f>
        <v/>
      </c>
    </row>
    <row r="57" spans="1:28" hidden="1" x14ac:dyDescent="0.2">
      <c r="R57" s="672">
        <f t="shared" si="6"/>
        <v>0</v>
      </c>
      <c r="S57" s="676" t="str">
        <f t="shared" si="1"/>
        <v/>
      </c>
      <c r="T57" s="675" t="str">
        <f>IFERROR(INDEX(Üldreiting!$M:$M,MATCH(S57,Üldreiting!$H:$H,0)),"")</f>
        <v/>
      </c>
      <c r="U57" s="676" t="str">
        <f t="shared" si="2"/>
        <v/>
      </c>
      <c r="V57" s="675" t="str">
        <f>IFERROR(INDEX(Üldreiting!$M:$M,MATCH(U57,Üldreiting!$H:$H,0)),"")</f>
        <v/>
      </c>
      <c r="W57" s="676" t="str">
        <f t="shared" si="3"/>
        <v/>
      </c>
      <c r="X57" s="675" t="str">
        <f>IFERROR(INDEX(Üldreiting!$M:$M,MATCH(W57,Üldreiting!$H:$H,0)),"")</f>
        <v/>
      </c>
      <c r="Y57" s="674" t="str">
        <f t="shared" si="4"/>
        <v/>
      </c>
      <c r="Z57" s="675" t="str">
        <f>IFERROR(INDEX(Üldreiting!$M:$M,MATCH(Y57,Üldreiting!$H:$H,0)),"")</f>
        <v/>
      </c>
      <c r="AA57" s="676" t="str">
        <f t="shared" si="5"/>
        <v/>
      </c>
      <c r="AB57" s="675" t="str">
        <f>IFERROR(INDEX(Üldreiting!$M:$M,MATCH(AA57,Üldreiting!$H:$H,0)),"")</f>
        <v/>
      </c>
    </row>
    <row r="58" spans="1:28" hidden="1" x14ac:dyDescent="0.2">
      <c r="R58" s="672">
        <f t="shared" si="6"/>
        <v>0</v>
      </c>
      <c r="S58" s="676" t="str">
        <f t="shared" si="1"/>
        <v/>
      </c>
      <c r="T58" s="675" t="str">
        <f>IFERROR(INDEX(Üldreiting!$M:$M,MATCH(S58,Üldreiting!$H:$H,0)),"")</f>
        <v/>
      </c>
      <c r="U58" s="676" t="str">
        <f t="shared" si="2"/>
        <v/>
      </c>
      <c r="V58" s="675" t="str">
        <f>IFERROR(INDEX(Üldreiting!$M:$M,MATCH(U58,Üldreiting!$H:$H,0)),"")</f>
        <v/>
      </c>
      <c r="W58" s="676" t="str">
        <f t="shared" si="3"/>
        <v/>
      </c>
      <c r="X58" s="675" t="str">
        <f>IFERROR(INDEX(Üldreiting!$M:$M,MATCH(W58,Üldreiting!$H:$H,0)),"")</f>
        <v/>
      </c>
      <c r="Y58" s="674" t="str">
        <f t="shared" si="4"/>
        <v/>
      </c>
      <c r="Z58" s="675" t="str">
        <f>IFERROR(INDEX(Üldreiting!$M:$M,MATCH(Y58,Üldreiting!$H:$H,0)),"")</f>
        <v/>
      </c>
      <c r="AA58" s="676" t="str">
        <f t="shared" si="5"/>
        <v/>
      </c>
      <c r="AB58" s="675" t="str">
        <f>IFERROR(INDEX(Üldreiting!$M:$M,MATCH(AA58,Üldreiting!$H:$H,0)),"")</f>
        <v/>
      </c>
    </row>
    <row r="59" spans="1:28" hidden="1" x14ac:dyDescent="0.2">
      <c r="R59" s="672">
        <f t="shared" si="6"/>
        <v>0</v>
      </c>
      <c r="S59" s="676" t="str">
        <f t="shared" si="1"/>
        <v/>
      </c>
      <c r="T59" s="675" t="str">
        <f>IFERROR(INDEX(Üldreiting!$M:$M,MATCH(S59,Üldreiting!$H:$H,0)),"")</f>
        <v/>
      </c>
      <c r="U59" s="676" t="str">
        <f t="shared" si="2"/>
        <v/>
      </c>
      <c r="V59" s="675" t="str">
        <f>IFERROR(INDEX(Üldreiting!$M:$M,MATCH(U59,Üldreiting!$H:$H,0)),"")</f>
        <v/>
      </c>
      <c r="W59" s="676" t="str">
        <f t="shared" si="3"/>
        <v/>
      </c>
      <c r="X59" s="675" t="str">
        <f>IFERROR(INDEX(Üldreiting!$M:$M,MATCH(W59,Üldreiting!$H:$H,0)),"")</f>
        <v/>
      </c>
      <c r="Y59" s="674" t="str">
        <f t="shared" si="4"/>
        <v/>
      </c>
      <c r="Z59" s="675" t="str">
        <f>IFERROR(INDEX(Üldreiting!$M:$M,MATCH(Y59,Üldreiting!$H:$H,0)),"")</f>
        <v/>
      </c>
      <c r="AA59" s="676" t="str">
        <f t="shared" si="5"/>
        <v/>
      </c>
      <c r="AB59" s="675" t="str">
        <f>IFERROR(INDEX(Üldreiting!$M:$M,MATCH(AA59,Üldreiting!$H:$H,0)),"")</f>
        <v/>
      </c>
    </row>
    <row r="60" spans="1:28" hidden="1" x14ac:dyDescent="0.2">
      <c r="R60" s="672">
        <f t="shared" si="6"/>
        <v>0</v>
      </c>
      <c r="S60" s="676" t="str">
        <f t="shared" si="1"/>
        <v/>
      </c>
      <c r="T60" s="675" t="str">
        <f>IFERROR(INDEX(Üldreiting!$M:$M,MATCH(S60,Üldreiting!$H:$H,0)),"")</f>
        <v/>
      </c>
      <c r="U60" s="676" t="str">
        <f t="shared" si="2"/>
        <v/>
      </c>
      <c r="V60" s="675" t="str">
        <f>IFERROR(INDEX(Üldreiting!$M:$M,MATCH(U60,Üldreiting!$H:$H,0)),"")</f>
        <v/>
      </c>
      <c r="W60" s="676" t="str">
        <f t="shared" si="3"/>
        <v/>
      </c>
      <c r="X60" s="675" t="str">
        <f>IFERROR(INDEX(Üldreiting!$M:$M,MATCH(W60,Üldreiting!$H:$H,0)),"")</f>
        <v/>
      </c>
      <c r="Y60" s="674" t="str">
        <f t="shared" si="4"/>
        <v/>
      </c>
      <c r="Z60" s="675" t="str">
        <f>IFERROR(INDEX(Üldreiting!$M:$M,MATCH(Y60,Üldreiting!$H:$H,0)),"")</f>
        <v/>
      </c>
      <c r="AA60" s="676" t="str">
        <f t="shared" si="5"/>
        <v/>
      </c>
      <c r="AB60" s="675" t="str">
        <f>IFERROR(INDEX(Üldreiting!$M:$M,MATCH(AA60,Üldreiting!$H:$H,0)),"")</f>
        <v/>
      </c>
    </row>
    <row r="61" spans="1:28" hidden="1" x14ac:dyDescent="0.2">
      <c r="R61" s="672">
        <f t="shared" si="6"/>
        <v>0</v>
      </c>
      <c r="S61" s="676" t="str">
        <f t="shared" si="1"/>
        <v/>
      </c>
      <c r="T61" s="675" t="str">
        <f>IFERROR(INDEX(Üldreiting!$M:$M,MATCH(S61,Üldreiting!$H:$H,0)),"")</f>
        <v/>
      </c>
      <c r="U61" s="676" t="str">
        <f t="shared" si="2"/>
        <v/>
      </c>
      <c r="V61" s="675" t="str">
        <f>IFERROR(INDEX(Üldreiting!$M:$M,MATCH(U61,Üldreiting!$H:$H,0)),"")</f>
        <v/>
      </c>
      <c r="W61" s="676" t="str">
        <f t="shared" si="3"/>
        <v/>
      </c>
      <c r="X61" s="675" t="str">
        <f>IFERROR(INDEX(Üldreiting!$M:$M,MATCH(W61,Üldreiting!$H:$H,0)),"")</f>
        <v/>
      </c>
      <c r="Y61" s="674" t="str">
        <f t="shared" si="4"/>
        <v/>
      </c>
      <c r="Z61" s="675" t="str">
        <f>IFERROR(INDEX(Üldreiting!$M:$M,MATCH(Y61,Üldreiting!$H:$H,0)),"")</f>
        <v/>
      </c>
      <c r="AA61" s="676" t="str">
        <f t="shared" si="5"/>
        <v/>
      </c>
      <c r="AB61" s="675" t="str">
        <f>IFERROR(INDEX(Üldreiting!$M:$M,MATCH(AA61,Üldreiting!$H:$H,0)),"")</f>
        <v/>
      </c>
    </row>
    <row r="62" spans="1:28" hidden="1" x14ac:dyDescent="0.2">
      <c r="R62" s="672">
        <f t="shared" si="6"/>
        <v>0</v>
      </c>
      <c r="S62" s="676" t="str">
        <f t="shared" si="1"/>
        <v/>
      </c>
      <c r="T62" s="675" t="str">
        <f>IFERROR(INDEX(Üldreiting!$M:$M,MATCH(S62,Üldreiting!$H:$H,0)),"")</f>
        <v/>
      </c>
      <c r="U62" s="676" t="str">
        <f t="shared" si="2"/>
        <v/>
      </c>
      <c r="V62" s="675" t="str">
        <f>IFERROR(INDEX(Üldreiting!$M:$M,MATCH(U62,Üldreiting!$H:$H,0)),"")</f>
        <v/>
      </c>
      <c r="W62" s="676" t="str">
        <f t="shared" si="3"/>
        <v/>
      </c>
      <c r="X62" s="675" t="str">
        <f>IFERROR(INDEX(Üldreiting!$M:$M,MATCH(W62,Üldreiting!$H:$H,0)),"")</f>
        <v/>
      </c>
      <c r="Y62" s="674" t="str">
        <f t="shared" si="4"/>
        <v/>
      </c>
      <c r="Z62" s="675" t="str">
        <f>IFERROR(INDEX(Üldreiting!$M:$M,MATCH(Y62,Üldreiting!$H:$H,0)),"")</f>
        <v/>
      </c>
      <c r="AA62" s="676" t="str">
        <f t="shared" si="5"/>
        <v/>
      </c>
      <c r="AB62" s="675" t="str">
        <f>IFERROR(INDEX(Üldreiting!$M:$M,MATCH(AA62,Üldreiting!$H:$H,0)),"")</f>
        <v/>
      </c>
    </row>
    <row r="63" spans="1:28" hidden="1" x14ac:dyDescent="0.2">
      <c r="R63" s="672">
        <f t="shared" si="6"/>
        <v>0</v>
      </c>
      <c r="S63" s="676" t="str">
        <f t="shared" si="1"/>
        <v/>
      </c>
      <c r="T63" s="675" t="str">
        <f>IFERROR(INDEX(Üldreiting!$M:$M,MATCH(S63,Üldreiting!$H:$H,0)),"")</f>
        <v/>
      </c>
      <c r="U63" s="676" t="str">
        <f t="shared" si="2"/>
        <v/>
      </c>
      <c r="V63" s="675" t="str">
        <f>IFERROR(INDEX(Üldreiting!$M:$M,MATCH(U63,Üldreiting!$H:$H,0)),"")</f>
        <v/>
      </c>
      <c r="W63" s="676" t="str">
        <f t="shared" si="3"/>
        <v/>
      </c>
      <c r="X63" s="675" t="str">
        <f>IFERROR(INDEX(Üldreiting!$M:$M,MATCH(W63,Üldreiting!$H:$H,0)),"")</f>
        <v/>
      </c>
      <c r="Y63" s="674" t="str">
        <f t="shared" si="4"/>
        <v/>
      </c>
      <c r="Z63" s="675" t="str">
        <f>IFERROR(INDEX(Üldreiting!$M:$M,MATCH(Y63,Üldreiting!$H:$H,0)),"")</f>
        <v/>
      </c>
      <c r="AA63" s="676" t="str">
        <f t="shared" si="5"/>
        <v/>
      </c>
      <c r="AB63" s="675" t="str">
        <f>IFERROR(INDEX(Üldreiting!$M:$M,MATCH(AA63,Üldreiting!$H:$H,0)),"")</f>
        <v/>
      </c>
    </row>
    <row r="64" spans="1:28" hidden="1" x14ac:dyDescent="0.2">
      <c r="R64" s="672">
        <f t="shared" si="6"/>
        <v>0</v>
      </c>
      <c r="S64" s="676" t="str">
        <f t="shared" si="1"/>
        <v/>
      </c>
      <c r="T64" s="675" t="str">
        <f>IFERROR(INDEX(Üldreiting!$M:$M,MATCH(S64,Üldreiting!$H:$H,0)),"")</f>
        <v/>
      </c>
      <c r="U64" s="676" t="str">
        <f t="shared" si="2"/>
        <v/>
      </c>
      <c r="V64" s="675" t="str">
        <f>IFERROR(INDEX(Üldreiting!$M:$M,MATCH(U64,Üldreiting!$H:$H,0)),"")</f>
        <v/>
      </c>
      <c r="W64" s="676" t="str">
        <f t="shared" si="3"/>
        <v/>
      </c>
      <c r="X64" s="675" t="str">
        <f>IFERROR(INDEX(Üldreiting!$M:$M,MATCH(W64,Üldreiting!$H:$H,0)),"")</f>
        <v/>
      </c>
      <c r="Y64" s="674" t="str">
        <f t="shared" si="4"/>
        <v/>
      </c>
      <c r="Z64" s="675" t="str">
        <f>IFERROR(INDEX(Üldreiting!$M:$M,MATCH(Y64,Üldreiting!$H:$H,0)),"")</f>
        <v/>
      </c>
      <c r="AA64" s="676" t="str">
        <f t="shared" si="5"/>
        <v/>
      </c>
      <c r="AB64" s="675" t="str">
        <f>IFERROR(INDEX(Üldreiting!$M:$M,MATCH(AA64,Üldreiting!$H:$H,0)),"")</f>
        <v/>
      </c>
    </row>
    <row r="65" spans="18:28" hidden="1" x14ac:dyDescent="0.2">
      <c r="R65" s="672">
        <f t="shared" si="6"/>
        <v>0</v>
      </c>
      <c r="S65" s="676" t="str">
        <f t="shared" si="1"/>
        <v/>
      </c>
      <c r="T65" s="675" t="str">
        <f>IFERROR(INDEX(Üldreiting!$M:$M,MATCH(S65,Üldreiting!$H:$H,0)),"")</f>
        <v/>
      </c>
      <c r="U65" s="676" t="str">
        <f t="shared" si="2"/>
        <v/>
      </c>
      <c r="V65" s="675" t="str">
        <f>IFERROR(INDEX(Üldreiting!$M:$M,MATCH(U65,Üldreiting!$H:$H,0)),"")</f>
        <v/>
      </c>
      <c r="W65" s="676" t="str">
        <f t="shared" si="3"/>
        <v/>
      </c>
      <c r="X65" s="675" t="str">
        <f>IFERROR(INDEX(Üldreiting!$M:$M,MATCH(W65,Üldreiting!$H:$H,0)),"")</f>
        <v/>
      </c>
      <c r="Y65" s="674" t="str">
        <f t="shared" si="4"/>
        <v/>
      </c>
      <c r="Z65" s="675" t="str">
        <f>IFERROR(INDEX(Üldreiting!$M:$M,MATCH(Y65,Üldreiting!$H:$H,0)),"")</f>
        <v/>
      </c>
      <c r="AA65" s="676" t="str">
        <f t="shared" si="5"/>
        <v/>
      </c>
      <c r="AB65" s="675" t="str">
        <f>IFERROR(INDEX(Üldreiting!$M:$M,MATCH(AA65,Üldreiting!$H:$H,0)),"")</f>
        <v/>
      </c>
    </row>
    <row r="66" spans="18:28" hidden="1" x14ac:dyDescent="0.2">
      <c r="R66" s="672">
        <f t="shared" si="6"/>
        <v>0</v>
      </c>
      <c r="S66" s="676" t="str">
        <f t="shared" si="1"/>
        <v/>
      </c>
      <c r="T66" s="675" t="str">
        <f>IFERROR(INDEX(Üldreiting!$M:$M,MATCH(S66,Üldreiting!$H:$H,0)),"")</f>
        <v/>
      </c>
      <c r="U66" s="676" t="str">
        <f t="shared" si="2"/>
        <v/>
      </c>
      <c r="V66" s="675" t="str">
        <f>IFERROR(INDEX(Üldreiting!$M:$M,MATCH(U66,Üldreiting!$H:$H,0)),"")</f>
        <v/>
      </c>
      <c r="W66" s="676" t="str">
        <f t="shared" si="3"/>
        <v/>
      </c>
      <c r="X66" s="675" t="str">
        <f>IFERROR(INDEX(Üldreiting!$M:$M,MATCH(W66,Üldreiting!$H:$H,0)),"")</f>
        <v/>
      </c>
      <c r="Y66" s="674" t="str">
        <f t="shared" si="4"/>
        <v/>
      </c>
      <c r="Z66" s="675" t="str">
        <f>IFERROR(INDEX(Üldreiting!$M:$M,MATCH(Y66,Üldreiting!$H:$H,0)),"")</f>
        <v/>
      </c>
      <c r="AA66" s="676" t="str">
        <f t="shared" si="5"/>
        <v/>
      </c>
      <c r="AB66" s="675" t="str">
        <f>IFERROR(INDEX(Üldreiting!$M:$M,MATCH(AA66,Üldreiting!$H:$H,0)),"")</f>
        <v/>
      </c>
    </row>
    <row r="67" spans="18:28" hidden="1" x14ac:dyDescent="0.2">
      <c r="R67" s="672">
        <f t="shared" si="6"/>
        <v>0</v>
      </c>
      <c r="S67" s="676" t="str">
        <f t="shared" si="1"/>
        <v/>
      </c>
      <c r="T67" s="675" t="str">
        <f>IFERROR(INDEX(Üldreiting!$M:$M,MATCH(S67,Üldreiting!$H:$H,0)),"")</f>
        <v/>
      </c>
      <c r="U67" s="676" t="str">
        <f t="shared" si="2"/>
        <v/>
      </c>
      <c r="V67" s="675" t="str">
        <f>IFERROR(INDEX(Üldreiting!$M:$M,MATCH(U67,Üldreiting!$H:$H,0)),"")</f>
        <v/>
      </c>
      <c r="W67" s="676" t="str">
        <f t="shared" si="3"/>
        <v/>
      </c>
      <c r="X67" s="675" t="str">
        <f>IFERROR(INDEX(Üldreiting!$M:$M,MATCH(W67,Üldreiting!$H:$H,0)),"")</f>
        <v/>
      </c>
      <c r="Y67" s="674" t="str">
        <f t="shared" si="4"/>
        <v/>
      </c>
      <c r="Z67" s="675" t="str">
        <f>IFERROR(INDEX(Üldreiting!$M:$M,MATCH(Y67,Üldreiting!$H:$H,0)),"")</f>
        <v/>
      </c>
      <c r="AA67" s="676" t="str">
        <f t="shared" si="5"/>
        <v/>
      </c>
      <c r="AB67" s="675" t="str">
        <f>IFERROR(INDEX(Üldreiting!$M:$M,MATCH(AA67,Üldreiting!$H:$H,0)),"")</f>
        <v/>
      </c>
    </row>
    <row r="68" spans="18:28" hidden="1" x14ac:dyDescent="0.2">
      <c r="R68" s="672">
        <f t="shared" si="6"/>
        <v>0</v>
      </c>
      <c r="S68" s="676" t="str">
        <f t="shared" si="1"/>
        <v/>
      </c>
      <c r="T68" s="675" t="str">
        <f>IFERROR(INDEX(Üldreiting!$M:$M,MATCH(S68,Üldreiting!$H:$H,0)),"")</f>
        <v/>
      </c>
      <c r="U68" s="676" t="str">
        <f t="shared" si="2"/>
        <v/>
      </c>
      <c r="V68" s="675" t="str">
        <f>IFERROR(INDEX(Üldreiting!$M:$M,MATCH(U68,Üldreiting!$H:$H,0)),"")</f>
        <v/>
      </c>
      <c r="W68" s="676" t="str">
        <f t="shared" si="3"/>
        <v/>
      </c>
      <c r="X68" s="675" t="str">
        <f>IFERROR(INDEX(Üldreiting!$M:$M,MATCH(W68,Üldreiting!$H:$H,0)),"")</f>
        <v/>
      </c>
      <c r="Y68" s="674" t="str">
        <f t="shared" si="4"/>
        <v/>
      </c>
      <c r="Z68" s="675" t="str">
        <f>IFERROR(INDEX(Üldreiting!$M:$M,MATCH(Y68,Üldreiting!$H:$H,0)),"")</f>
        <v/>
      </c>
      <c r="AA68" s="676" t="str">
        <f t="shared" si="5"/>
        <v/>
      </c>
      <c r="AB68" s="675" t="str">
        <f>IFERROR(INDEX(Üldreiting!$M:$M,MATCH(AA68,Üldreiting!$H:$H,0)),"")</f>
        <v/>
      </c>
    </row>
    <row r="69" spans="18:28" hidden="1" x14ac:dyDescent="0.2">
      <c r="R69" s="672">
        <f t="shared" si="6"/>
        <v>0</v>
      </c>
      <c r="S69" s="676" t="str">
        <f t="shared" si="1"/>
        <v/>
      </c>
      <c r="T69" s="675" t="str">
        <f>IFERROR(INDEX(Üldreiting!$M:$M,MATCH(S69,Üldreiting!$H:$H,0)),"")</f>
        <v/>
      </c>
      <c r="U69" s="676" t="str">
        <f t="shared" si="2"/>
        <v/>
      </c>
      <c r="V69" s="675" t="str">
        <f>IFERROR(INDEX(Üldreiting!$M:$M,MATCH(U69,Üldreiting!$H:$H,0)),"")</f>
        <v/>
      </c>
      <c r="W69" s="676" t="str">
        <f t="shared" si="3"/>
        <v/>
      </c>
      <c r="X69" s="675" t="str">
        <f>IFERROR(INDEX(Üldreiting!$M:$M,MATCH(W69,Üldreiting!$H:$H,0)),"")</f>
        <v/>
      </c>
      <c r="Y69" s="674" t="str">
        <f t="shared" si="4"/>
        <v/>
      </c>
      <c r="Z69" s="675" t="str">
        <f>IFERROR(INDEX(Üldreiting!$M:$M,MATCH(Y69,Üldreiting!$H:$H,0)),"")</f>
        <v/>
      </c>
      <c r="AA69" s="676" t="str">
        <f t="shared" si="5"/>
        <v/>
      </c>
      <c r="AB69" s="675" t="str">
        <f>IFERROR(INDEX(Üldreiting!$M:$M,MATCH(AA69,Üldreiting!$H:$H,0)),"")</f>
        <v/>
      </c>
    </row>
    <row r="70" spans="18:28" hidden="1" x14ac:dyDescent="0.2">
      <c r="R70" s="672">
        <f t="shared" si="6"/>
        <v>0</v>
      </c>
      <c r="S70" s="676" t="str">
        <f t="shared" si="1"/>
        <v/>
      </c>
      <c r="T70" s="675" t="str">
        <f>IFERROR(INDEX(Üldreiting!$M:$M,MATCH(S70,Üldreiting!$H:$H,0)),"")</f>
        <v/>
      </c>
      <c r="U70" s="676" t="str">
        <f t="shared" si="2"/>
        <v/>
      </c>
      <c r="V70" s="675" t="str">
        <f>IFERROR(INDEX(Üldreiting!$M:$M,MATCH(U70,Üldreiting!$H:$H,0)),"")</f>
        <v/>
      </c>
      <c r="W70" s="676" t="str">
        <f t="shared" si="3"/>
        <v/>
      </c>
      <c r="X70" s="675" t="str">
        <f>IFERROR(INDEX(Üldreiting!$M:$M,MATCH(W70,Üldreiting!$H:$H,0)),"")</f>
        <v/>
      </c>
      <c r="Y70" s="674" t="str">
        <f t="shared" si="4"/>
        <v/>
      </c>
      <c r="Z70" s="675" t="str">
        <f>IFERROR(INDEX(Üldreiting!$M:$M,MATCH(Y70,Üldreiting!$H:$H,0)),"")</f>
        <v/>
      </c>
      <c r="AA70" s="676" t="str">
        <f t="shared" si="5"/>
        <v/>
      </c>
      <c r="AB70" s="675" t="str">
        <f>IFERROR(INDEX(Üldreiting!$M:$M,MATCH(AA70,Üldreiting!$H:$H,0)),"")</f>
        <v/>
      </c>
    </row>
    <row r="71" spans="18:28" hidden="1" x14ac:dyDescent="0.2">
      <c r="R71" s="672">
        <f t="shared" si="6"/>
        <v>0</v>
      </c>
      <c r="S71" s="676" t="str">
        <f t="shared" si="1"/>
        <v/>
      </c>
      <c r="T71" s="675" t="str">
        <f>IFERROR(INDEX(Üldreiting!$M:$M,MATCH(S71,Üldreiting!$H:$H,0)),"")</f>
        <v/>
      </c>
      <c r="U71" s="676" t="str">
        <f t="shared" si="2"/>
        <v/>
      </c>
      <c r="V71" s="675" t="str">
        <f>IFERROR(INDEX(Üldreiting!$M:$M,MATCH(U71,Üldreiting!$H:$H,0)),"")</f>
        <v/>
      </c>
      <c r="W71" s="676" t="str">
        <f t="shared" si="3"/>
        <v/>
      </c>
      <c r="X71" s="675" t="str">
        <f>IFERROR(INDEX(Üldreiting!$M:$M,MATCH(W71,Üldreiting!$H:$H,0)),"")</f>
        <v/>
      </c>
      <c r="Y71" s="674" t="str">
        <f t="shared" si="4"/>
        <v/>
      </c>
      <c r="Z71" s="675" t="str">
        <f>IFERROR(INDEX(Üldreiting!$M:$M,MATCH(Y71,Üldreiting!$H:$H,0)),"")</f>
        <v/>
      </c>
      <c r="AA71" s="676" t="str">
        <f t="shared" si="5"/>
        <v/>
      </c>
      <c r="AB71" s="675" t="str">
        <f>IFERROR(INDEX(Üldreiting!$M:$M,MATCH(AA71,Üldreiting!$H:$H,0)),"")</f>
        <v/>
      </c>
    </row>
    <row r="72" spans="18:28" hidden="1" x14ac:dyDescent="0.2">
      <c r="R72" s="672">
        <f t="shared" si="6"/>
        <v>0</v>
      </c>
      <c r="S72" s="676" t="str">
        <f t="shared" ref="S72:S98" si="7">IFERROR(LEFT($B72,(FIND(",",$B72,1)-1)),"")</f>
        <v/>
      </c>
      <c r="T72" s="675" t="str">
        <f>IFERROR(INDEX(Üldreiting!$M:$M,MATCH(S72,Üldreiting!$H:$H,0)),"")</f>
        <v/>
      </c>
      <c r="U72" s="676" t="str">
        <f t="shared" ref="U72:U98" si="8">IFERROR(MID($B72,FIND("^",SUBSTITUTE($B72,", ","^",1))+2,FIND("^",SUBSTITUTE($B72,", ","^",2))-FIND("^",SUBSTITUTE($B72,", ","^",1))-2),"")</f>
        <v/>
      </c>
      <c r="V72" s="675" t="str">
        <f>IFERROR(INDEX(Üldreiting!$M:$M,MATCH(U72,Üldreiting!$H:$H,0)),"")</f>
        <v/>
      </c>
      <c r="W72" s="676" t="str">
        <f t="shared" ref="W72:W98" si="9">IFERROR(MID($B72,FIND(", ",$B72,FIND(", ",$B72,FIND(", ",$B72))+1)+2,700),"")</f>
        <v/>
      </c>
      <c r="X72" s="675" t="str">
        <f>IFERROR(INDEX(Üldreiting!$M:$M,MATCH(W72,Üldreiting!$H:$H,0)),"")</f>
        <v/>
      </c>
      <c r="Y72" s="674" t="str">
        <f t="shared" ref="Y72:Y98" si="10">IFERROR(MID($B72,FIND(", ",$B72,FIND(", ",$B72)+1)+2,FIND(", ",$B72,FIND(", ",$B72,FIND(", ",$B72)+1)+1)-FIND(", ",$B72,FIND(", ",$B72)+1)-2),"")</f>
        <v/>
      </c>
      <c r="Z72" s="675" t="str">
        <f>IFERROR(INDEX(Üldreiting!$M:$M,MATCH(Y72,Üldreiting!$H:$H,0)),"")</f>
        <v/>
      </c>
      <c r="AA72" s="676" t="str">
        <f t="shared" ref="AA72:AA98" si="11">IFERROR(MID($B72,FIND(", ",$B72,FIND(", ",$B72,FIND(", ",$B72)+1)+1)+2,700),"")</f>
        <v/>
      </c>
      <c r="AB72" s="675" t="str">
        <f>IFERROR(INDEX(Üldreiting!$M:$M,MATCH(AA72,Üldreiting!$H:$H,0)),"")</f>
        <v/>
      </c>
    </row>
    <row r="73" spans="18:28" hidden="1" x14ac:dyDescent="0.2">
      <c r="R73" s="672">
        <f t="shared" si="6"/>
        <v>0</v>
      </c>
      <c r="S73" s="676" t="str">
        <f t="shared" si="7"/>
        <v/>
      </c>
      <c r="T73" s="675" t="str">
        <f>IFERROR(INDEX(Üldreiting!$M:$M,MATCH(S73,Üldreiting!$H:$H,0)),"")</f>
        <v/>
      </c>
      <c r="U73" s="676" t="str">
        <f t="shared" si="8"/>
        <v/>
      </c>
      <c r="V73" s="675" t="str">
        <f>IFERROR(INDEX(Üldreiting!$M:$M,MATCH(U73,Üldreiting!$H:$H,0)),"")</f>
        <v/>
      </c>
      <c r="W73" s="676" t="str">
        <f t="shared" si="9"/>
        <v/>
      </c>
      <c r="X73" s="675" t="str">
        <f>IFERROR(INDEX(Üldreiting!$M:$M,MATCH(W73,Üldreiting!$H:$H,0)),"")</f>
        <v/>
      </c>
      <c r="Y73" s="674" t="str">
        <f t="shared" si="10"/>
        <v/>
      </c>
      <c r="Z73" s="675" t="str">
        <f>IFERROR(INDEX(Üldreiting!$M:$M,MATCH(Y73,Üldreiting!$H:$H,0)),"")</f>
        <v/>
      </c>
      <c r="AA73" s="676" t="str">
        <f t="shared" si="11"/>
        <v/>
      </c>
      <c r="AB73" s="675" t="str">
        <f>IFERROR(INDEX(Üldreiting!$M:$M,MATCH(AA73,Üldreiting!$H:$H,0)),"")</f>
        <v/>
      </c>
    </row>
    <row r="74" spans="18:28" hidden="1" x14ac:dyDescent="0.2">
      <c r="R74" s="672">
        <f t="shared" si="6"/>
        <v>0</v>
      </c>
      <c r="S74" s="676" t="str">
        <f t="shared" si="7"/>
        <v/>
      </c>
      <c r="T74" s="675" t="str">
        <f>IFERROR(INDEX(Üldreiting!$M:$M,MATCH(S74,Üldreiting!$H:$H,0)),"")</f>
        <v/>
      </c>
      <c r="U74" s="676" t="str">
        <f t="shared" si="8"/>
        <v/>
      </c>
      <c r="V74" s="675" t="str">
        <f>IFERROR(INDEX(Üldreiting!$M:$M,MATCH(U74,Üldreiting!$H:$H,0)),"")</f>
        <v/>
      </c>
      <c r="W74" s="676" t="str">
        <f t="shared" si="9"/>
        <v/>
      </c>
      <c r="X74" s="675" t="str">
        <f>IFERROR(INDEX(Üldreiting!$M:$M,MATCH(W74,Üldreiting!$H:$H,0)),"")</f>
        <v/>
      </c>
      <c r="Y74" s="674" t="str">
        <f t="shared" si="10"/>
        <v/>
      </c>
      <c r="Z74" s="675" t="str">
        <f>IFERROR(INDEX(Üldreiting!$M:$M,MATCH(Y74,Üldreiting!$H:$H,0)),"")</f>
        <v/>
      </c>
      <c r="AA74" s="676" t="str">
        <f t="shared" si="11"/>
        <v/>
      </c>
      <c r="AB74" s="675" t="str">
        <f>IFERROR(INDEX(Üldreiting!$M:$M,MATCH(AA74,Üldreiting!$H:$H,0)),"")</f>
        <v/>
      </c>
    </row>
    <row r="75" spans="18:28" hidden="1" x14ac:dyDescent="0.2">
      <c r="R75" s="672">
        <f t="shared" si="6"/>
        <v>0</v>
      </c>
      <c r="S75" s="676" t="str">
        <f t="shared" si="7"/>
        <v/>
      </c>
      <c r="T75" s="675" t="str">
        <f>IFERROR(INDEX(Üldreiting!$M:$M,MATCH(S75,Üldreiting!$H:$H,0)),"")</f>
        <v/>
      </c>
      <c r="U75" s="676" t="str">
        <f t="shared" si="8"/>
        <v/>
      </c>
      <c r="V75" s="675" t="str">
        <f>IFERROR(INDEX(Üldreiting!$M:$M,MATCH(U75,Üldreiting!$H:$H,0)),"")</f>
        <v/>
      </c>
      <c r="W75" s="676" t="str">
        <f t="shared" si="9"/>
        <v/>
      </c>
      <c r="X75" s="675" t="str">
        <f>IFERROR(INDEX(Üldreiting!$M:$M,MATCH(W75,Üldreiting!$H:$H,0)),"")</f>
        <v/>
      </c>
      <c r="Y75" s="674" t="str">
        <f t="shared" si="10"/>
        <v/>
      </c>
      <c r="Z75" s="675" t="str">
        <f>IFERROR(INDEX(Üldreiting!$M:$M,MATCH(Y75,Üldreiting!$H:$H,0)),"")</f>
        <v/>
      </c>
      <c r="AA75" s="676" t="str">
        <f t="shared" si="11"/>
        <v/>
      </c>
      <c r="AB75" s="675" t="str">
        <f>IFERROR(INDEX(Üldreiting!$M:$M,MATCH(AA75,Üldreiting!$H:$H,0)),"")</f>
        <v/>
      </c>
    </row>
    <row r="76" spans="18:28" hidden="1" x14ac:dyDescent="0.2">
      <c r="R76" s="672">
        <f t="shared" si="6"/>
        <v>0</v>
      </c>
      <c r="S76" s="676" t="str">
        <f t="shared" si="7"/>
        <v/>
      </c>
      <c r="T76" s="675" t="str">
        <f>IFERROR(INDEX(Üldreiting!$M:$M,MATCH(S76,Üldreiting!$H:$H,0)),"")</f>
        <v/>
      </c>
      <c r="U76" s="676" t="str">
        <f t="shared" si="8"/>
        <v/>
      </c>
      <c r="V76" s="675" t="str">
        <f>IFERROR(INDEX(Üldreiting!$M:$M,MATCH(U76,Üldreiting!$H:$H,0)),"")</f>
        <v/>
      </c>
      <c r="W76" s="676" t="str">
        <f t="shared" si="9"/>
        <v/>
      </c>
      <c r="X76" s="675" t="str">
        <f>IFERROR(INDEX(Üldreiting!$M:$M,MATCH(W76,Üldreiting!$H:$H,0)),"")</f>
        <v/>
      </c>
      <c r="Y76" s="674" t="str">
        <f t="shared" si="10"/>
        <v/>
      </c>
      <c r="Z76" s="675" t="str">
        <f>IFERROR(INDEX(Üldreiting!$M:$M,MATCH(Y76,Üldreiting!$H:$H,0)),"")</f>
        <v/>
      </c>
      <c r="AA76" s="676" t="str">
        <f t="shared" si="11"/>
        <v/>
      </c>
      <c r="AB76" s="675" t="str">
        <f>IFERROR(INDEX(Üldreiting!$M:$M,MATCH(AA76,Üldreiting!$H:$H,0)),"")</f>
        <v/>
      </c>
    </row>
    <row r="77" spans="18:28" hidden="1" x14ac:dyDescent="0.2">
      <c r="R77" s="672">
        <f t="shared" si="6"/>
        <v>0</v>
      </c>
      <c r="S77" s="676" t="str">
        <f t="shared" si="7"/>
        <v/>
      </c>
      <c r="T77" s="675" t="str">
        <f>IFERROR(INDEX(Üldreiting!$M:$M,MATCH(S77,Üldreiting!$H:$H,0)),"")</f>
        <v/>
      </c>
      <c r="U77" s="676" t="str">
        <f t="shared" si="8"/>
        <v/>
      </c>
      <c r="V77" s="675" t="str">
        <f>IFERROR(INDEX(Üldreiting!$M:$M,MATCH(U77,Üldreiting!$H:$H,0)),"")</f>
        <v/>
      </c>
      <c r="W77" s="676" t="str">
        <f t="shared" si="9"/>
        <v/>
      </c>
      <c r="X77" s="675" t="str">
        <f>IFERROR(INDEX(Üldreiting!$M:$M,MATCH(W77,Üldreiting!$H:$H,0)),"")</f>
        <v/>
      </c>
      <c r="Y77" s="674" t="str">
        <f t="shared" si="10"/>
        <v/>
      </c>
      <c r="Z77" s="675" t="str">
        <f>IFERROR(INDEX(Üldreiting!$M:$M,MATCH(Y77,Üldreiting!$H:$H,0)),"")</f>
        <v/>
      </c>
      <c r="AA77" s="676" t="str">
        <f t="shared" si="11"/>
        <v/>
      </c>
      <c r="AB77" s="675" t="str">
        <f>IFERROR(INDEX(Üldreiting!$M:$M,MATCH(AA77,Üldreiting!$H:$H,0)),"")</f>
        <v/>
      </c>
    </row>
    <row r="78" spans="18:28" hidden="1" x14ac:dyDescent="0.2">
      <c r="R78" s="672">
        <f t="shared" si="6"/>
        <v>0</v>
      </c>
      <c r="S78" s="676" t="str">
        <f t="shared" si="7"/>
        <v/>
      </c>
      <c r="T78" s="675" t="str">
        <f>IFERROR(INDEX(Üldreiting!$M:$M,MATCH(S78,Üldreiting!$H:$H,0)),"")</f>
        <v/>
      </c>
      <c r="U78" s="676" t="str">
        <f t="shared" si="8"/>
        <v/>
      </c>
      <c r="V78" s="675" t="str">
        <f>IFERROR(INDEX(Üldreiting!$M:$M,MATCH(U78,Üldreiting!$H:$H,0)),"")</f>
        <v/>
      </c>
      <c r="W78" s="676" t="str">
        <f t="shared" si="9"/>
        <v/>
      </c>
      <c r="X78" s="675" t="str">
        <f>IFERROR(INDEX(Üldreiting!$M:$M,MATCH(W78,Üldreiting!$H:$H,0)),"")</f>
        <v/>
      </c>
      <c r="Y78" s="674" t="str">
        <f t="shared" si="10"/>
        <v/>
      </c>
      <c r="Z78" s="675" t="str">
        <f>IFERROR(INDEX(Üldreiting!$M:$M,MATCH(Y78,Üldreiting!$H:$H,0)),"")</f>
        <v/>
      </c>
      <c r="AA78" s="676" t="str">
        <f t="shared" si="11"/>
        <v/>
      </c>
      <c r="AB78" s="675" t="str">
        <f>IFERROR(INDEX(Üldreiting!$M:$M,MATCH(AA78,Üldreiting!$H:$H,0)),"")</f>
        <v/>
      </c>
    </row>
    <row r="79" spans="18:28" hidden="1" x14ac:dyDescent="0.2">
      <c r="R79" s="672">
        <f t="shared" si="6"/>
        <v>0</v>
      </c>
      <c r="S79" s="676" t="str">
        <f t="shared" si="7"/>
        <v/>
      </c>
      <c r="T79" s="675" t="str">
        <f>IFERROR(INDEX(Üldreiting!$M:$M,MATCH(S79,Üldreiting!$H:$H,0)),"")</f>
        <v/>
      </c>
      <c r="U79" s="676" t="str">
        <f t="shared" si="8"/>
        <v/>
      </c>
      <c r="V79" s="675" t="str">
        <f>IFERROR(INDEX(Üldreiting!$M:$M,MATCH(U79,Üldreiting!$H:$H,0)),"")</f>
        <v/>
      </c>
      <c r="W79" s="676" t="str">
        <f t="shared" si="9"/>
        <v/>
      </c>
      <c r="X79" s="675" t="str">
        <f>IFERROR(INDEX(Üldreiting!$M:$M,MATCH(W79,Üldreiting!$H:$H,0)),"")</f>
        <v/>
      </c>
      <c r="Y79" s="674" t="str">
        <f t="shared" si="10"/>
        <v/>
      </c>
      <c r="Z79" s="675" t="str">
        <f>IFERROR(INDEX(Üldreiting!$M:$M,MATCH(Y79,Üldreiting!$H:$H,0)),"")</f>
        <v/>
      </c>
      <c r="AA79" s="676" t="str">
        <f t="shared" si="11"/>
        <v/>
      </c>
      <c r="AB79" s="675" t="str">
        <f>IFERROR(INDEX(Üldreiting!$M:$M,MATCH(AA79,Üldreiting!$H:$H,0)),"")</f>
        <v/>
      </c>
    </row>
    <row r="80" spans="18:28" hidden="1" x14ac:dyDescent="0.2">
      <c r="R80" s="672">
        <f t="shared" si="6"/>
        <v>0</v>
      </c>
      <c r="S80" s="676" t="str">
        <f t="shared" si="7"/>
        <v/>
      </c>
      <c r="T80" s="675" t="str">
        <f>IFERROR(INDEX(Üldreiting!$M:$M,MATCH(S80,Üldreiting!$H:$H,0)),"")</f>
        <v/>
      </c>
      <c r="U80" s="676" t="str">
        <f t="shared" si="8"/>
        <v/>
      </c>
      <c r="V80" s="675" t="str">
        <f>IFERROR(INDEX(Üldreiting!$M:$M,MATCH(U80,Üldreiting!$H:$H,0)),"")</f>
        <v/>
      </c>
      <c r="W80" s="676" t="str">
        <f t="shared" si="9"/>
        <v/>
      </c>
      <c r="X80" s="675" t="str">
        <f>IFERROR(INDEX(Üldreiting!$M:$M,MATCH(W80,Üldreiting!$H:$H,0)),"")</f>
        <v/>
      </c>
      <c r="Y80" s="674" t="str">
        <f t="shared" si="10"/>
        <v/>
      </c>
      <c r="Z80" s="675" t="str">
        <f>IFERROR(INDEX(Üldreiting!$M:$M,MATCH(Y80,Üldreiting!$H:$H,0)),"")</f>
        <v/>
      </c>
      <c r="AA80" s="676" t="str">
        <f t="shared" si="11"/>
        <v/>
      </c>
      <c r="AB80" s="675" t="str">
        <f>IFERROR(INDEX(Üldreiting!$M:$M,MATCH(AA80,Üldreiting!$H:$H,0)),"")</f>
        <v/>
      </c>
    </row>
    <row r="81" spans="18:28" hidden="1" x14ac:dyDescent="0.2">
      <c r="R81" s="672">
        <f t="shared" si="6"/>
        <v>0</v>
      </c>
      <c r="S81" s="676" t="str">
        <f t="shared" si="7"/>
        <v/>
      </c>
      <c r="T81" s="675" t="str">
        <f>IFERROR(INDEX(Üldreiting!$M:$M,MATCH(S81,Üldreiting!$H:$H,0)),"")</f>
        <v/>
      </c>
      <c r="U81" s="676" t="str">
        <f t="shared" si="8"/>
        <v/>
      </c>
      <c r="V81" s="675" t="str">
        <f>IFERROR(INDEX(Üldreiting!$M:$M,MATCH(U81,Üldreiting!$H:$H,0)),"")</f>
        <v/>
      </c>
      <c r="W81" s="676" t="str">
        <f t="shared" si="9"/>
        <v/>
      </c>
      <c r="X81" s="675" t="str">
        <f>IFERROR(INDEX(Üldreiting!$M:$M,MATCH(W81,Üldreiting!$H:$H,0)),"")</f>
        <v/>
      </c>
      <c r="Y81" s="674" t="str">
        <f t="shared" si="10"/>
        <v/>
      </c>
      <c r="Z81" s="675" t="str">
        <f>IFERROR(INDEX(Üldreiting!$M:$M,MATCH(Y81,Üldreiting!$H:$H,0)),"")</f>
        <v/>
      </c>
      <c r="AA81" s="676" t="str">
        <f t="shared" si="11"/>
        <v/>
      </c>
      <c r="AB81" s="675" t="str">
        <f>IFERROR(INDEX(Üldreiting!$M:$M,MATCH(AA81,Üldreiting!$H:$H,0)),"")</f>
        <v/>
      </c>
    </row>
    <row r="82" spans="18:28" hidden="1" x14ac:dyDescent="0.2">
      <c r="R82" s="672">
        <f t="shared" si="6"/>
        <v>0</v>
      </c>
      <c r="S82" s="676" t="str">
        <f t="shared" si="7"/>
        <v/>
      </c>
      <c r="T82" s="675" t="str">
        <f>IFERROR(INDEX(Üldreiting!$M:$M,MATCH(S82,Üldreiting!$H:$H,0)),"")</f>
        <v/>
      </c>
      <c r="U82" s="676" t="str">
        <f t="shared" si="8"/>
        <v/>
      </c>
      <c r="V82" s="675" t="str">
        <f>IFERROR(INDEX(Üldreiting!$M:$M,MATCH(U82,Üldreiting!$H:$H,0)),"")</f>
        <v/>
      </c>
      <c r="W82" s="676" t="str">
        <f t="shared" si="9"/>
        <v/>
      </c>
      <c r="X82" s="675" t="str">
        <f>IFERROR(INDEX(Üldreiting!$M:$M,MATCH(W82,Üldreiting!$H:$H,0)),"")</f>
        <v/>
      </c>
      <c r="Y82" s="674" t="str">
        <f t="shared" si="10"/>
        <v/>
      </c>
      <c r="Z82" s="675" t="str">
        <f>IFERROR(INDEX(Üldreiting!$M:$M,MATCH(Y82,Üldreiting!$H:$H,0)),"")</f>
        <v/>
      </c>
      <c r="AA82" s="676" t="str">
        <f t="shared" si="11"/>
        <v/>
      </c>
      <c r="AB82" s="675" t="str">
        <f>IFERROR(INDEX(Üldreiting!$M:$M,MATCH(AA82,Üldreiting!$H:$H,0)),"")</f>
        <v/>
      </c>
    </row>
    <row r="83" spans="18:28" hidden="1" x14ac:dyDescent="0.2">
      <c r="R83" s="672">
        <f t="shared" ref="R83:R98" si="12">SUM(T83:AB83)</f>
        <v>0</v>
      </c>
      <c r="S83" s="676" t="str">
        <f t="shared" si="7"/>
        <v/>
      </c>
      <c r="T83" s="675" t="str">
        <f>IFERROR(INDEX(Üldreiting!$M:$M,MATCH(S83,Üldreiting!$H:$H,0)),"")</f>
        <v/>
      </c>
      <c r="U83" s="676" t="str">
        <f t="shared" si="8"/>
        <v/>
      </c>
      <c r="V83" s="675" t="str">
        <f>IFERROR(INDEX(Üldreiting!$M:$M,MATCH(U83,Üldreiting!$H:$H,0)),"")</f>
        <v/>
      </c>
      <c r="W83" s="676" t="str">
        <f t="shared" si="9"/>
        <v/>
      </c>
      <c r="X83" s="675" t="str">
        <f>IFERROR(INDEX(Üldreiting!$M:$M,MATCH(W83,Üldreiting!$H:$H,0)),"")</f>
        <v/>
      </c>
      <c r="Y83" s="674" t="str">
        <f t="shared" si="10"/>
        <v/>
      </c>
      <c r="Z83" s="675" t="str">
        <f>IFERROR(INDEX(Üldreiting!$M:$M,MATCH(Y83,Üldreiting!$H:$H,0)),"")</f>
        <v/>
      </c>
      <c r="AA83" s="676" t="str">
        <f t="shared" si="11"/>
        <v/>
      </c>
      <c r="AB83" s="675" t="str">
        <f>IFERROR(INDEX(Üldreiting!$M:$M,MATCH(AA83,Üldreiting!$H:$H,0)),"")</f>
        <v/>
      </c>
    </row>
    <row r="84" spans="18:28" hidden="1" x14ac:dyDescent="0.2">
      <c r="R84" s="672">
        <f t="shared" si="12"/>
        <v>0</v>
      </c>
      <c r="S84" s="676" t="str">
        <f t="shared" si="7"/>
        <v/>
      </c>
      <c r="T84" s="675" t="str">
        <f>IFERROR(INDEX(Üldreiting!$M:$M,MATCH(S84,Üldreiting!$H:$H,0)),"")</f>
        <v/>
      </c>
      <c r="U84" s="676" t="str">
        <f t="shared" si="8"/>
        <v/>
      </c>
      <c r="V84" s="675" t="str">
        <f>IFERROR(INDEX(Üldreiting!$M:$M,MATCH(U84,Üldreiting!$H:$H,0)),"")</f>
        <v/>
      </c>
      <c r="W84" s="676" t="str">
        <f t="shared" si="9"/>
        <v/>
      </c>
      <c r="X84" s="675" t="str">
        <f>IFERROR(INDEX(Üldreiting!$M:$M,MATCH(W84,Üldreiting!$H:$H,0)),"")</f>
        <v/>
      </c>
      <c r="Y84" s="674" t="str">
        <f t="shared" si="10"/>
        <v/>
      </c>
      <c r="Z84" s="675" t="str">
        <f>IFERROR(INDEX(Üldreiting!$M:$M,MATCH(Y84,Üldreiting!$H:$H,0)),"")</f>
        <v/>
      </c>
      <c r="AA84" s="676" t="str">
        <f t="shared" si="11"/>
        <v/>
      </c>
      <c r="AB84" s="675" t="str">
        <f>IFERROR(INDEX(Üldreiting!$M:$M,MATCH(AA84,Üldreiting!$H:$H,0)),"")</f>
        <v/>
      </c>
    </row>
    <row r="85" spans="18:28" hidden="1" x14ac:dyDescent="0.2">
      <c r="R85" s="672">
        <f t="shared" si="12"/>
        <v>0</v>
      </c>
      <c r="S85" s="676" t="str">
        <f t="shared" si="7"/>
        <v/>
      </c>
      <c r="T85" s="675" t="str">
        <f>IFERROR(INDEX(Üldreiting!$M:$M,MATCH(S85,Üldreiting!$H:$H,0)),"")</f>
        <v/>
      </c>
      <c r="U85" s="676" t="str">
        <f t="shared" si="8"/>
        <v/>
      </c>
      <c r="V85" s="675" t="str">
        <f>IFERROR(INDEX(Üldreiting!$M:$M,MATCH(U85,Üldreiting!$H:$H,0)),"")</f>
        <v/>
      </c>
      <c r="W85" s="676" t="str">
        <f t="shared" si="9"/>
        <v/>
      </c>
      <c r="X85" s="675" t="str">
        <f>IFERROR(INDEX(Üldreiting!$M:$M,MATCH(W85,Üldreiting!$H:$H,0)),"")</f>
        <v/>
      </c>
      <c r="Y85" s="674" t="str">
        <f t="shared" si="10"/>
        <v/>
      </c>
      <c r="Z85" s="675" t="str">
        <f>IFERROR(INDEX(Üldreiting!$M:$M,MATCH(Y85,Üldreiting!$H:$H,0)),"")</f>
        <v/>
      </c>
      <c r="AA85" s="676" t="str">
        <f t="shared" si="11"/>
        <v/>
      </c>
      <c r="AB85" s="675" t="str">
        <f>IFERROR(INDEX(Üldreiting!$M:$M,MATCH(AA85,Üldreiting!$H:$H,0)),"")</f>
        <v/>
      </c>
    </row>
    <row r="86" spans="18:28" hidden="1" x14ac:dyDescent="0.2">
      <c r="R86" s="672">
        <f t="shared" si="12"/>
        <v>0</v>
      </c>
      <c r="S86" s="676" t="str">
        <f t="shared" si="7"/>
        <v/>
      </c>
      <c r="T86" s="675" t="str">
        <f>IFERROR(INDEX(Üldreiting!$M:$M,MATCH(S86,Üldreiting!$H:$H,0)),"")</f>
        <v/>
      </c>
      <c r="U86" s="676" t="str">
        <f t="shared" si="8"/>
        <v/>
      </c>
      <c r="V86" s="675" t="str">
        <f>IFERROR(INDEX(Üldreiting!$M:$M,MATCH(U86,Üldreiting!$H:$H,0)),"")</f>
        <v/>
      </c>
      <c r="W86" s="676" t="str">
        <f t="shared" si="9"/>
        <v/>
      </c>
      <c r="X86" s="675" t="str">
        <f>IFERROR(INDEX(Üldreiting!$M:$M,MATCH(W86,Üldreiting!$H:$H,0)),"")</f>
        <v/>
      </c>
      <c r="Y86" s="674" t="str">
        <f t="shared" si="10"/>
        <v/>
      </c>
      <c r="Z86" s="675" t="str">
        <f>IFERROR(INDEX(Üldreiting!$M:$M,MATCH(Y86,Üldreiting!$H:$H,0)),"")</f>
        <v/>
      </c>
      <c r="AA86" s="676" t="str">
        <f t="shared" si="11"/>
        <v/>
      </c>
      <c r="AB86" s="675" t="str">
        <f>IFERROR(INDEX(Üldreiting!$M:$M,MATCH(AA86,Üldreiting!$H:$H,0)),"")</f>
        <v/>
      </c>
    </row>
    <row r="87" spans="18:28" hidden="1" x14ac:dyDescent="0.2">
      <c r="R87" s="672">
        <f t="shared" si="12"/>
        <v>0</v>
      </c>
      <c r="S87" s="676" t="str">
        <f t="shared" si="7"/>
        <v/>
      </c>
      <c r="T87" s="675" t="str">
        <f>IFERROR(INDEX(Üldreiting!$M:$M,MATCH(S87,Üldreiting!$H:$H,0)),"")</f>
        <v/>
      </c>
      <c r="U87" s="676" t="str">
        <f t="shared" si="8"/>
        <v/>
      </c>
      <c r="V87" s="675" t="str">
        <f>IFERROR(INDEX(Üldreiting!$M:$M,MATCH(U87,Üldreiting!$H:$H,0)),"")</f>
        <v/>
      </c>
      <c r="W87" s="676" t="str">
        <f t="shared" si="9"/>
        <v/>
      </c>
      <c r="X87" s="675" t="str">
        <f>IFERROR(INDEX(Üldreiting!$M:$M,MATCH(W87,Üldreiting!$H:$H,0)),"")</f>
        <v/>
      </c>
      <c r="Y87" s="674" t="str">
        <f t="shared" si="10"/>
        <v/>
      </c>
      <c r="Z87" s="675" t="str">
        <f>IFERROR(INDEX(Üldreiting!$M:$M,MATCH(Y87,Üldreiting!$H:$H,0)),"")</f>
        <v/>
      </c>
      <c r="AA87" s="676" t="str">
        <f t="shared" si="11"/>
        <v/>
      </c>
      <c r="AB87" s="675" t="str">
        <f>IFERROR(INDEX(Üldreiting!$M:$M,MATCH(AA87,Üldreiting!$H:$H,0)),"")</f>
        <v/>
      </c>
    </row>
    <row r="88" spans="18:28" hidden="1" x14ac:dyDescent="0.2">
      <c r="R88" s="672">
        <f t="shared" si="12"/>
        <v>0</v>
      </c>
      <c r="S88" s="676" t="str">
        <f t="shared" si="7"/>
        <v/>
      </c>
      <c r="T88" s="675" t="str">
        <f>IFERROR(INDEX(Üldreiting!$M:$M,MATCH(S88,Üldreiting!$H:$H,0)),"")</f>
        <v/>
      </c>
      <c r="U88" s="676" t="str">
        <f t="shared" si="8"/>
        <v/>
      </c>
      <c r="V88" s="675" t="str">
        <f>IFERROR(INDEX(Üldreiting!$M:$M,MATCH(U88,Üldreiting!$H:$H,0)),"")</f>
        <v/>
      </c>
      <c r="W88" s="676" t="str">
        <f t="shared" si="9"/>
        <v/>
      </c>
      <c r="X88" s="675" t="str">
        <f>IFERROR(INDEX(Üldreiting!$M:$M,MATCH(W88,Üldreiting!$H:$H,0)),"")</f>
        <v/>
      </c>
      <c r="Y88" s="674" t="str">
        <f t="shared" si="10"/>
        <v/>
      </c>
      <c r="Z88" s="675" t="str">
        <f>IFERROR(INDEX(Üldreiting!$M:$M,MATCH(Y88,Üldreiting!$H:$H,0)),"")</f>
        <v/>
      </c>
      <c r="AA88" s="676" t="str">
        <f t="shared" si="11"/>
        <v/>
      </c>
      <c r="AB88" s="675" t="str">
        <f>IFERROR(INDEX(Üldreiting!$M:$M,MATCH(AA88,Üldreiting!$H:$H,0)),"")</f>
        <v/>
      </c>
    </row>
    <row r="89" spans="18:28" hidden="1" x14ac:dyDescent="0.2">
      <c r="R89" s="672">
        <f t="shared" si="12"/>
        <v>0</v>
      </c>
      <c r="S89" s="676" t="str">
        <f t="shared" si="7"/>
        <v/>
      </c>
      <c r="T89" s="675" t="str">
        <f>IFERROR(INDEX(Üldreiting!$M:$M,MATCH(S89,Üldreiting!$H:$H,0)),"")</f>
        <v/>
      </c>
      <c r="U89" s="676" t="str">
        <f t="shared" si="8"/>
        <v/>
      </c>
      <c r="V89" s="675" t="str">
        <f>IFERROR(INDEX(Üldreiting!$M:$M,MATCH(U89,Üldreiting!$H:$H,0)),"")</f>
        <v/>
      </c>
      <c r="W89" s="676" t="str">
        <f t="shared" si="9"/>
        <v/>
      </c>
      <c r="X89" s="675" t="str">
        <f>IFERROR(INDEX(Üldreiting!$M:$M,MATCH(W89,Üldreiting!$H:$H,0)),"")</f>
        <v/>
      </c>
      <c r="Y89" s="674" t="str">
        <f t="shared" si="10"/>
        <v/>
      </c>
      <c r="Z89" s="675" t="str">
        <f>IFERROR(INDEX(Üldreiting!$M:$M,MATCH(Y89,Üldreiting!$H:$H,0)),"")</f>
        <v/>
      </c>
      <c r="AA89" s="676" t="str">
        <f t="shared" si="11"/>
        <v/>
      </c>
      <c r="AB89" s="675" t="str">
        <f>IFERROR(INDEX(Üldreiting!$M:$M,MATCH(AA89,Üldreiting!$H:$H,0)),"")</f>
        <v/>
      </c>
    </row>
    <row r="90" spans="18:28" hidden="1" x14ac:dyDescent="0.2">
      <c r="R90" s="672">
        <f t="shared" si="12"/>
        <v>0</v>
      </c>
      <c r="S90" s="676" t="str">
        <f t="shared" si="7"/>
        <v/>
      </c>
      <c r="T90" s="675" t="str">
        <f>IFERROR(INDEX(Üldreiting!$M:$M,MATCH(S90,Üldreiting!$H:$H,0)),"")</f>
        <v/>
      </c>
      <c r="U90" s="676" t="str">
        <f t="shared" si="8"/>
        <v/>
      </c>
      <c r="V90" s="675" t="str">
        <f>IFERROR(INDEX(Üldreiting!$M:$M,MATCH(U90,Üldreiting!$H:$H,0)),"")</f>
        <v/>
      </c>
      <c r="W90" s="676" t="str">
        <f t="shared" si="9"/>
        <v/>
      </c>
      <c r="X90" s="675" t="str">
        <f>IFERROR(INDEX(Üldreiting!$M:$M,MATCH(W90,Üldreiting!$H:$H,0)),"")</f>
        <v/>
      </c>
      <c r="Y90" s="674" t="str">
        <f t="shared" si="10"/>
        <v/>
      </c>
      <c r="Z90" s="675" t="str">
        <f>IFERROR(INDEX(Üldreiting!$M:$M,MATCH(Y90,Üldreiting!$H:$H,0)),"")</f>
        <v/>
      </c>
      <c r="AA90" s="676" t="str">
        <f t="shared" si="11"/>
        <v/>
      </c>
      <c r="AB90" s="675" t="str">
        <f>IFERROR(INDEX(Üldreiting!$M:$M,MATCH(AA90,Üldreiting!$H:$H,0)),"")</f>
        <v/>
      </c>
    </row>
    <row r="91" spans="18:28" hidden="1" x14ac:dyDescent="0.2">
      <c r="R91" s="672">
        <f t="shared" si="12"/>
        <v>0</v>
      </c>
      <c r="S91" s="676" t="str">
        <f t="shared" si="7"/>
        <v/>
      </c>
      <c r="T91" s="675" t="str">
        <f>IFERROR(INDEX(Üldreiting!$M:$M,MATCH(S91,Üldreiting!$H:$H,0)),"")</f>
        <v/>
      </c>
      <c r="U91" s="676" t="str">
        <f t="shared" si="8"/>
        <v/>
      </c>
      <c r="V91" s="675" t="str">
        <f>IFERROR(INDEX(Üldreiting!$M:$M,MATCH(U91,Üldreiting!$H:$H,0)),"")</f>
        <v/>
      </c>
      <c r="W91" s="676" t="str">
        <f t="shared" si="9"/>
        <v/>
      </c>
      <c r="X91" s="675" t="str">
        <f>IFERROR(INDEX(Üldreiting!$M:$M,MATCH(W91,Üldreiting!$H:$H,0)),"")</f>
        <v/>
      </c>
      <c r="Y91" s="674" t="str">
        <f t="shared" si="10"/>
        <v/>
      </c>
      <c r="Z91" s="675" t="str">
        <f>IFERROR(INDEX(Üldreiting!$M:$M,MATCH(Y91,Üldreiting!$H:$H,0)),"")</f>
        <v/>
      </c>
      <c r="AA91" s="676" t="str">
        <f t="shared" si="11"/>
        <v/>
      </c>
      <c r="AB91" s="675" t="str">
        <f>IFERROR(INDEX(Üldreiting!$M:$M,MATCH(AA91,Üldreiting!$H:$H,0)),"")</f>
        <v/>
      </c>
    </row>
    <row r="92" spans="18:28" hidden="1" x14ac:dyDescent="0.2">
      <c r="R92" s="672">
        <f t="shared" si="12"/>
        <v>0</v>
      </c>
      <c r="S92" s="676" t="str">
        <f t="shared" si="7"/>
        <v/>
      </c>
      <c r="T92" s="675" t="str">
        <f>IFERROR(INDEX(Üldreiting!$M:$M,MATCH(S92,Üldreiting!$H:$H,0)),"")</f>
        <v/>
      </c>
      <c r="U92" s="676" t="str">
        <f t="shared" si="8"/>
        <v/>
      </c>
      <c r="V92" s="675" t="str">
        <f>IFERROR(INDEX(Üldreiting!$M:$M,MATCH(U92,Üldreiting!$H:$H,0)),"")</f>
        <v/>
      </c>
      <c r="W92" s="676" t="str">
        <f t="shared" si="9"/>
        <v/>
      </c>
      <c r="X92" s="675" t="str">
        <f>IFERROR(INDEX(Üldreiting!$M:$M,MATCH(W92,Üldreiting!$H:$H,0)),"")</f>
        <v/>
      </c>
      <c r="Y92" s="674" t="str">
        <f t="shared" si="10"/>
        <v/>
      </c>
      <c r="Z92" s="675" t="str">
        <f>IFERROR(INDEX(Üldreiting!$M:$M,MATCH(Y92,Üldreiting!$H:$H,0)),"")</f>
        <v/>
      </c>
      <c r="AA92" s="676" t="str">
        <f t="shared" si="11"/>
        <v/>
      </c>
      <c r="AB92" s="675" t="str">
        <f>IFERROR(INDEX(Üldreiting!$M:$M,MATCH(AA92,Üldreiting!$H:$H,0)),"")</f>
        <v/>
      </c>
    </row>
    <row r="93" spans="18:28" hidden="1" x14ac:dyDescent="0.2">
      <c r="R93" s="672">
        <f t="shared" si="12"/>
        <v>0</v>
      </c>
      <c r="S93" s="676" t="str">
        <f t="shared" si="7"/>
        <v/>
      </c>
      <c r="T93" s="675" t="str">
        <f>IFERROR(INDEX(Üldreiting!$M:$M,MATCH(S93,Üldreiting!$H:$H,0)),"")</f>
        <v/>
      </c>
      <c r="U93" s="676" t="str">
        <f t="shared" si="8"/>
        <v/>
      </c>
      <c r="V93" s="675" t="str">
        <f>IFERROR(INDEX(Üldreiting!$M:$M,MATCH(U93,Üldreiting!$H:$H,0)),"")</f>
        <v/>
      </c>
      <c r="W93" s="676" t="str">
        <f t="shared" si="9"/>
        <v/>
      </c>
      <c r="X93" s="675" t="str">
        <f>IFERROR(INDEX(Üldreiting!$M:$M,MATCH(W93,Üldreiting!$H:$H,0)),"")</f>
        <v/>
      </c>
      <c r="Y93" s="674" t="str">
        <f t="shared" si="10"/>
        <v/>
      </c>
      <c r="Z93" s="675" t="str">
        <f>IFERROR(INDEX(Üldreiting!$M:$M,MATCH(Y93,Üldreiting!$H:$H,0)),"")</f>
        <v/>
      </c>
      <c r="AA93" s="676" t="str">
        <f t="shared" si="11"/>
        <v/>
      </c>
      <c r="AB93" s="675" t="str">
        <f>IFERROR(INDEX(Üldreiting!$M:$M,MATCH(AA93,Üldreiting!$H:$H,0)),"")</f>
        <v/>
      </c>
    </row>
    <row r="94" spans="18:28" hidden="1" x14ac:dyDescent="0.2">
      <c r="R94" s="672">
        <f t="shared" si="12"/>
        <v>0</v>
      </c>
      <c r="S94" s="676" t="str">
        <f t="shared" si="7"/>
        <v/>
      </c>
      <c r="T94" s="675" t="str">
        <f>IFERROR(INDEX(Üldreiting!$M:$M,MATCH(S94,Üldreiting!$H:$H,0)),"")</f>
        <v/>
      </c>
      <c r="U94" s="676" t="str">
        <f t="shared" si="8"/>
        <v/>
      </c>
      <c r="V94" s="675" t="str">
        <f>IFERROR(INDEX(Üldreiting!$M:$M,MATCH(U94,Üldreiting!$H:$H,0)),"")</f>
        <v/>
      </c>
      <c r="W94" s="676" t="str">
        <f t="shared" si="9"/>
        <v/>
      </c>
      <c r="X94" s="675" t="str">
        <f>IFERROR(INDEX(Üldreiting!$M:$M,MATCH(W94,Üldreiting!$H:$H,0)),"")</f>
        <v/>
      </c>
      <c r="Y94" s="674" t="str">
        <f t="shared" si="10"/>
        <v/>
      </c>
      <c r="Z94" s="675" t="str">
        <f>IFERROR(INDEX(Üldreiting!$M:$M,MATCH(Y94,Üldreiting!$H:$H,0)),"")</f>
        <v/>
      </c>
      <c r="AA94" s="676" t="str">
        <f t="shared" si="11"/>
        <v/>
      </c>
      <c r="AB94" s="675" t="str">
        <f>IFERROR(INDEX(Üldreiting!$M:$M,MATCH(AA94,Üldreiting!$H:$H,0)),"")</f>
        <v/>
      </c>
    </row>
    <row r="95" spans="18:28" hidden="1" x14ac:dyDescent="0.2">
      <c r="R95" s="672">
        <f t="shared" si="12"/>
        <v>0</v>
      </c>
      <c r="S95" s="676" t="str">
        <f t="shared" si="7"/>
        <v/>
      </c>
      <c r="T95" s="675" t="str">
        <f>IFERROR(INDEX(Üldreiting!$M:$M,MATCH(S95,Üldreiting!$H:$H,0)),"")</f>
        <v/>
      </c>
      <c r="U95" s="676" t="str">
        <f t="shared" si="8"/>
        <v/>
      </c>
      <c r="V95" s="675" t="str">
        <f>IFERROR(INDEX(Üldreiting!$M:$M,MATCH(U95,Üldreiting!$H:$H,0)),"")</f>
        <v/>
      </c>
      <c r="W95" s="676" t="str">
        <f t="shared" si="9"/>
        <v/>
      </c>
      <c r="X95" s="675" t="str">
        <f>IFERROR(INDEX(Üldreiting!$M:$M,MATCH(W95,Üldreiting!$H:$H,0)),"")</f>
        <v/>
      </c>
      <c r="Y95" s="674" t="str">
        <f t="shared" si="10"/>
        <v/>
      </c>
      <c r="Z95" s="675" t="str">
        <f>IFERROR(INDEX(Üldreiting!$M:$M,MATCH(Y95,Üldreiting!$H:$H,0)),"")</f>
        <v/>
      </c>
      <c r="AA95" s="676" t="str">
        <f t="shared" si="11"/>
        <v/>
      </c>
      <c r="AB95" s="675" t="str">
        <f>IFERROR(INDEX(Üldreiting!$M:$M,MATCH(AA95,Üldreiting!$H:$H,0)),"")</f>
        <v/>
      </c>
    </row>
    <row r="96" spans="18:28" hidden="1" x14ac:dyDescent="0.2">
      <c r="R96" s="672">
        <f t="shared" si="12"/>
        <v>0</v>
      </c>
      <c r="S96" s="676" t="str">
        <f t="shared" si="7"/>
        <v/>
      </c>
      <c r="T96" s="675" t="str">
        <f>IFERROR(INDEX(Üldreiting!$M:$M,MATCH(S96,Üldreiting!$H:$H,0)),"")</f>
        <v/>
      </c>
      <c r="U96" s="676" t="str">
        <f t="shared" si="8"/>
        <v/>
      </c>
      <c r="V96" s="675" t="str">
        <f>IFERROR(INDEX(Üldreiting!$M:$M,MATCH(U96,Üldreiting!$H:$H,0)),"")</f>
        <v/>
      </c>
      <c r="W96" s="676" t="str">
        <f t="shared" si="9"/>
        <v/>
      </c>
      <c r="X96" s="675" t="str">
        <f>IFERROR(INDEX(Üldreiting!$M:$M,MATCH(W96,Üldreiting!$H:$H,0)),"")</f>
        <v/>
      </c>
      <c r="Y96" s="674" t="str">
        <f t="shared" si="10"/>
        <v/>
      </c>
      <c r="Z96" s="675" t="str">
        <f>IFERROR(INDEX(Üldreiting!$M:$M,MATCH(Y96,Üldreiting!$H:$H,0)),"")</f>
        <v/>
      </c>
      <c r="AA96" s="676" t="str">
        <f t="shared" si="11"/>
        <v/>
      </c>
      <c r="AB96" s="675" t="str">
        <f>IFERROR(INDEX(Üldreiting!$M:$M,MATCH(AA96,Üldreiting!$H:$H,0)),"")</f>
        <v/>
      </c>
    </row>
    <row r="97" spans="1:28" hidden="1" x14ac:dyDescent="0.2">
      <c r="R97" s="672">
        <f t="shared" si="12"/>
        <v>0</v>
      </c>
      <c r="S97" s="676" t="str">
        <f t="shared" si="7"/>
        <v/>
      </c>
      <c r="T97" s="675" t="str">
        <f>IFERROR(INDEX(Üldreiting!$M:$M,MATCH(S97,Üldreiting!$H:$H,0)),"")</f>
        <v/>
      </c>
      <c r="U97" s="676" t="str">
        <f t="shared" si="8"/>
        <v/>
      </c>
      <c r="V97" s="675" t="str">
        <f>IFERROR(INDEX(Üldreiting!$M:$M,MATCH(U97,Üldreiting!$H:$H,0)),"")</f>
        <v/>
      </c>
      <c r="W97" s="676" t="str">
        <f t="shared" si="9"/>
        <v/>
      </c>
      <c r="X97" s="675" t="str">
        <f>IFERROR(INDEX(Üldreiting!$M:$M,MATCH(W97,Üldreiting!$H:$H,0)),"")</f>
        <v/>
      </c>
      <c r="Y97" s="674" t="str">
        <f t="shared" si="10"/>
        <v/>
      </c>
      <c r="Z97" s="675" t="str">
        <f>IFERROR(INDEX(Üldreiting!$M:$M,MATCH(Y97,Üldreiting!$H:$H,0)),"")</f>
        <v/>
      </c>
      <c r="AA97" s="676" t="str">
        <f t="shared" si="11"/>
        <v/>
      </c>
      <c r="AB97" s="675" t="str">
        <f>IFERROR(INDEX(Üldreiting!$M:$M,MATCH(AA97,Üldreiting!$H:$H,0)),"")</f>
        <v/>
      </c>
    </row>
    <row r="98" spans="1:28" hidden="1" x14ac:dyDescent="0.2">
      <c r="R98" s="672">
        <f t="shared" si="12"/>
        <v>0</v>
      </c>
      <c r="S98" s="676" t="str">
        <f t="shared" si="7"/>
        <v/>
      </c>
      <c r="T98" s="675" t="str">
        <f>IFERROR(INDEX(Üldreiting!$M:$M,MATCH(S98,Üldreiting!$H:$H,0)),"")</f>
        <v/>
      </c>
      <c r="U98" s="676" t="str">
        <f t="shared" si="8"/>
        <v/>
      </c>
      <c r="V98" s="675" t="str">
        <f>IFERROR(INDEX(Üldreiting!$M:$M,MATCH(U98,Üldreiting!$H:$H,0)),"")</f>
        <v/>
      </c>
      <c r="W98" s="676" t="str">
        <f t="shared" si="9"/>
        <v/>
      </c>
      <c r="X98" s="675" t="str">
        <f>IFERROR(INDEX(Üldreiting!$M:$M,MATCH(W98,Üldreiting!$H:$H,0)),"")</f>
        <v/>
      </c>
      <c r="Y98" s="674" t="str">
        <f t="shared" si="10"/>
        <v/>
      </c>
      <c r="Z98" s="675" t="str">
        <f>IFERROR(INDEX(Üldreiting!$M:$M,MATCH(Y98,Üldreiting!$H:$H,0)),"")</f>
        <v/>
      </c>
      <c r="AA98" s="676" t="str">
        <f t="shared" si="11"/>
        <v/>
      </c>
      <c r="AB98" s="675" t="str">
        <f>IFERROR(INDEX(Üldreiting!$M:$M,MATCH(AA98,Üldreiting!$H:$H,0)),"")</f>
        <v/>
      </c>
    </row>
    <row r="100" spans="1:28" x14ac:dyDescent="0.2">
      <c r="A100" s="239" t="s">
        <v>370</v>
      </c>
      <c r="B100" s="49"/>
      <c r="C100" s="203"/>
      <c r="D100" s="203"/>
      <c r="E100" s="204"/>
      <c r="F100" s="205"/>
      <c r="G100" s="74"/>
      <c r="I100" s="70"/>
      <c r="J100" s="69"/>
      <c r="K100" s="69"/>
      <c r="L100" s="69"/>
      <c r="M100" s="69"/>
    </row>
    <row r="101" spans="1:28" x14ac:dyDescent="0.2">
      <c r="A101" s="74"/>
      <c r="B101" s="74"/>
      <c r="C101" s="74"/>
      <c r="D101" s="74"/>
      <c r="E101" s="74"/>
      <c r="F101" s="74"/>
      <c r="G101" s="74"/>
      <c r="I101" s="70"/>
      <c r="J101" s="69"/>
      <c r="K101" s="69"/>
      <c r="L101" s="69"/>
      <c r="M101" s="69"/>
    </row>
    <row r="102" spans="1:28" x14ac:dyDescent="0.2">
      <c r="A102" s="240" t="s">
        <v>497</v>
      </c>
      <c r="B102" s="641" t="str">
        <f>IFERROR(INDEX(B$1:B$100,MATCH(A102,G$1:G$100,0)),"")</f>
        <v>Jaan Sepp, Mait Metsla, Oskar Sepp</v>
      </c>
      <c r="C102" s="74">
        <v>2</v>
      </c>
      <c r="D102" s="74"/>
      <c r="E102" s="74"/>
      <c r="F102" s="74"/>
      <c r="G102" s="74"/>
      <c r="I102" s="70"/>
      <c r="J102" s="262"/>
      <c r="K102" s="262"/>
      <c r="L102" s="262"/>
      <c r="M102" s="69"/>
    </row>
    <row r="103" spans="1:28" x14ac:dyDescent="0.2">
      <c r="A103" s="242"/>
      <c r="B103" s="649"/>
      <c r="C103" s="74" t="str">
        <f>IF(COUNT(C102,C104)=2,IF(C102&gt;C104,B102,B104),"")</f>
        <v>Aimar Poom, Kertu Palm, Valmar Pantšenko</v>
      </c>
      <c r="D103" s="69"/>
      <c r="E103" s="419">
        <v>13</v>
      </c>
      <c r="F103" s="74"/>
      <c r="G103" s="74"/>
      <c r="H103" s="74"/>
      <c r="I103" s="74"/>
      <c r="K103" s="69"/>
    </row>
    <row r="104" spans="1:28" x14ac:dyDescent="0.2">
      <c r="A104" s="242" t="s">
        <v>504</v>
      </c>
      <c r="B104" s="644" t="str">
        <f>IFERROR(INDEX(B$1:B$100,MATCH(A104,G$1:G$100,0)),"")</f>
        <v>Aimar Poom, Kertu Palm, Valmar Pantšenko</v>
      </c>
      <c r="C104" s="646">
        <v>13</v>
      </c>
      <c r="D104" s="652"/>
      <c r="E104" s="74"/>
      <c r="F104" s="74"/>
      <c r="G104" s="74"/>
      <c r="H104" s="74"/>
      <c r="I104" s="74"/>
      <c r="K104" s="69"/>
    </row>
    <row r="105" spans="1:28" x14ac:dyDescent="0.2">
      <c r="A105" s="242"/>
      <c r="B105" s="645"/>
      <c r="C105" s="49"/>
      <c r="D105" s="653"/>
      <c r="E105" s="417" t="str">
        <f>IF(COUNT(E103,E107)=2,IF(E103&gt;E107,C103,C107),"")</f>
        <v>Aimar Poom, Kertu Palm, Valmar Pantšenko</v>
      </c>
      <c r="F105" s="69"/>
      <c r="G105" s="241">
        <v>13</v>
      </c>
      <c r="H105" s="74"/>
      <c r="I105" s="74"/>
    </row>
    <row r="106" spans="1:28" x14ac:dyDescent="0.2">
      <c r="A106" s="242" t="s">
        <v>507</v>
      </c>
      <c r="B106" s="641" t="str">
        <f>IFERROR(INDEX(B$1:B$100,MATCH(A106,G$1:G$100,0)),"")</f>
        <v>Aigi Orro, Elmo Lageda, Kalle Orro</v>
      </c>
      <c r="C106" s="74">
        <v>0</v>
      </c>
      <c r="D106" s="653"/>
      <c r="E106" s="646"/>
      <c r="F106" s="652"/>
      <c r="G106" s="74"/>
      <c r="H106" s="74"/>
      <c r="I106" s="74"/>
    </row>
    <row r="107" spans="1:28" x14ac:dyDescent="0.2">
      <c r="A107" s="242"/>
      <c r="B107" s="649"/>
      <c r="C107" s="74" t="str">
        <f>IF(COUNT(C106,C108)=2,IF(C106&gt;C108,B106,B108),"")</f>
        <v>Kalju Olmre, Katri Aavekukk, Külli Kariste</v>
      </c>
      <c r="D107" s="655"/>
      <c r="E107" s="247">
        <v>6</v>
      </c>
      <c r="F107" s="653"/>
      <c r="G107" s="74"/>
      <c r="H107" s="74"/>
      <c r="I107" s="74"/>
    </row>
    <row r="108" spans="1:28" x14ac:dyDescent="0.2">
      <c r="A108" s="242" t="s">
        <v>508</v>
      </c>
      <c r="B108" s="644" t="str">
        <f>IFERROR(INDEX(B$1:B$100,MATCH(A108,G$1:G$100,0)),"")</f>
        <v>Kalju Olmre, Katri Aavekukk, Külli Kariste</v>
      </c>
      <c r="C108" s="646">
        <v>13</v>
      </c>
      <c r="D108" s="69"/>
      <c r="E108" s="49"/>
      <c r="F108" s="653"/>
      <c r="G108" s="74"/>
      <c r="H108" s="74"/>
      <c r="I108" s="74"/>
    </row>
    <row r="109" spans="1:28" ht="13.5" thickBot="1" x14ac:dyDescent="0.25">
      <c r="A109" s="41"/>
      <c r="B109" s="645"/>
      <c r="C109" s="74"/>
      <c r="D109" s="69"/>
      <c r="E109" s="49"/>
      <c r="F109" s="653"/>
      <c r="G109" s="74"/>
      <c r="H109" s="425" t="str">
        <f>IF(COUNT(G105,G113)=2,IF(G105&gt;G113,E105,E113),"")</f>
        <v>Aimar Poom, Kertu Palm, Valmar Pantšenko</v>
      </c>
      <c r="I109" s="74"/>
    </row>
    <row r="110" spans="1:28" x14ac:dyDescent="0.2">
      <c r="A110" s="240" t="s">
        <v>505</v>
      </c>
      <c r="B110" s="641" t="str">
        <f>IFERROR(INDEX(B$1:B$100,MATCH(A110,G$1:G$100,0)),"")</f>
        <v>Jaan Joonas, Marek Kolk, Toomas Hoole</v>
      </c>
      <c r="C110" s="74">
        <v>13</v>
      </c>
      <c r="D110" s="69"/>
      <c r="E110" s="49"/>
      <c r="F110" s="653"/>
      <c r="G110" s="251"/>
      <c r="H110" s="250" t="s">
        <v>589</v>
      </c>
      <c r="I110" s="251"/>
    </row>
    <row r="111" spans="1:28" x14ac:dyDescent="0.2">
      <c r="A111" s="242"/>
      <c r="B111" s="649"/>
      <c r="C111" s="74" t="str">
        <f>IF(COUNT(C110,C112)=2,IF(C110&gt;C112,B110,B112),"")</f>
        <v>Jaan Joonas, Marek Kolk, Toomas Hoole</v>
      </c>
      <c r="D111" s="69"/>
      <c r="E111" s="247">
        <v>12</v>
      </c>
      <c r="F111" s="653"/>
      <c r="G111" s="49"/>
      <c r="H111" s="74"/>
      <c r="I111" s="74"/>
    </row>
    <row r="112" spans="1:28" x14ac:dyDescent="0.2">
      <c r="A112" s="242" t="s">
        <v>506</v>
      </c>
      <c r="B112" s="644" t="str">
        <f>IFERROR(INDEX(B$1:B$100,MATCH(A112,G$1:G$100,0)),"")</f>
        <v>Aivar Sein, Maive Sein, Marina Vallik</v>
      </c>
      <c r="C112" s="646">
        <v>7</v>
      </c>
      <c r="D112" s="652"/>
      <c r="E112" s="49"/>
      <c r="F112" s="653"/>
      <c r="G112" s="49"/>
      <c r="H112" s="74"/>
      <c r="I112" s="74"/>
    </row>
    <row r="113" spans="1:9" x14ac:dyDescent="0.2">
      <c r="A113" s="242"/>
      <c r="B113" s="645"/>
      <c r="C113" s="49"/>
      <c r="D113" s="653"/>
      <c r="E113" s="417" t="str">
        <f>IF(COUNT(E111,E115)=2,IF(E111&gt;E115,C111,C115),"")</f>
        <v>Jaan Lüitsepp, Svetlana Veski, Urmo Auväärt</v>
      </c>
      <c r="F113" s="655"/>
      <c r="G113" s="247">
        <v>4</v>
      </c>
      <c r="H113" s="74"/>
      <c r="I113" s="74"/>
    </row>
    <row r="114" spans="1:9" ht="13.5" thickBot="1" x14ac:dyDescent="0.25">
      <c r="A114" s="242" t="s">
        <v>503</v>
      </c>
      <c r="B114" s="641" t="str">
        <f>IFERROR(INDEX(B$1:B$100,MATCH(A114,G$1:G$100,0)),"")</f>
        <v>Igor Kostin, Jelena Tjurina, Marika Poom</v>
      </c>
      <c r="C114" s="74">
        <v>10</v>
      </c>
      <c r="D114" s="653"/>
      <c r="E114" s="49"/>
      <c r="F114" s="69"/>
      <c r="G114" s="49"/>
      <c r="H114" s="425" t="str">
        <f>IF(COUNT(G105,G113)=2,IF(G105&lt;G113,E105,E113),"")</f>
        <v>Jaan Lüitsepp, Svetlana Veski, Urmo Auväärt</v>
      </c>
      <c r="I114" s="252"/>
    </row>
    <row r="115" spans="1:9" x14ac:dyDescent="0.2">
      <c r="A115" s="242"/>
      <c r="B115" s="649"/>
      <c r="C115" s="74" t="str">
        <f>IF(COUNT(C114,C116)=2,IF(C114&gt;C116,B114,B116),"")</f>
        <v>Jaan Lüitsepp, Svetlana Veski, Urmo Auväärt</v>
      </c>
      <c r="D115" s="655"/>
      <c r="E115" s="247">
        <v>13</v>
      </c>
      <c r="F115" s="69"/>
      <c r="G115" s="49"/>
      <c r="H115" s="250" t="s">
        <v>590</v>
      </c>
      <c r="I115" s="49"/>
    </row>
    <row r="116" spans="1:9" x14ac:dyDescent="0.2">
      <c r="A116" s="242" t="s">
        <v>502</v>
      </c>
      <c r="B116" s="644" t="str">
        <f>IFERROR(INDEX(B$1:B$100,MATCH(A116,G$1:G$100,0)),"")</f>
        <v>Jaan Lüitsepp, Svetlana Veski, Urmo Auväärt</v>
      </c>
      <c r="C116" s="646">
        <v>13</v>
      </c>
      <c r="D116" s="69"/>
      <c r="E116" s="49"/>
      <c r="F116" s="69"/>
      <c r="G116" s="49"/>
      <c r="H116" s="74"/>
      <c r="I116" s="74"/>
    </row>
    <row r="117" spans="1:9" x14ac:dyDescent="0.2">
      <c r="A117" s="41"/>
      <c r="B117" s="645"/>
      <c r="C117" s="74"/>
      <c r="D117" s="69"/>
      <c r="E117" s="418" t="str">
        <f>IF(COUNT(E103,E107)=2,IF(E103&lt;E107,C103,C107),"")</f>
        <v>Kalju Olmre, Katri Aavekukk, Külli Kariste</v>
      </c>
      <c r="F117" s="69"/>
      <c r="G117" s="247">
        <v>8</v>
      </c>
      <c r="H117" s="74"/>
      <c r="I117" s="74"/>
    </row>
    <row r="118" spans="1:9" ht="13.5" thickBot="1" x14ac:dyDescent="0.25">
      <c r="A118" s="74"/>
      <c r="B118" s="74"/>
      <c r="C118" s="74"/>
      <c r="D118" s="69"/>
      <c r="E118" s="646"/>
      <c r="F118" s="652"/>
      <c r="G118" s="252"/>
      <c r="H118" s="425" t="str">
        <f>IF(COUNT(G117,G119)=2,IF(G117&gt;G119,E117,E119),"")</f>
        <v>Jaan Joonas, Marek Kolk, Toomas Hoole</v>
      </c>
      <c r="I118" s="252"/>
    </row>
    <row r="119" spans="1:9" x14ac:dyDescent="0.2">
      <c r="A119" s="74"/>
      <c r="B119" s="74"/>
      <c r="C119" s="74"/>
      <c r="D119" s="69"/>
      <c r="E119" s="417" t="str">
        <f>IF(COUNT(E111,E115)=2,IF(E111&lt;E115,C111,C115),"")</f>
        <v>Jaan Joonas, Marek Kolk, Toomas Hoole</v>
      </c>
      <c r="F119" s="655"/>
      <c r="G119" s="247">
        <v>13</v>
      </c>
      <c r="H119" s="253" t="s">
        <v>591</v>
      </c>
      <c r="I119" s="49"/>
    </row>
    <row r="120" spans="1:9" x14ac:dyDescent="0.2">
      <c r="A120" s="74"/>
      <c r="B120" s="74"/>
      <c r="C120" s="74"/>
      <c r="D120" s="69"/>
      <c r="E120" s="74"/>
      <c r="F120" s="69"/>
      <c r="G120" s="74"/>
      <c r="H120" s="49"/>
      <c r="I120" s="49"/>
    </row>
    <row r="121" spans="1:9" ht="13.5" thickBot="1" x14ac:dyDescent="0.25">
      <c r="A121" s="74"/>
      <c r="B121" s="74"/>
      <c r="C121" s="74"/>
      <c r="D121" s="69"/>
      <c r="E121" s="49"/>
      <c r="F121" s="69"/>
      <c r="G121" s="74"/>
      <c r="H121" s="425" t="str">
        <f>IF(COUNT(G117,G119)=2,IF(G117&lt;G119,E117,E119),"")</f>
        <v>Kalju Olmre, Katri Aavekukk, Külli Kariste</v>
      </c>
      <c r="I121" s="252"/>
    </row>
    <row r="122" spans="1:9" x14ac:dyDescent="0.2">
      <c r="A122" s="74"/>
      <c r="B122" s="74"/>
      <c r="C122" s="74"/>
      <c r="D122" s="69"/>
      <c r="E122" s="74"/>
      <c r="F122" s="69"/>
      <c r="G122" s="74"/>
      <c r="H122" s="41" t="s">
        <v>371</v>
      </c>
      <c r="I122" s="74"/>
    </row>
    <row r="123" spans="1:9" x14ac:dyDescent="0.2">
      <c r="A123" s="74"/>
      <c r="B123" s="74"/>
      <c r="C123" s="417" t="str">
        <f>IF(COUNT(C102,C104)=2,IF(C102&lt;C104,B102,B104),"")</f>
        <v>Jaan Sepp, Mait Metsla, Oskar Sepp</v>
      </c>
      <c r="D123" s="69"/>
      <c r="E123" s="241">
        <v>9</v>
      </c>
      <c r="F123" s="69"/>
      <c r="G123" s="241"/>
      <c r="H123" s="74"/>
      <c r="I123" s="74"/>
    </row>
    <row r="124" spans="1:9" x14ac:dyDescent="0.2">
      <c r="A124" s="74"/>
      <c r="B124" s="74"/>
      <c r="C124" s="647"/>
      <c r="D124" s="652"/>
      <c r="E124" s="643" t="str">
        <f>IF(COUNT(E123,E125)=2,IF(E123&gt;E125,C123,C125),"")</f>
        <v>Aigi Orro, Elmo Lageda, Kalle Orro</v>
      </c>
      <c r="F124" s="69"/>
      <c r="G124" s="648">
        <v>6</v>
      </c>
      <c r="H124" s="74"/>
      <c r="I124" s="74"/>
    </row>
    <row r="125" spans="1:9" x14ac:dyDescent="0.2">
      <c r="A125" s="74"/>
      <c r="B125" s="74"/>
      <c r="C125" s="417" t="str">
        <f>IF(COUNT(C106,C108)=2,IF(C106&lt;C108,B106,B108),"")</f>
        <v>Aigi Orro, Elmo Lageda, Kalle Orro</v>
      </c>
      <c r="D125" s="655"/>
      <c r="E125" s="244">
        <v>13</v>
      </c>
      <c r="F125" s="652"/>
      <c r="G125" s="241"/>
      <c r="H125" s="74"/>
      <c r="I125" s="74"/>
    </row>
    <row r="126" spans="1:9" ht="13.5" thickBot="1" x14ac:dyDescent="0.25">
      <c r="A126" s="74"/>
      <c r="B126" s="74"/>
      <c r="C126" s="241"/>
      <c r="D126" s="69"/>
      <c r="E126" s="247"/>
      <c r="F126" s="653"/>
      <c r="G126" s="241"/>
      <c r="H126" s="418" t="str">
        <f>IF(COUNT(G124,G128)=2,IF(G124&gt;G128,E124,E128),"")</f>
        <v>Igor Kostin, Jelena Tjurina, Marika Poom</v>
      </c>
      <c r="I126" s="74"/>
    </row>
    <row r="127" spans="1:9" x14ac:dyDescent="0.2">
      <c r="A127" s="74"/>
      <c r="B127" s="74"/>
      <c r="C127" s="417" t="str">
        <f>IF(COUNT(C110,C112)=2,IF(C110&lt;C112,B110,B112),"")</f>
        <v>Aivar Sein, Maive Sein, Marina Vallik</v>
      </c>
      <c r="D127" s="69"/>
      <c r="E127" s="241">
        <v>9</v>
      </c>
      <c r="F127" s="653"/>
      <c r="G127" s="420"/>
      <c r="H127" s="250" t="s">
        <v>372</v>
      </c>
      <c r="I127" s="251"/>
    </row>
    <row r="128" spans="1:9" x14ac:dyDescent="0.2">
      <c r="A128" s="74"/>
      <c r="B128" s="74"/>
      <c r="C128" s="647"/>
      <c r="D128" s="652"/>
      <c r="E128" s="643" t="str">
        <f>IF(COUNT(E127,E129)=2,IF(E127&gt;E129,C127,C129),"")</f>
        <v>Igor Kostin, Jelena Tjurina, Marika Poom</v>
      </c>
      <c r="F128" s="655"/>
      <c r="G128" s="247">
        <v>13</v>
      </c>
      <c r="H128" s="49"/>
      <c r="I128" s="49"/>
    </row>
    <row r="129" spans="1:9" ht="13.5" thickBot="1" x14ac:dyDescent="0.25">
      <c r="A129" s="74"/>
      <c r="B129" s="74"/>
      <c r="C129" s="417" t="str">
        <f>IF(COUNT(C114,C116)=2,IF(C114&lt;C116,B114,B116),"")</f>
        <v>Igor Kostin, Jelena Tjurina, Marika Poom</v>
      </c>
      <c r="D129" s="655"/>
      <c r="E129" s="244">
        <v>13</v>
      </c>
      <c r="F129" s="69"/>
      <c r="G129" s="247"/>
      <c r="H129" s="425" t="str">
        <f>IF(COUNT(G124,G128)=2,IF(G124&lt;G128,E124,E128),"")</f>
        <v>Aigi Orro, Elmo Lageda, Kalle Orro</v>
      </c>
      <c r="I129" s="252"/>
    </row>
    <row r="130" spans="1:9" x14ac:dyDescent="0.2">
      <c r="A130" s="74"/>
      <c r="B130" s="74"/>
      <c r="C130" s="241"/>
      <c r="D130" s="69"/>
      <c r="E130" s="241"/>
      <c r="F130" s="69"/>
      <c r="G130" s="247"/>
      <c r="H130" s="250" t="s">
        <v>373</v>
      </c>
      <c r="I130" s="49"/>
    </row>
    <row r="131" spans="1:9" x14ac:dyDescent="0.2">
      <c r="A131" s="74"/>
      <c r="B131" s="74"/>
      <c r="C131" s="247"/>
      <c r="D131" s="69"/>
      <c r="E131" s="418" t="str">
        <f>IF(COUNT(E123,E125)=2,IF(E123&lt;E125,C123,C125),"")</f>
        <v>Jaan Sepp, Mait Metsla, Oskar Sepp</v>
      </c>
      <c r="F131" s="69"/>
      <c r="G131" s="247">
        <v>8</v>
      </c>
      <c r="H131" s="49"/>
      <c r="I131" s="49"/>
    </row>
    <row r="132" spans="1:9" ht="13.5" thickBot="1" x14ac:dyDescent="0.25">
      <c r="A132" s="74"/>
      <c r="B132" s="74"/>
      <c r="C132" s="247"/>
      <c r="D132" s="69"/>
      <c r="E132" s="646"/>
      <c r="F132" s="652"/>
      <c r="G132" s="252"/>
      <c r="H132" s="425" t="str">
        <f>IF(COUNT(G131,G133)=2,IF(G131&gt;G133,E131,E133),"")</f>
        <v>Aivar Sein, Maive Sein, Marina Vallik</v>
      </c>
      <c r="I132" s="252"/>
    </row>
    <row r="133" spans="1:9" x14ac:dyDescent="0.2">
      <c r="A133" s="74"/>
      <c r="B133" s="74"/>
      <c r="C133" s="247"/>
      <c r="D133" s="69"/>
      <c r="E133" s="417" t="str">
        <f>IF(COUNT(E127,E129)=2,IF(E127&lt;E129,C127,C129),"")</f>
        <v>Aivar Sein, Maive Sein, Marina Vallik</v>
      </c>
      <c r="F133" s="655"/>
      <c r="G133" s="247">
        <v>13</v>
      </c>
      <c r="H133" s="253" t="s">
        <v>374</v>
      </c>
      <c r="I133" s="49"/>
    </row>
    <row r="134" spans="1:9" x14ac:dyDescent="0.2">
      <c r="A134" s="74"/>
      <c r="B134" s="74"/>
      <c r="C134" s="49"/>
      <c r="D134" s="69"/>
      <c r="E134" s="74"/>
      <c r="F134" s="69"/>
      <c r="G134" s="74"/>
      <c r="H134" s="49"/>
      <c r="I134" s="49"/>
    </row>
    <row r="135" spans="1:9" ht="13.5" thickBot="1" x14ac:dyDescent="0.25">
      <c r="A135" s="74"/>
      <c r="B135" s="74"/>
      <c r="C135" s="74"/>
      <c r="D135" s="69"/>
      <c r="E135" s="49"/>
      <c r="F135" s="69"/>
      <c r="G135" s="74"/>
      <c r="H135" s="252" t="str">
        <f>IF(COUNT(G131,G133)=2,IF(G131&lt;G133,E131,E133),"")</f>
        <v>Jaan Sepp, Mait Metsla, Oskar Sepp</v>
      </c>
      <c r="I135" s="252"/>
    </row>
    <row r="136" spans="1:9" x14ac:dyDescent="0.2">
      <c r="A136" s="202"/>
      <c r="B136" s="260"/>
      <c r="C136" s="204"/>
      <c r="D136" s="69"/>
      <c r="E136" s="204"/>
      <c r="F136" s="69"/>
      <c r="G136" s="259"/>
      <c r="H136" s="250" t="s">
        <v>375</v>
      </c>
      <c r="I136" s="238"/>
    </row>
    <row r="137" spans="1:9" x14ac:dyDescent="0.2">
      <c r="A137" s="415"/>
      <c r="B137" s="415"/>
      <c r="C137" s="415"/>
      <c r="D137" s="69"/>
      <c r="E137" s="415"/>
      <c r="F137" s="69"/>
      <c r="G137" s="415"/>
      <c r="H137" s="415"/>
      <c r="I137" s="415"/>
    </row>
    <row r="138" spans="1:9" x14ac:dyDescent="0.2">
      <c r="A138" s="239" t="s">
        <v>552</v>
      </c>
      <c r="B138" s="49"/>
      <c r="C138" s="203"/>
      <c r="D138" s="69"/>
      <c r="E138" s="203"/>
      <c r="F138" s="69"/>
      <c r="G138" s="205"/>
      <c r="H138" s="74"/>
    </row>
    <row r="139" spans="1:9" x14ac:dyDescent="0.2">
      <c r="A139" s="74"/>
      <c r="B139" s="74"/>
      <c r="C139" s="74"/>
      <c r="D139" s="69"/>
      <c r="E139" s="74"/>
      <c r="F139" s="69"/>
      <c r="G139" s="74"/>
      <c r="H139" s="74"/>
    </row>
    <row r="140" spans="1:9" x14ac:dyDescent="0.2">
      <c r="A140" s="240" t="s">
        <v>580</v>
      </c>
      <c r="B140" s="641" t="str">
        <f>IFERROR(INDEX(B$1:B$100,MATCH(A140,G$1:G$100,0)),"")</f>
        <v>Kadri Arunurm, Mare Kingissepp, Marge Mägi</v>
      </c>
      <c r="C140" s="241">
        <f>IF(A140="-",0,IF(A142="-",13,""))</f>
        <v>13</v>
      </c>
      <c r="D140" s="74"/>
      <c r="E140" s="74"/>
      <c r="F140" s="74"/>
      <c r="G140" s="74"/>
      <c r="I140" s="70"/>
    </row>
    <row r="141" spans="1:9" x14ac:dyDescent="0.2">
      <c r="A141" s="242"/>
      <c r="B141" s="649"/>
      <c r="C141" s="829" t="str">
        <f>IF(COUNT(C140,C142)=2,IF(C140&gt;C142,B140,B142),"")</f>
        <v>Kadri Arunurm, Mare Kingissepp, Marge Mägi</v>
      </c>
      <c r="D141" s="69"/>
      <c r="E141" s="419">
        <v>13</v>
      </c>
      <c r="F141" s="74"/>
      <c r="G141" s="74"/>
      <c r="H141" s="74"/>
      <c r="I141" s="74"/>
    </row>
    <row r="142" spans="1:9" x14ac:dyDescent="0.2">
      <c r="A142" s="242" t="s">
        <v>573</v>
      </c>
      <c r="B142" s="644" t="s">
        <v>573</v>
      </c>
      <c r="C142" s="244">
        <f>IF(A142="-",0,IF(A140="-",13,""))</f>
        <v>0</v>
      </c>
      <c r="D142" s="652"/>
      <c r="E142" s="74"/>
      <c r="F142" s="74"/>
      <c r="G142" s="74"/>
      <c r="H142" s="74"/>
      <c r="I142" s="74"/>
    </row>
    <row r="143" spans="1:9" x14ac:dyDescent="0.2">
      <c r="A143" s="242"/>
      <c r="B143" s="645"/>
      <c r="C143" s="49"/>
      <c r="D143" s="653"/>
      <c r="E143" s="417" t="str">
        <f>IF(COUNT(E141,E145)=2,IF(E141&gt;E145,C141,C145),"")</f>
        <v>Kadri Arunurm, Mare Kingissepp, Marge Mägi</v>
      </c>
      <c r="F143" s="69"/>
      <c r="G143" s="241">
        <v>10</v>
      </c>
      <c r="H143" s="74"/>
      <c r="I143" s="74"/>
    </row>
    <row r="144" spans="1:9" x14ac:dyDescent="0.2">
      <c r="A144" s="242" t="s">
        <v>584</v>
      </c>
      <c r="B144" s="641" t="str">
        <f>IFERROR(INDEX(B$1:B$100,MATCH(A144,G$1:G$100,0)),"")</f>
        <v>Argo Sepp, Ljudmila Varendi, Viktor Švarõgin</v>
      </c>
      <c r="C144" s="241">
        <f>IF(A144="-",0,IF(A146="-",13,""))</f>
        <v>13</v>
      </c>
      <c r="D144" s="653"/>
      <c r="E144" s="646"/>
      <c r="F144" s="652"/>
      <c r="G144" s="74"/>
      <c r="H144" s="74"/>
      <c r="I144" s="74"/>
    </row>
    <row r="145" spans="1:9" x14ac:dyDescent="0.2">
      <c r="A145" s="242"/>
      <c r="B145" s="649"/>
      <c r="C145" s="829" t="str">
        <f>IF(COUNT(C144,C146)=2,IF(C144&gt;C146,B144,B146),"")</f>
        <v>Argo Sepp, Ljudmila Varendi, Viktor Švarõgin</v>
      </c>
      <c r="D145" s="655"/>
      <c r="E145" s="247">
        <v>2</v>
      </c>
      <c r="F145" s="653"/>
      <c r="G145" s="74"/>
      <c r="H145" s="74"/>
      <c r="I145" s="74"/>
    </row>
    <row r="146" spans="1:9" x14ac:dyDescent="0.2">
      <c r="A146" s="242" t="s">
        <v>573</v>
      </c>
      <c r="B146" s="644" t="s">
        <v>573</v>
      </c>
      <c r="C146" s="244">
        <f>IF(A146="-",0,IF(A144="-",13,""))</f>
        <v>0</v>
      </c>
      <c r="D146" s="69"/>
      <c r="E146" s="49"/>
      <c r="F146" s="653"/>
      <c r="G146" s="74"/>
      <c r="H146" s="74"/>
      <c r="I146" s="74"/>
    </row>
    <row r="147" spans="1:9" ht="13.5" thickBot="1" x14ac:dyDescent="0.25">
      <c r="A147" s="41"/>
      <c r="B147" s="645"/>
      <c r="C147" s="74"/>
      <c r="D147" s="69"/>
      <c r="E147" s="49"/>
      <c r="F147" s="653"/>
      <c r="G147" s="74"/>
      <c r="H147" s="425" t="str">
        <f>IF(COUNT(G143,G151)=2,IF(G143&gt;G151,E143,E151),"")</f>
        <v>Matti Vinni, Tõnu Haga, Vello Vasser</v>
      </c>
      <c r="I147" s="74"/>
    </row>
    <row r="148" spans="1:9" x14ac:dyDescent="0.2">
      <c r="A148" s="240" t="s">
        <v>579</v>
      </c>
      <c r="B148" s="641" t="str">
        <f>IFERROR(INDEX(B$1:B$100,MATCH(A148,G$1:G$100,0)),"")</f>
        <v>Enn Laanemäe, Margus Külaviir, Ruti Loid</v>
      </c>
      <c r="C148" s="241">
        <f>IF(A148="-",0,IF(A150="-",13,""))</f>
        <v>13</v>
      </c>
      <c r="D148" s="69"/>
      <c r="E148" s="49"/>
      <c r="F148" s="653"/>
      <c r="G148" s="251"/>
      <c r="H148" s="250" t="s">
        <v>376</v>
      </c>
      <c r="I148" s="251"/>
    </row>
    <row r="149" spans="1:9" x14ac:dyDescent="0.2">
      <c r="A149" s="242"/>
      <c r="B149" s="649"/>
      <c r="C149" s="829" t="str">
        <f>IF(COUNT(C148,C150)=2,IF(C148&gt;C150,B148,B150),"")</f>
        <v>Enn Laanemäe, Margus Külaviir, Ruti Loid</v>
      </c>
      <c r="D149" s="69"/>
      <c r="E149" s="247">
        <v>1</v>
      </c>
      <c r="F149" s="653"/>
      <c r="G149" s="49"/>
      <c r="H149" s="74"/>
      <c r="I149" s="74"/>
    </row>
    <row r="150" spans="1:9" x14ac:dyDescent="0.2">
      <c r="A150" s="242" t="s">
        <v>573</v>
      </c>
      <c r="B150" s="644" t="s">
        <v>573</v>
      </c>
      <c r="C150" s="244">
        <f>IF(A150="-",0,IF(A148="-",13,""))</f>
        <v>0</v>
      </c>
      <c r="D150" s="652"/>
      <c r="E150" s="49"/>
      <c r="F150" s="653"/>
      <c r="G150" s="49"/>
      <c r="H150" s="74"/>
      <c r="I150" s="74"/>
    </row>
    <row r="151" spans="1:9" x14ac:dyDescent="0.2">
      <c r="A151" s="242"/>
      <c r="B151" s="645"/>
      <c r="C151" s="49"/>
      <c r="D151" s="653"/>
      <c r="E151" s="417" t="str">
        <f>IF(COUNT(E149,E153)=2,IF(E149&gt;E153,C149,C153),"")</f>
        <v>Matti Vinni, Tõnu Haga, Vello Vasser</v>
      </c>
      <c r="F151" s="655"/>
      <c r="G151" s="247">
        <v>13</v>
      </c>
      <c r="H151" s="74"/>
      <c r="I151" s="74"/>
    </row>
    <row r="152" spans="1:9" ht="13.5" thickBot="1" x14ac:dyDescent="0.25">
      <c r="A152" s="242" t="s">
        <v>581</v>
      </c>
      <c r="B152" s="641" t="str">
        <f>IFERROR(INDEX(B$1:B$100,MATCH(A152,G$1:G$100,0)),"")</f>
        <v>Matti Vinni, Tõnu Haga, Vello Vasser</v>
      </c>
      <c r="C152" s="241">
        <v>13</v>
      </c>
      <c r="D152" s="653"/>
      <c r="E152" s="49"/>
      <c r="F152" s="69"/>
      <c r="G152" s="49"/>
      <c r="H152" s="425" t="str">
        <f>IF(COUNT(G143,G151)=2,IF(G143&lt;G151,E143,E151),"")</f>
        <v>Kadri Arunurm, Mare Kingissepp, Marge Mägi</v>
      </c>
      <c r="I152" s="252"/>
    </row>
    <row r="153" spans="1:9" x14ac:dyDescent="0.2">
      <c r="A153" s="242"/>
      <c r="B153" s="649"/>
      <c r="C153" s="829" t="str">
        <f>IF(COUNT(C152,C154)=2,IF(C152&gt;C154,B152,B154),"")</f>
        <v>Matti Vinni, Tõnu Haga, Vello Vasser</v>
      </c>
      <c r="D153" s="655"/>
      <c r="E153" s="247">
        <v>13</v>
      </c>
      <c r="F153" s="69"/>
      <c r="G153" s="49"/>
      <c r="H153" s="250" t="s">
        <v>377</v>
      </c>
      <c r="I153" s="49"/>
    </row>
    <row r="154" spans="1:9" x14ac:dyDescent="0.2">
      <c r="A154" s="242" t="s">
        <v>890</v>
      </c>
      <c r="B154" s="644" t="str">
        <f>IFERROR(INDEX(B$1:B$100,MATCH(A154,G$1:G$100,0)),"")</f>
        <v>Danel Pilv, Kevin Sten Liik, Silver Kingissepp</v>
      </c>
      <c r="C154" s="244">
        <v>5</v>
      </c>
      <c r="D154" s="69"/>
      <c r="E154" s="49"/>
      <c r="F154" s="69"/>
      <c r="G154" s="49"/>
      <c r="H154" s="74"/>
      <c r="I154" s="74"/>
    </row>
    <row r="155" spans="1:9" x14ac:dyDescent="0.2">
      <c r="A155" s="41"/>
      <c r="B155" s="645"/>
      <c r="C155" s="74"/>
      <c r="D155" s="69"/>
      <c r="E155" s="418" t="str">
        <f>IF(COUNT(E141,E145)=2,IF(E141&lt;E145,C141,C145),"")</f>
        <v>Argo Sepp, Ljudmila Varendi, Viktor Švarõgin</v>
      </c>
      <c r="F155" s="69"/>
      <c r="G155" s="247">
        <v>5</v>
      </c>
      <c r="H155" s="74"/>
      <c r="I155" s="74"/>
    </row>
    <row r="156" spans="1:9" ht="13.5" thickBot="1" x14ac:dyDescent="0.25">
      <c r="A156" s="74"/>
      <c r="B156" s="74"/>
      <c r="C156" s="74"/>
      <c r="D156" s="69"/>
      <c r="E156" s="646"/>
      <c r="F156" s="652"/>
      <c r="G156" s="252"/>
      <c r="H156" s="425" t="str">
        <f>IF(COUNT(G155,G157)=2,IF(G155&gt;G157,E155,E157),"")</f>
        <v>Enn Laanemäe, Margus Külaviir, Ruti Loid</v>
      </c>
      <c r="I156" s="252"/>
    </row>
    <row r="157" spans="1:9" x14ac:dyDescent="0.2">
      <c r="A157" s="74"/>
      <c r="B157" s="74"/>
      <c r="C157" s="74"/>
      <c r="D157" s="69"/>
      <c r="E157" s="417" t="str">
        <f>IF(COUNT(E149,E153)=2,IF(E149&lt;E153,C149,C153),"")</f>
        <v>Enn Laanemäe, Margus Külaviir, Ruti Loid</v>
      </c>
      <c r="F157" s="655"/>
      <c r="G157" s="247">
        <v>13</v>
      </c>
      <c r="H157" s="253" t="s">
        <v>378</v>
      </c>
      <c r="I157" s="49"/>
    </row>
    <row r="158" spans="1:9" x14ac:dyDescent="0.2">
      <c r="A158" s="74"/>
      <c r="B158" s="74"/>
      <c r="C158" s="74"/>
      <c r="D158" s="69"/>
      <c r="E158" s="74"/>
      <c r="F158" s="69"/>
      <c r="G158" s="74"/>
      <c r="H158" s="49"/>
      <c r="I158" s="49"/>
    </row>
    <row r="159" spans="1:9" ht="13.5" thickBot="1" x14ac:dyDescent="0.25">
      <c r="A159" s="74"/>
      <c r="B159" s="74"/>
      <c r="C159" s="74"/>
      <c r="D159" s="69"/>
      <c r="E159" s="49"/>
      <c r="F159" s="69"/>
      <c r="G159" s="74"/>
      <c r="H159" s="425" t="str">
        <f>IF(COUNT(G155,G157)=2,IF(G155&lt;G157,E155,E157),"")</f>
        <v>Argo Sepp, Ljudmila Varendi, Viktor Švarõgin</v>
      </c>
      <c r="I159" s="252"/>
    </row>
    <row r="160" spans="1:9" x14ac:dyDescent="0.2">
      <c r="A160" s="74"/>
      <c r="B160" s="74"/>
      <c r="C160" s="74"/>
      <c r="D160" s="69"/>
      <c r="E160" s="74"/>
      <c r="F160" s="69"/>
      <c r="G160" s="74"/>
      <c r="H160" s="41" t="s">
        <v>539</v>
      </c>
      <c r="I160" s="74"/>
    </row>
    <row r="161" spans="1:9" x14ac:dyDescent="0.2">
      <c r="A161" s="74"/>
      <c r="B161" s="74"/>
      <c r="C161" s="417" t="str">
        <f>IF(COUNT(C140,C142)=2,IF(C140&lt;C142,B140,B142),"")</f>
        <v>-</v>
      </c>
      <c r="D161" s="69"/>
      <c r="E161" s="241">
        <f>IF(C161="-",0,IF(C163="-",13,""))</f>
        <v>0</v>
      </c>
      <c r="F161" s="69"/>
      <c r="G161" s="241"/>
      <c r="H161" s="74"/>
      <c r="I161" s="74"/>
    </row>
    <row r="162" spans="1:9" x14ac:dyDescent="0.2">
      <c r="A162" s="74"/>
      <c r="B162" s="74"/>
      <c r="C162" s="647"/>
      <c r="D162" s="652"/>
      <c r="E162" s="829" t="str">
        <f>IF(COUNT(E161,E163)=2,IF(E161&gt;E163,C161,C163),"")</f>
        <v>-</v>
      </c>
      <c r="F162" s="69"/>
      <c r="G162" s="648">
        <f>IF(E162="-",0,IF(E166="-",13,""))</f>
        <v>0</v>
      </c>
      <c r="H162" s="74"/>
      <c r="I162" s="74"/>
    </row>
    <row r="163" spans="1:9" x14ac:dyDescent="0.2">
      <c r="A163" s="74"/>
      <c r="B163" s="74"/>
      <c r="C163" s="417" t="str">
        <f>IF(COUNT(C144,C146)=2,IF(C144&lt;C146,B144,B146),"")</f>
        <v>-</v>
      </c>
      <c r="D163" s="655"/>
      <c r="E163" s="244">
        <f>IF(C163="-",0,IF(C161="-",13,""))</f>
        <v>0</v>
      </c>
      <c r="F163" s="652"/>
      <c r="G163" s="241"/>
      <c r="H163" s="74"/>
      <c r="I163" s="74"/>
    </row>
    <row r="164" spans="1:9" ht="13.5" thickBot="1" x14ac:dyDescent="0.25">
      <c r="A164" s="74"/>
      <c r="B164" s="74"/>
      <c r="C164" s="241"/>
      <c r="D164" s="69"/>
      <c r="E164" s="247"/>
      <c r="F164" s="653"/>
      <c r="G164" s="241"/>
      <c r="H164" s="418" t="str">
        <f>IF(COUNT(G162,G166)=2,IF(G162&gt;G166,E162,E166),"")</f>
        <v>Danel Pilv, Kevin Sten Liik, Silver Kingissepp</v>
      </c>
      <c r="I164" s="74"/>
    </row>
    <row r="165" spans="1:9" x14ac:dyDescent="0.2">
      <c r="A165" s="74"/>
      <c r="B165" s="74"/>
      <c r="C165" s="417" t="str">
        <f>IF(COUNT(C148,C150)=2,IF(C148&lt;C150,B148,B150),"")</f>
        <v>-</v>
      </c>
      <c r="D165" s="69"/>
      <c r="E165" s="241">
        <f>IF(C165="-",0,IF(C167="-",13,""))</f>
        <v>0</v>
      </c>
      <c r="F165" s="653"/>
      <c r="G165" s="420"/>
      <c r="H165" s="250" t="s">
        <v>540</v>
      </c>
      <c r="I165" s="251"/>
    </row>
    <row r="166" spans="1:9" x14ac:dyDescent="0.2">
      <c r="A166" s="74"/>
      <c r="B166" s="74"/>
      <c r="C166" s="647"/>
      <c r="D166" s="652"/>
      <c r="E166" s="643" t="str">
        <f>IF(COUNT(E165,E167)=2,IF(E165&gt;E167,C165,C167),"")</f>
        <v>Danel Pilv, Kevin Sten Liik, Silver Kingissepp</v>
      </c>
      <c r="F166" s="655"/>
      <c r="G166" s="247">
        <f>IF(E166="-",0,IF(E162="-",13,""))</f>
        <v>13</v>
      </c>
      <c r="H166" s="49"/>
      <c r="I166" s="49"/>
    </row>
    <row r="167" spans="1:9" ht="13.5" thickBot="1" x14ac:dyDescent="0.25">
      <c r="A167" s="74"/>
      <c r="B167" s="74"/>
      <c r="C167" s="417" t="str">
        <f>IF(COUNT(C152,C154)=2,IF(C152&lt;C154,B152,B154),"")</f>
        <v>Danel Pilv, Kevin Sten Liik, Silver Kingissepp</v>
      </c>
      <c r="D167" s="655"/>
      <c r="E167" s="244">
        <f>IF(C167="-",0,IF(C165="-",13,""))</f>
        <v>13</v>
      </c>
      <c r="F167" s="69"/>
      <c r="G167" s="247"/>
      <c r="H167" s="425" t="str">
        <f>IF(COUNT(G162,G166)=2,IF(G162&lt;G166,E162,E166),"")</f>
        <v>-</v>
      </c>
      <c r="I167" s="252"/>
    </row>
    <row r="168" spans="1:9" x14ac:dyDescent="0.2">
      <c r="A168" s="74"/>
      <c r="B168" s="74"/>
      <c r="C168" s="241"/>
      <c r="D168" s="69"/>
      <c r="E168" s="241"/>
      <c r="F168" s="69"/>
      <c r="G168" s="247"/>
      <c r="H168" s="250"/>
      <c r="I168" s="49"/>
    </row>
    <row r="169" spans="1:9" x14ac:dyDescent="0.2">
      <c r="A169" s="74"/>
      <c r="B169" s="74"/>
      <c r="C169" s="247"/>
      <c r="D169" s="69"/>
      <c r="E169" s="418" t="str">
        <f>IF(COUNT(E161,E163)=2,IF(E161&lt;E163,C161,C163),"")</f>
        <v>-</v>
      </c>
      <c r="F169" s="69"/>
      <c r="G169" s="247">
        <f>IF(E169="-",0,IF(E171="-",13,""))</f>
        <v>0</v>
      </c>
      <c r="H169" s="49"/>
      <c r="I169" s="49"/>
    </row>
    <row r="170" spans="1:9" ht="13.5" thickBot="1" x14ac:dyDescent="0.25">
      <c r="A170" s="74"/>
      <c r="B170" s="74"/>
      <c r="C170" s="247"/>
      <c r="D170" s="69"/>
      <c r="E170" s="646"/>
      <c r="F170" s="652"/>
      <c r="G170" s="252" t="str">
        <f>IF(COUNT(G169,G171)=2,IF(G169&gt;G171,E169,E171),"")</f>
        <v>-</v>
      </c>
      <c r="H170" s="425" t="str">
        <f>IF(COUNT(G169,G171)=2,IF(G169&gt;G171,E169,E171),"")</f>
        <v>-</v>
      </c>
      <c r="I170" s="252"/>
    </row>
    <row r="171" spans="1:9" x14ac:dyDescent="0.2">
      <c r="A171" s="74"/>
      <c r="B171" s="74"/>
      <c r="C171" s="247"/>
      <c r="D171" s="69"/>
      <c r="E171" s="417" t="str">
        <f>IF(COUNT(E165,E167)=2,IF(E165&lt;E167,C165,C167),"")</f>
        <v>-</v>
      </c>
      <c r="F171" s="655"/>
      <c r="G171" s="247">
        <f>IF(E171="-",0,IF(E169="-",13,""))</f>
        <v>0</v>
      </c>
      <c r="H171" s="253"/>
      <c r="I171" s="49"/>
    </row>
    <row r="172" spans="1:9" x14ac:dyDescent="0.2">
      <c r="A172" s="74"/>
      <c r="B172" s="74"/>
      <c r="C172" s="49"/>
      <c r="D172" s="69"/>
      <c r="E172" s="74"/>
      <c r="F172" s="69"/>
      <c r="G172" s="74"/>
      <c r="H172" s="49"/>
      <c r="I172" s="49"/>
    </row>
    <row r="173" spans="1:9" ht="13.5" thickBot="1" x14ac:dyDescent="0.25">
      <c r="A173" s="74"/>
      <c r="B173" s="74"/>
      <c r="C173" s="74"/>
      <c r="D173" s="69"/>
      <c r="E173" s="49"/>
      <c r="F173" s="69"/>
      <c r="G173" s="74"/>
      <c r="H173" s="252" t="str">
        <f>IF(COUNT(G169,G171)=2,IF(G169&lt;G171,E169,E171),"")</f>
        <v>-</v>
      </c>
      <c r="I173" s="252"/>
    </row>
    <row r="174" spans="1:9" x14ac:dyDescent="0.2">
      <c r="A174" s="202"/>
      <c r="B174" s="260"/>
      <c r="C174" s="204"/>
      <c r="D174" s="69"/>
      <c r="E174" s="204"/>
      <c r="F174" s="69"/>
      <c r="G174" s="259"/>
      <c r="H174" s="250"/>
      <c r="I174" s="238"/>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7" hidden="1" x14ac:dyDescent="0.2"/>
    <row r="290" spans="1:17" hidden="1" x14ac:dyDescent="0.2"/>
    <row r="291" spans="1:17" hidden="1" x14ac:dyDescent="0.2"/>
    <row r="292" spans="1:17" hidden="1" x14ac:dyDescent="0.2"/>
    <row r="293" spans="1:17" hidden="1" x14ac:dyDescent="0.2"/>
    <row r="294" spans="1:17" hidden="1" x14ac:dyDescent="0.2"/>
    <row r="295" spans="1:17" hidden="1" x14ac:dyDescent="0.2"/>
    <row r="296" spans="1:17" hidden="1" x14ac:dyDescent="0.2">
      <c r="A296" s="78"/>
      <c r="B296" s="78"/>
      <c r="C296" s="78"/>
      <c r="D296" s="78"/>
      <c r="E296" s="78"/>
      <c r="F296" s="78"/>
      <c r="G296" s="78"/>
      <c r="H296" s="78"/>
      <c r="I296" s="78"/>
      <c r="J296" s="78"/>
      <c r="K296" s="78"/>
      <c r="L296" s="78"/>
      <c r="M296" s="78"/>
      <c r="N296" s="78"/>
      <c r="O296" s="78"/>
      <c r="P296" s="78"/>
      <c r="Q296" s="78"/>
    </row>
    <row r="297" spans="1:17" hidden="1" x14ac:dyDescent="0.2">
      <c r="A297" s="78"/>
      <c r="B297" s="78"/>
      <c r="C297" s="78"/>
      <c r="D297" s="78"/>
      <c r="E297" s="78"/>
      <c r="F297" s="78"/>
      <c r="G297" s="78"/>
      <c r="H297" s="78"/>
      <c r="I297" s="78"/>
      <c r="J297" s="78"/>
      <c r="K297" s="78"/>
      <c r="L297" s="78"/>
      <c r="M297" s="78"/>
      <c r="N297" s="78"/>
      <c r="O297" s="78"/>
      <c r="P297" s="78"/>
      <c r="Q297" s="78"/>
    </row>
    <row r="298" spans="1:17" x14ac:dyDescent="0.2">
      <c r="A298" s="78"/>
      <c r="B298" s="78"/>
      <c r="C298" s="78"/>
      <c r="D298" s="78"/>
      <c r="E298" s="78"/>
      <c r="F298" s="78"/>
      <c r="G298" s="78"/>
      <c r="H298" s="78"/>
      <c r="I298" s="78"/>
      <c r="J298" s="78"/>
      <c r="K298" s="78"/>
      <c r="L298" s="78"/>
      <c r="M298" s="78"/>
      <c r="N298" s="78"/>
      <c r="O298" s="78"/>
      <c r="P298" s="78"/>
      <c r="Q298" s="78"/>
    </row>
    <row r="299" spans="1:17" x14ac:dyDescent="0.2">
      <c r="A299" s="78"/>
      <c r="B299" s="78"/>
      <c r="C299" s="264" t="s">
        <v>220</v>
      </c>
      <c r="D299" s="611"/>
      <c r="E299" s="606"/>
      <c r="F299" s="78"/>
      <c r="G299" s="78"/>
      <c r="H299" s="78"/>
      <c r="I299" s="78"/>
      <c r="J299" s="78"/>
      <c r="K299" s="78"/>
      <c r="L299" s="78"/>
      <c r="M299" s="78"/>
      <c r="N299" s="78"/>
      <c r="O299" s="78"/>
      <c r="P299" s="78"/>
      <c r="Q299" s="78"/>
    </row>
    <row r="300" spans="1:17" x14ac:dyDescent="0.2">
      <c r="A300" s="113">
        <v>1</v>
      </c>
      <c r="B300" s="680" t="str">
        <f t="shared" ref="B300:B312" si="13">IFERROR(INDEX($H$100:$H$300,MATCH($A300&amp;"*",$H$101:$H$301,0)),"")</f>
        <v>Aimar Poom, Kertu Palm, Valmar Pantšenko</v>
      </c>
      <c r="C300" s="74">
        <v>115</v>
      </c>
      <c r="D300" s="74"/>
      <c r="E300" s="606"/>
      <c r="F300" s="78"/>
      <c r="G300" s="78"/>
      <c r="H300" s="78"/>
      <c r="I300" s="78"/>
      <c r="J300" s="78"/>
      <c r="K300" s="78"/>
      <c r="L300" s="78"/>
      <c r="M300" s="78"/>
      <c r="N300" s="78"/>
      <c r="O300" s="78"/>
      <c r="P300" s="78"/>
      <c r="Q300" s="78"/>
    </row>
    <row r="301" spans="1:17" x14ac:dyDescent="0.2">
      <c r="A301" s="113">
        <v>2</v>
      </c>
      <c r="B301" s="261" t="str">
        <f t="shared" si="13"/>
        <v>Jaan Lüitsepp, Svetlana Veski, Urmo Auväärt</v>
      </c>
      <c r="C301" s="606">
        <v>105</v>
      </c>
      <c r="D301" s="606"/>
      <c r="E301" s="606"/>
      <c r="F301" s="78"/>
      <c r="G301" s="78"/>
      <c r="H301" s="78"/>
      <c r="I301" s="78"/>
      <c r="J301" s="78"/>
      <c r="K301" s="78"/>
      <c r="L301" s="78"/>
      <c r="M301" s="78"/>
      <c r="N301" s="78"/>
      <c r="O301" s="78"/>
      <c r="P301" s="78"/>
      <c r="Q301" s="78"/>
    </row>
    <row r="302" spans="1:17" x14ac:dyDescent="0.2">
      <c r="A302" s="113">
        <v>3</v>
      </c>
      <c r="B302" s="261" t="str">
        <f t="shared" si="13"/>
        <v>Jaan Joonas, Marek Kolk, Toomas Hoole</v>
      </c>
      <c r="C302" s="606">
        <v>97</v>
      </c>
      <c r="D302" s="606"/>
      <c r="E302" s="606"/>
      <c r="F302" s="78"/>
      <c r="G302" s="78"/>
      <c r="H302" s="78"/>
      <c r="I302" s="78"/>
      <c r="J302" s="78"/>
      <c r="K302" s="78"/>
      <c r="L302" s="78"/>
      <c r="M302" s="78"/>
      <c r="N302" s="78"/>
      <c r="O302" s="78"/>
      <c r="P302" s="78"/>
      <c r="Q302" s="78"/>
    </row>
    <row r="303" spans="1:17" x14ac:dyDescent="0.2">
      <c r="A303" s="113">
        <v>4</v>
      </c>
      <c r="B303" s="201" t="str">
        <f t="shared" si="13"/>
        <v>Kalju Olmre, Katri Aavekukk, Külli Kariste</v>
      </c>
      <c r="C303" s="606">
        <v>90</v>
      </c>
      <c r="D303" s="606"/>
      <c r="E303" s="606"/>
      <c r="F303" s="78"/>
      <c r="G303" s="78"/>
      <c r="H303" s="78"/>
      <c r="I303" s="78"/>
      <c r="J303" s="78"/>
      <c r="K303" s="78"/>
      <c r="L303" s="78"/>
      <c r="M303" s="78"/>
      <c r="N303" s="78"/>
      <c r="O303" s="78"/>
      <c r="P303" s="78"/>
      <c r="Q303" s="78"/>
    </row>
    <row r="304" spans="1:17" x14ac:dyDescent="0.2">
      <c r="A304" s="113">
        <v>5</v>
      </c>
      <c r="B304" s="201" t="str">
        <f t="shared" si="13"/>
        <v>Igor Kostin, Jelena Tjurina, Marika Poom</v>
      </c>
      <c r="C304" s="606">
        <v>84</v>
      </c>
      <c r="D304" s="606"/>
      <c r="E304" s="69"/>
      <c r="F304" s="78"/>
      <c r="G304" s="78"/>
      <c r="H304" s="78"/>
      <c r="I304" s="78"/>
      <c r="J304" s="78"/>
      <c r="K304" s="78"/>
      <c r="L304" s="78"/>
      <c r="M304" s="78"/>
      <c r="N304" s="78"/>
      <c r="O304" s="78"/>
      <c r="P304" s="78"/>
      <c r="Q304" s="78"/>
    </row>
    <row r="305" spans="1:21" x14ac:dyDescent="0.2">
      <c r="A305" s="113">
        <v>6</v>
      </c>
      <c r="B305" s="201" t="str">
        <f t="shared" si="13"/>
        <v>Aigi Orro, Elmo Lageda, Kalle Orro</v>
      </c>
      <c r="C305" s="606">
        <v>79</v>
      </c>
      <c r="D305" s="606"/>
      <c r="E305" s="69"/>
      <c r="F305" s="78"/>
      <c r="G305" s="78"/>
      <c r="H305" s="78"/>
      <c r="I305" s="78"/>
      <c r="J305" s="78"/>
      <c r="K305" s="78"/>
      <c r="L305" s="78"/>
      <c r="M305" s="78"/>
      <c r="N305" s="78"/>
      <c r="O305" s="78"/>
      <c r="P305" s="78"/>
      <c r="Q305" s="78"/>
    </row>
    <row r="306" spans="1:21" x14ac:dyDescent="0.2">
      <c r="A306" s="113">
        <v>7</v>
      </c>
      <c r="B306" s="201" t="str">
        <f t="shared" si="13"/>
        <v>Aivar Sein, Maive Sein, Marina Vallik</v>
      </c>
      <c r="C306" s="606">
        <v>74</v>
      </c>
      <c r="D306" s="606"/>
      <c r="E306" s="69"/>
      <c r="F306" s="78"/>
      <c r="G306" s="78"/>
      <c r="H306" s="78"/>
      <c r="I306" s="78"/>
      <c r="J306" s="78"/>
      <c r="K306" s="78"/>
      <c r="L306" s="78"/>
      <c r="M306" s="78"/>
      <c r="N306" s="78"/>
      <c r="O306" s="78"/>
      <c r="P306" s="78"/>
      <c r="Q306" s="78"/>
    </row>
    <row r="307" spans="1:21" x14ac:dyDescent="0.2">
      <c r="A307" s="113">
        <v>8</v>
      </c>
      <c r="B307" s="201" t="str">
        <f t="shared" si="13"/>
        <v>Jaan Sepp, Mait Metsla, Oskar Sepp</v>
      </c>
      <c r="C307" s="606">
        <v>69</v>
      </c>
      <c r="D307" s="606"/>
      <c r="E307" s="69"/>
      <c r="F307" s="78"/>
      <c r="G307" s="78"/>
      <c r="H307" s="78"/>
      <c r="I307" s="78"/>
      <c r="J307" s="78"/>
      <c r="K307" s="78"/>
      <c r="L307" s="78"/>
      <c r="M307" s="78"/>
      <c r="N307" s="78"/>
      <c r="O307" s="78"/>
      <c r="P307" s="78"/>
      <c r="Q307" s="78"/>
    </row>
    <row r="308" spans="1:21" x14ac:dyDescent="0.2">
      <c r="A308" s="113">
        <v>9</v>
      </c>
      <c r="B308" s="201" t="str">
        <f t="shared" si="13"/>
        <v>Matti Vinni, Tõnu Haga, Vello Vasser</v>
      </c>
      <c r="C308" s="606">
        <v>64</v>
      </c>
      <c r="D308" s="606"/>
      <c r="E308" s="69"/>
      <c r="F308" s="78"/>
      <c r="G308" s="78"/>
      <c r="H308" s="78"/>
      <c r="I308" s="78"/>
      <c r="J308" s="78"/>
      <c r="K308" s="78"/>
      <c r="L308" s="78"/>
      <c r="M308" s="78"/>
      <c r="N308" s="78"/>
      <c r="O308" s="78"/>
      <c r="P308" s="78"/>
      <c r="Q308" s="78"/>
    </row>
    <row r="309" spans="1:21" x14ac:dyDescent="0.2">
      <c r="A309" s="113">
        <v>10</v>
      </c>
      <c r="B309" s="201" t="str">
        <f t="shared" si="13"/>
        <v>Kadri Arunurm, Mare Kingissepp, Marge Mägi</v>
      </c>
      <c r="C309" s="606">
        <v>60</v>
      </c>
      <c r="D309" s="606"/>
      <c r="E309" s="69"/>
      <c r="F309" s="78"/>
      <c r="G309" s="78"/>
      <c r="H309" s="78"/>
      <c r="I309" s="78"/>
      <c r="J309" s="78"/>
      <c r="K309" s="78"/>
      <c r="L309" s="78"/>
      <c r="M309" s="78"/>
      <c r="N309" s="78"/>
      <c r="O309" s="78"/>
      <c r="P309" s="78"/>
      <c r="Q309" s="78"/>
    </row>
    <row r="310" spans="1:21" x14ac:dyDescent="0.2">
      <c r="A310" s="113">
        <v>11</v>
      </c>
      <c r="B310" s="201" t="str">
        <f t="shared" si="13"/>
        <v>Enn Laanemäe, Margus Külaviir, Ruti Loid</v>
      </c>
      <c r="C310" s="606">
        <v>56</v>
      </c>
      <c r="D310" s="606"/>
      <c r="E310" s="69"/>
      <c r="F310" s="78"/>
      <c r="G310" s="78"/>
      <c r="H310" s="78"/>
      <c r="I310" s="78"/>
      <c r="J310" s="78"/>
      <c r="K310" s="78"/>
      <c r="L310" s="78"/>
      <c r="M310" s="78"/>
      <c r="N310" s="78"/>
      <c r="O310" s="78"/>
      <c r="P310" s="78"/>
      <c r="Q310" s="78"/>
    </row>
    <row r="311" spans="1:21" x14ac:dyDescent="0.2">
      <c r="A311" s="113">
        <v>12</v>
      </c>
      <c r="B311" s="201" t="str">
        <f t="shared" si="13"/>
        <v>Argo Sepp, Ljudmila Varendi, Viktor Švarõgin</v>
      </c>
      <c r="C311" s="69">
        <v>52</v>
      </c>
      <c r="D311" s="69"/>
      <c r="E311" s="69"/>
      <c r="F311" s="78"/>
      <c r="G311" s="78"/>
      <c r="H311" s="78"/>
      <c r="I311" s="78"/>
      <c r="J311" s="78"/>
      <c r="K311" s="78"/>
      <c r="L311" s="78"/>
      <c r="M311" s="78"/>
      <c r="N311" s="78"/>
      <c r="O311" s="78"/>
      <c r="P311" s="78"/>
      <c r="Q311" s="78"/>
    </row>
    <row r="312" spans="1:21" x14ac:dyDescent="0.2">
      <c r="A312" s="113">
        <v>13</v>
      </c>
      <c r="B312" s="201" t="str">
        <f t="shared" si="13"/>
        <v>Danel Pilv, Kevin Sten Liik, Silver Kingissepp</v>
      </c>
      <c r="C312" s="69">
        <v>49</v>
      </c>
      <c r="D312" s="69"/>
      <c r="E312" s="69"/>
      <c r="F312" s="78"/>
      <c r="G312" s="78"/>
      <c r="H312" s="78"/>
      <c r="I312" s="78"/>
      <c r="J312" s="78"/>
      <c r="K312" s="78"/>
      <c r="L312" s="78"/>
      <c r="M312" s="78"/>
      <c r="N312" s="78"/>
      <c r="O312" s="78"/>
      <c r="P312" s="78"/>
      <c r="Q312" s="78"/>
      <c r="R312" s="78"/>
      <c r="S312" s="78"/>
      <c r="T312" s="78"/>
      <c r="U312" s="78"/>
    </row>
    <row r="313" spans="1:21" hidden="1" x14ac:dyDescent="0.2">
      <c r="A313" s="78"/>
      <c r="B313" s="78"/>
      <c r="C313" s="69">
        <v>46</v>
      </c>
      <c r="D313" s="69"/>
      <c r="E313" s="69"/>
      <c r="F313" s="78"/>
      <c r="G313" s="78"/>
      <c r="H313" s="78"/>
      <c r="I313" s="78"/>
      <c r="J313" s="78"/>
      <c r="K313" s="78"/>
      <c r="L313" s="78"/>
      <c r="M313" s="78"/>
      <c r="N313" s="78"/>
      <c r="O313" s="78"/>
      <c r="P313" s="78"/>
      <c r="Q313" s="78"/>
      <c r="R313" s="78"/>
      <c r="S313" s="78"/>
      <c r="T313" s="78"/>
      <c r="U313" s="78"/>
    </row>
    <row r="314" spans="1:21" hidden="1" x14ac:dyDescent="0.2">
      <c r="A314" s="78"/>
      <c r="B314" s="78"/>
      <c r="C314" s="69">
        <v>43</v>
      </c>
      <c r="D314" s="69"/>
      <c r="E314" s="69"/>
      <c r="F314" s="78"/>
      <c r="G314" s="78"/>
      <c r="H314" s="78"/>
      <c r="I314" s="78"/>
      <c r="J314" s="78"/>
      <c r="K314" s="78"/>
      <c r="L314" s="78"/>
      <c r="M314" s="78"/>
      <c r="N314" s="78"/>
      <c r="O314" s="78"/>
      <c r="P314" s="78"/>
      <c r="Q314" s="78"/>
      <c r="R314" s="78"/>
      <c r="S314" s="78"/>
      <c r="T314" s="78"/>
      <c r="U314" s="78"/>
    </row>
    <row r="315" spans="1:21" hidden="1" x14ac:dyDescent="0.2">
      <c r="A315" s="78"/>
      <c r="B315" s="78"/>
      <c r="C315" s="69">
        <v>40</v>
      </c>
      <c r="D315" s="69"/>
      <c r="E315" s="69"/>
      <c r="F315" s="78"/>
      <c r="G315" s="78"/>
      <c r="H315" s="78"/>
      <c r="I315" s="78"/>
      <c r="J315" s="78"/>
      <c r="K315" s="78"/>
      <c r="L315" s="78"/>
      <c r="M315" s="78"/>
      <c r="N315" s="78"/>
      <c r="O315" s="78"/>
      <c r="P315" s="78"/>
      <c r="Q315" s="78"/>
      <c r="R315" s="78"/>
      <c r="S315" s="78"/>
      <c r="T315" s="78"/>
      <c r="U315" s="78"/>
    </row>
    <row r="316" spans="1:21" hidden="1" x14ac:dyDescent="0.2">
      <c r="A316" s="78"/>
      <c r="B316" s="78"/>
      <c r="C316" s="69">
        <v>37</v>
      </c>
      <c r="D316" s="69"/>
      <c r="E316" s="69"/>
      <c r="F316" s="78"/>
      <c r="G316" s="78"/>
      <c r="H316" s="78"/>
      <c r="I316" s="78"/>
      <c r="J316" s="78"/>
      <c r="K316" s="78"/>
      <c r="L316" s="78"/>
      <c r="M316" s="78"/>
      <c r="N316" s="78"/>
      <c r="O316" s="78"/>
      <c r="P316" s="78"/>
      <c r="Q316" s="78"/>
      <c r="R316" s="78"/>
      <c r="S316" s="78"/>
      <c r="T316" s="78"/>
      <c r="U316" s="78"/>
    </row>
    <row r="317" spans="1:21" hidden="1" x14ac:dyDescent="0.2">
      <c r="A317" s="78"/>
      <c r="B317" s="78"/>
      <c r="C317" s="69">
        <v>34</v>
      </c>
      <c r="D317" s="69"/>
      <c r="E317" s="69"/>
      <c r="F317" s="78"/>
      <c r="G317" s="78"/>
      <c r="H317" s="78"/>
      <c r="I317" s="78"/>
      <c r="J317" s="78"/>
      <c r="K317" s="78"/>
      <c r="L317" s="78"/>
      <c r="M317" s="78"/>
      <c r="N317" s="78"/>
      <c r="O317" s="78"/>
      <c r="P317" s="78"/>
      <c r="Q317" s="78"/>
      <c r="R317" s="78"/>
      <c r="S317" s="78"/>
      <c r="T317" s="78"/>
      <c r="U317" s="78"/>
    </row>
    <row r="318" spans="1:21" hidden="1" x14ac:dyDescent="0.2">
      <c r="A318" s="78"/>
      <c r="B318" s="78"/>
      <c r="C318" s="69">
        <v>31</v>
      </c>
      <c r="D318" s="69"/>
      <c r="E318" s="69"/>
      <c r="F318" s="78"/>
      <c r="G318" s="78"/>
      <c r="H318" s="78"/>
      <c r="I318" s="78"/>
      <c r="J318" s="78"/>
      <c r="K318" s="78"/>
      <c r="L318" s="78"/>
      <c r="M318" s="78"/>
      <c r="N318" s="78"/>
      <c r="O318" s="78"/>
      <c r="P318" s="78"/>
      <c r="Q318" s="78"/>
      <c r="R318" s="78"/>
      <c r="S318" s="78"/>
      <c r="T318" s="78"/>
      <c r="U318" s="78"/>
    </row>
    <row r="319" spans="1:21" hidden="1" x14ac:dyDescent="0.2">
      <c r="A319" s="78"/>
      <c r="B319" s="78"/>
      <c r="C319" s="69">
        <v>28</v>
      </c>
      <c r="D319" s="69"/>
      <c r="E319" s="69"/>
      <c r="F319" s="78"/>
      <c r="G319" s="78"/>
      <c r="H319" s="78"/>
      <c r="I319" s="78"/>
      <c r="J319" s="78"/>
      <c r="K319" s="78"/>
      <c r="L319" s="78"/>
      <c r="M319" s="78"/>
      <c r="N319" s="78"/>
      <c r="O319" s="78"/>
      <c r="P319" s="78"/>
      <c r="Q319" s="78"/>
      <c r="R319" s="78"/>
      <c r="S319" s="78"/>
      <c r="T319" s="78"/>
      <c r="U319" s="78"/>
    </row>
    <row r="320" spans="1:21" hidden="1" x14ac:dyDescent="0.2">
      <c r="A320" s="78"/>
      <c r="B320" s="78"/>
      <c r="C320" s="69">
        <v>25</v>
      </c>
      <c r="D320" s="69"/>
      <c r="E320" s="69"/>
      <c r="F320" s="78"/>
      <c r="G320" s="78"/>
      <c r="H320" s="78"/>
      <c r="I320" s="78"/>
      <c r="J320" s="78"/>
      <c r="K320" s="78"/>
      <c r="L320" s="78"/>
      <c r="M320" s="78"/>
      <c r="N320" s="78"/>
      <c r="O320" s="78"/>
      <c r="P320" s="78"/>
      <c r="Q320" s="78"/>
      <c r="R320" s="78"/>
      <c r="S320" s="78"/>
      <c r="T320" s="78"/>
      <c r="U320" s="78"/>
    </row>
    <row r="321" spans="1:21" hidden="1" x14ac:dyDescent="0.2">
      <c r="A321" s="78"/>
      <c r="B321" s="78"/>
      <c r="C321" s="69">
        <v>22</v>
      </c>
      <c r="D321" s="69"/>
      <c r="E321" s="69"/>
      <c r="F321" s="78"/>
      <c r="G321" s="78"/>
      <c r="H321" s="78"/>
      <c r="I321" s="78"/>
      <c r="J321" s="78"/>
      <c r="K321" s="78"/>
      <c r="L321" s="78"/>
      <c r="M321" s="78"/>
      <c r="N321" s="78"/>
      <c r="O321" s="78"/>
      <c r="P321" s="78"/>
      <c r="Q321" s="78"/>
      <c r="R321" s="78"/>
      <c r="S321" s="78"/>
      <c r="T321" s="78"/>
      <c r="U321" s="78"/>
    </row>
    <row r="322" spans="1:21" hidden="1" x14ac:dyDescent="0.2">
      <c r="A322" s="78"/>
      <c r="B322" s="78"/>
      <c r="C322" s="69">
        <v>19</v>
      </c>
      <c r="D322" s="69"/>
      <c r="E322" s="69"/>
      <c r="F322" s="78"/>
      <c r="G322" s="78"/>
      <c r="H322" s="78"/>
      <c r="I322" s="78"/>
      <c r="J322" s="78"/>
      <c r="K322" s="78"/>
      <c r="L322" s="78"/>
      <c r="M322" s="78"/>
      <c r="N322" s="78"/>
      <c r="O322" s="78"/>
      <c r="P322" s="78"/>
      <c r="Q322" s="78"/>
      <c r="R322" s="78"/>
      <c r="S322" s="78"/>
      <c r="T322" s="78"/>
      <c r="U322" s="78"/>
    </row>
    <row r="323" spans="1:21" hidden="1" x14ac:dyDescent="0.2">
      <c r="A323" s="78"/>
      <c r="B323" s="78"/>
      <c r="C323" s="69">
        <v>16</v>
      </c>
      <c r="D323" s="69"/>
      <c r="E323" s="69"/>
      <c r="F323" s="78"/>
      <c r="G323" s="78"/>
      <c r="H323" s="78"/>
      <c r="I323" s="78"/>
      <c r="J323" s="78"/>
      <c r="K323" s="78"/>
      <c r="L323" s="78"/>
      <c r="M323" s="78"/>
      <c r="N323" s="78"/>
      <c r="O323" s="78"/>
      <c r="P323" s="78"/>
      <c r="Q323" s="78"/>
      <c r="R323" s="78"/>
      <c r="S323" s="78"/>
      <c r="T323" s="78"/>
      <c r="U323" s="78"/>
    </row>
    <row r="324" spans="1:21" hidden="1" x14ac:dyDescent="0.2">
      <c r="A324" s="78"/>
      <c r="B324" s="78"/>
      <c r="C324" s="69">
        <v>14</v>
      </c>
      <c r="D324" s="69"/>
      <c r="E324" s="69"/>
      <c r="F324" s="78"/>
      <c r="G324" s="78"/>
      <c r="H324" s="78"/>
      <c r="I324" s="78"/>
      <c r="J324" s="78"/>
      <c r="K324" s="78"/>
      <c r="L324" s="78"/>
      <c r="M324" s="78"/>
      <c r="N324" s="78"/>
      <c r="O324" s="78"/>
      <c r="P324" s="78"/>
      <c r="Q324" s="78"/>
      <c r="R324" s="78"/>
      <c r="S324" s="78"/>
      <c r="T324" s="78"/>
      <c r="U324" s="78"/>
    </row>
    <row r="325" spans="1:21" hidden="1" x14ac:dyDescent="0.2">
      <c r="A325" s="78"/>
      <c r="B325" s="78"/>
      <c r="C325" s="69">
        <v>12</v>
      </c>
      <c r="D325" s="69"/>
      <c r="E325" s="69"/>
      <c r="F325" s="78"/>
      <c r="G325" s="78"/>
      <c r="H325" s="78"/>
      <c r="I325" s="78"/>
      <c r="J325" s="78"/>
      <c r="K325" s="78"/>
      <c r="L325" s="78"/>
      <c r="M325" s="78"/>
      <c r="N325" s="78"/>
      <c r="O325" s="78"/>
      <c r="P325" s="78"/>
      <c r="Q325" s="78"/>
      <c r="R325" s="78"/>
      <c r="S325" s="78"/>
      <c r="T325" s="78"/>
      <c r="U325" s="78"/>
    </row>
    <row r="326" spans="1:21" hidden="1" x14ac:dyDescent="0.2">
      <c r="A326" s="78"/>
      <c r="B326" s="78"/>
      <c r="C326" s="69">
        <v>10</v>
      </c>
      <c r="D326" s="69"/>
      <c r="E326" s="69"/>
      <c r="F326" s="78"/>
      <c r="G326" s="78"/>
      <c r="H326" s="78"/>
      <c r="I326" s="78"/>
      <c r="J326" s="78"/>
      <c r="K326" s="78"/>
      <c r="L326" s="78"/>
      <c r="M326" s="78"/>
      <c r="N326" s="78"/>
      <c r="O326" s="78"/>
      <c r="P326" s="78"/>
      <c r="Q326" s="78"/>
      <c r="R326" s="78"/>
      <c r="S326" s="78"/>
      <c r="T326" s="78"/>
      <c r="U326" s="78"/>
    </row>
    <row r="327" spans="1:21" hidden="1" x14ac:dyDescent="0.2">
      <c r="A327" s="78"/>
      <c r="B327" s="78"/>
      <c r="C327" s="69">
        <v>8</v>
      </c>
      <c r="D327" s="69"/>
      <c r="E327" s="69"/>
      <c r="F327" s="78"/>
      <c r="G327" s="78"/>
      <c r="H327" s="78"/>
      <c r="I327" s="78"/>
      <c r="J327" s="78"/>
      <c r="K327" s="78"/>
      <c r="L327" s="78"/>
      <c r="M327" s="78"/>
      <c r="N327" s="78"/>
      <c r="O327" s="78"/>
      <c r="P327" s="78"/>
      <c r="Q327" s="78"/>
      <c r="R327" s="78"/>
      <c r="S327" s="78"/>
      <c r="T327" s="78"/>
      <c r="U327" s="78"/>
    </row>
    <row r="328" spans="1:21" hidden="1" x14ac:dyDescent="0.2">
      <c r="A328" s="78"/>
      <c r="B328" s="78"/>
      <c r="C328" s="69">
        <v>6</v>
      </c>
      <c r="D328" s="69"/>
      <c r="E328" s="69"/>
      <c r="F328" s="78"/>
      <c r="G328" s="78"/>
      <c r="H328" s="78"/>
      <c r="I328" s="78"/>
      <c r="J328" s="78"/>
      <c r="K328" s="78"/>
      <c r="L328" s="78"/>
      <c r="M328" s="78"/>
      <c r="N328" s="78"/>
      <c r="O328" s="78"/>
      <c r="P328" s="78"/>
      <c r="Q328" s="78"/>
      <c r="R328" s="78"/>
      <c r="S328" s="78"/>
      <c r="T328" s="78"/>
      <c r="U328" s="78"/>
    </row>
    <row r="329" spans="1:21" hidden="1" x14ac:dyDescent="0.2">
      <c r="A329" s="78"/>
      <c r="B329" s="78"/>
      <c r="C329" s="69">
        <v>5</v>
      </c>
      <c r="D329" s="69"/>
      <c r="E329" s="69"/>
      <c r="F329" s="78"/>
      <c r="G329" s="78"/>
      <c r="H329" s="78"/>
      <c r="I329" s="78"/>
      <c r="J329" s="78"/>
      <c r="K329" s="78"/>
      <c r="L329" s="78"/>
      <c r="M329" s="78"/>
      <c r="N329" s="78"/>
      <c r="O329" s="78"/>
      <c r="P329" s="78"/>
      <c r="Q329" s="78"/>
      <c r="R329" s="78"/>
      <c r="S329" s="78"/>
      <c r="T329" s="78"/>
      <c r="U329" s="78"/>
    </row>
    <row r="330" spans="1:21" hidden="1" x14ac:dyDescent="0.2">
      <c r="A330" s="78"/>
      <c r="B330" s="78"/>
      <c r="C330" s="69">
        <v>4</v>
      </c>
      <c r="D330" s="69"/>
      <c r="E330" s="69"/>
      <c r="F330" s="78"/>
      <c r="G330" s="78"/>
      <c r="H330" s="78"/>
      <c r="I330" s="78"/>
      <c r="J330" s="78"/>
      <c r="K330" s="78"/>
      <c r="L330" s="78"/>
      <c r="M330" s="78"/>
      <c r="N330" s="78"/>
      <c r="O330" s="78"/>
      <c r="P330" s="78"/>
      <c r="Q330" s="78"/>
      <c r="R330" s="78"/>
      <c r="S330" s="78"/>
      <c r="T330" s="78"/>
      <c r="U330" s="78"/>
    </row>
    <row r="331" spans="1:21" hidden="1" x14ac:dyDescent="0.2">
      <c r="A331" s="78"/>
      <c r="B331" s="78"/>
      <c r="C331" s="69">
        <v>3</v>
      </c>
      <c r="D331" s="69"/>
      <c r="E331" s="69"/>
      <c r="F331" s="78"/>
      <c r="G331" s="78"/>
      <c r="H331" s="78"/>
      <c r="I331" s="78"/>
      <c r="J331" s="78"/>
      <c r="K331" s="78"/>
      <c r="L331" s="78"/>
      <c r="M331" s="78"/>
      <c r="N331" s="78"/>
      <c r="O331" s="78"/>
      <c r="P331" s="78"/>
      <c r="Q331" s="78"/>
      <c r="R331" s="78"/>
      <c r="S331" s="78"/>
      <c r="T331" s="78"/>
      <c r="U331" s="78"/>
    </row>
    <row r="332" spans="1:21" hidden="1" x14ac:dyDescent="0.2">
      <c r="A332" s="78"/>
      <c r="B332" s="78"/>
      <c r="C332" s="69">
        <v>1</v>
      </c>
      <c r="D332" s="69"/>
      <c r="E332" s="69"/>
      <c r="F332" s="78"/>
      <c r="G332" s="78"/>
      <c r="H332" s="78"/>
      <c r="I332" s="78"/>
      <c r="J332" s="78"/>
      <c r="K332" s="78"/>
      <c r="L332" s="78"/>
      <c r="M332" s="78"/>
      <c r="N332" s="78"/>
      <c r="O332" s="78"/>
      <c r="P332" s="78"/>
      <c r="Q332" s="78"/>
      <c r="R332" s="78"/>
      <c r="S332" s="78"/>
      <c r="T332" s="78"/>
      <c r="U332" s="78"/>
    </row>
    <row r="333" spans="1:21" hidden="1" x14ac:dyDescent="0.2">
      <c r="A333" s="78"/>
      <c r="B333" s="78"/>
      <c r="C333" s="69">
        <v>0</v>
      </c>
      <c r="D333" s="69"/>
      <c r="E333" s="69"/>
      <c r="F333" s="78"/>
      <c r="G333" s="78"/>
      <c r="H333" s="78"/>
      <c r="I333" s="78"/>
      <c r="J333" s="78"/>
      <c r="K333" s="78"/>
      <c r="L333" s="78"/>
      <c r="M333" s="78"/>
      <c r="N333" s="78"/>
      <c r="O333" s="78"/>
      <c r="P333" s="78"/>
      <c r="Q333" s="78"/>
      <c r="R333" s="78"/>
      <c r="S333" s="78"/>
      <c r="T333" s="78"/>
      <c r="U333" s="78"/>
    </row>
    <row r="334" spans="1:21" x14ac:dyDescent="0.2">
      <c r="A334" s="78"/>
      <c r="B334" s="78"/>
      <c r="C334" s="69"/>
      <c r="D334" s="69"/>
      <c r="E334" s="69"/>
      <c r="F334" s="78"/>
      <c r="G334" s="78"/>
      <c r="H334" s="78"/>
      <c r="I334" s="78"/>
      <c r="J334" s="78"/>
      <c r="K334" s="78"/>
      <c r="L334" s="78"/>
      <c r="M334" s="78"/>
      <c r="N334" s="78"/>
      <c r="O334" s="78"/>
      <c r="P334" s="78"/>
      <c r="Q334" s="78"/>
      <c r="R334" s="78"/>
      <c r="S334" s="78"/>
      <c r="T334" s="78"/>
      <c r="U334" s="78"/>
    </row>
    <row r="335" spans="1:21" x14ac:dyDescent="0.2">
      <c r="A335" s="78"/>
      <c r="B335" s="78"/>
      <c r="C335" s="69"/>
      <c r="D335" s="69"/>
      <c r="E335" s="69"/>
      <c r="F335" s="78"/>
      <c r="G335" s="78"/>
      <c r="H335" s="78"/>
      <c r="I335" s="78"/>
      <c r="J335" s="78"/>
      <c r="K335" s="78"/>
      <c r="L335" s="78"/>
      <c r="M335" s="78"/>
      <c r="N335" s="78"/>
      <c r="O335" s="78"/>
      <c r="P335" s="78"/>
      <c r="Q335" s="78"/>
      <c r="R335" s="78"/>
      <c r="S335" s="78"/>
      <c r="T335" s="78"/>
      <c r="U335" s="78"/>
    </row>
    <row r="336" spans="1:21" x14ac:dyDescent="0.2">
      <c r="C336" s="69"/>
      <c r="D336" s="69"/>
      <c r="E336" s="69"/>
    </row>
    <row r="337" spans="3:5" x14ac:dyDescent="0.2">
      <c r="C337" s="69"/>
      <c r="D337" s="69"/>
      <c r="E337" s="69"/>
    </row>
    <row r="338" spans="3:5" x14ac:dyDescent="0.2">
      <c r="C338" s="69"/>
      <c r="D338" s="69"/>
      <c r="E338" s="69"/>
    </row>
  </sheetData>
  <conditionalFormatting sqref="B25:B28">
    <cfRule type="duplicateValues" dxfId="518" priority="302"/>
  </conditionalFormatting>
  <conditionalFormatting sqref="G25 G27:G28">
    <cfRule type="containsText" dxfId="517" priority="300" operator="containsText" text="2">
      <formula>NOT(ISERROR(SEARCH("2",G25)))</formula>
    </cfRule>
    <cfRule type="containsText" dxfId="516" priority="301" operator="containsText" text="1">
      <formula>NOT(ISERROR(SEARCH("1",G25)))</formula>
    </cfRule>
  </conditionalFormatting>
  <conditionalFormatting sqref="G28">
    <cfRule type="expression" dxfId="515" priority="299">
      <formula>B28="-"</formula>
    </cfRule>
  </conditionalFormatting>
  <conditionalFormatting sqref="E25">
    <cfRule type="expression" dxfId="514" priority="296">
      <formula>AND(COUNT(E25:E28)&lt;2,IF(ISNUMBER(C25),C28&gt;C25))</formula>
    </cfRule>
  </conditionalFormatting>
  <conditionalFormatting sqref="E26">
    <cfRule type="expression" dxfId="513" priority="295">
      <formula>AND(COUNT(E25:E28)&lt;2,IF(ISNUMBER(C26),C27&gt;C26))</formula>
    </cfRule>
  </conditionalFormatting>
  <conditionalFormatting sqref="E25:E26">
    <cfRule type="aboveAverage" dxfId="512" priority="294"/>
  </conditionalFormatting>
  <conditionalFormatting sqref="F25">
    <cfRule type="expression" dxfId="511" priority="289">
      <formula>AND(COUNT(F25:F28)&lt;2,IF(COUNT(E25:E28)=2,IF(AND(ISNUMBER(E25),COUNTIF(E25:E28,E25)=1,E25=MAX(E25:E28)),TRUE,FALSE)))</formula>
    </cfRule>
    <cfRule type="expression" dxfId="510" priority="293">
      <formula>AND(COUNT(F25:F28)&lt;2,IF(COUNT(D25:D28)=2,IF(AND(ISNUMBER(D25),COUNTIF(D25:D28,D25)=1,D25=MIN(D25:D28)),TRUE,FALSE)))</formula>
    </cfRule>
  </conditionalFormatting>
  <conditionalFormatting sqref="F26">
    <cfRule type="expression" dxfId="509" priority="288">
      <formula>AND(COUNT(F25:F28)&lt;2,IF(COUNT(E25:E28)=2,IF(AND(ISNUMBER(E26),COUNTIF(E25:E28,E26)=1,E26=MAX(E25:E28)),TRUE,FALSE)))</formula>
    </cfRule>
    <cfRule type="expression" dxfId="508" priority="292">
      <formula>AND(COUNT(F25:F28)&lt;2,IF(COUNT(D25:D28)=2,IF(AND(ISNUMBER(D26),COUNTIF(D25:D28,D26)=1,D26=MIN(D25:D28)),TRUE,FALSE)))</formula>
    </cfRule>
  </conditionalFormatting>
  <conditionalFormatting sqref="F27">
    <cfRule type="expression" dxfId="507" priority="287">
      <formula>AND(COUNT(F25:F28)&lt;2,IF(COUNT(E25:E28)=2,IF(AND(ISNUMBER(E27),COUNTIF(E25:E28,E27)=1,E27=MAX(E25:E28)),TRUE,FALSE)))</formula>
    </cfRule>
    <cfRule type="expression" dxfId="506" priority="291">
      <formula>AND(COUNT(F25:F28)&lt;2,IF(COUNT(D25:D28)=2,IF(AND(ISNUMBER(D27),COUNTIF(D25:D28,D27)=1,D27=MIN(D25:D28)),TRUE,FALSE)))</formula>
    </cfRule>
  </conditionalFormatting>
  <conditionalFormatting sqref="F28">
    <cfRule type="expression" dxfId="505" priority="286">
      <formula>AND(COUNT(F25:F28)&lt;2,IF(COUNT(E25:E28)=2,IF(AND(ISNUMBER(E28),COUNTIF(E25:E28,E28)=1,E28=MAX(E25:E28)),TRUE,FALSE)))</formula>
    </cfRule>
    <cfRule type="expression" dxfId="504" priority="290">
      <formula>AND(COUNT(F25:F28)&lt;2,IF(COUNT(D25:D28)=2,IF(AND(ISNUMBER(D28),COUNTIF(D25:D28,D28)=1,D28=MIN(D25:D28)),TRUE,FALSE)))</formula>
    </cfRule>
  </conditionalFormatting>
  <conditionalFormatting sqref="F25:F28">
    <cfRule type="aboveAverage" dxfId="503" priority="285"/>
  </conditionalFormatting>
  <conditionalFormatting sqref="D25">
    <cfRule type="expression" dxfId="502" priority="284">
      <formula>AND(COUNT(D25:D28)&lt;2,IF(ISNUMBER(C28),C25&gt;C28))</formula>
    </cfRule>
  </conditionalFormatting>
  <conditionalFormatting sqref="D26">
    <cfRule type="expression" dxfId="501" priority="283">
      <formula>AND(COUNT(D25:D28)&lt;2,IF(ISNUMBER(C27),C26&gt;C27))</formula>
    </cfRule>
  </conditionalFormatting>
  <conditionalFormatting sqref="D27">
    <cfRule type="expression" dxfId="500" priority="282">
      <formula>AND(COUNT(D25:D28)&lt;2,IF(ISNUMBER(C26),C27&gt;C26))</formula>
    </cfRule>
  </conditionalFormatting>
  <conditionalFormatting sqref="D28">
    <cfRule type="expression" dxfId="499" priority="281">
      <formula>AND(COUNT(D25:D28)&lt;2,IF(ISNUMBER(C25),C28&gt;C25))</formula>
    </cfRule>
  </conditionalFormatting>
  <conditionalFormatting sqref="D25:D28">
    <cfRule type="aboveAverage" dxfId="498" priority="280"/>
  </conditionalFormatting>
  <conditionalFormatting sqref="B13:B16">
    <cfRule type="duplicateValues" dxfId="497" priority="279"/>
  </conditionalFormatting>
  <conditionalFormatting sqref="G13:G16">
    <cfRule type="containsText" dxfId="496" priority="277" operator="containsText" text="2">
      <formula>NOT(ISERROR(SEARCH("2",G13)))</formula>
    </cfRule>
    <cfRule type="containsText" dxfId="495" priority="278" operator="containsText" text="1">
      <formula>NOT(ISERROR(SEARCH("1",G13)))</formula>
    </cfRule>
  </conditionalFormatting>
  <conditionalFormatting sqref="G16">
    <cfRule type="expression" dxfId="494" priority="276">
      <formula>B16="-"</formula>
    </cfRule>
  </conditionalFormatting>
  <conditionalFormatting sqref="C13 C16">
    <cfRule type="aboveAverage" dxfId="493" priority="275"/>
  </conditionalFormatting>
  <conditionalFormatting sqref="C14:C15">
    <cfRule type="aboveAverage" dxfId="492" priority="274"/>
  </conditionalFormatting>
  <conditionalFormatting sqref="E16">
    <cfRule type="expression" dxfId="491" priority="273">
      <formula>AND(COUNT(E13:E16)&lt;2,IF(ISNUMBER(C16),C13&gt;C16))</formula>
    </cfRule>
  </conditionalFormatting>
  <conditionalFormatting sqref="E13">
    <cfRule type="expression" dxfId="490" priority="272">
      <formula>AND(COUNT(E13:E16)&lt;2,IF(ISNUMBER(C13),C16&gt;C13))</formula>
    </cfRule>
  </conditionalFormatting>
  <conditionalFormatting sqref="E14">
    <cfRule type="expression" dxfId="489" priority="271">
      <formula>AND(COUNT(E13:E16)&lt;2,IF(ISNUMBER(C14),C15&gt;C14))</formula>
    </cfRule>
  </conditionalFormatting>
  <conditionalFormatting sqref="E15">
    <cfRule type="expression" dxfId="488" priority="270">
      <formula>AND(COUNT(E13:E16)&lt;2,IF(ISNUMBER(C15),C14&gt;C15))</formula>
    </cfRule>
  </conditionalFormatting>
  <conditionalFormatting sqref="E13:E16">
    <cfRule type="aboveAverage" dxfId="487" priority="269"/>
  </conditionalFormatting>
  <conditionalFormatting sqref="F13">
    <cfRule type="expression" dxfId="486" priority="264">
      <formula>AND(COUNT(F13:F16)&lt;2,IF(COUNT(E13:E16)=2,IF(AND(ISNUMBER(E13),COUNTIF(E13:E16,E13)=1,E13=MAX(E13:E16)),TRUE,FALSE)))</formula>
    </cfRule>
    <cfRule type="expression" dxfId="485" priority="268">
      <formula>AND(COUNT(F13:F16)&lt;2,IF(COUNT(D13:D16)=2,IF(AND(ISNUMBER(D13),COUNTIF(D13:D16,D13)=1,D13=MIN(D13:D16)),TRUE,FALSE)))</formula>
    </cfRule>
  </conditionalFormatting>
  <conditionalFormatting sqref="F14">
    <cfRule type="expression" dxfId="484" priority="263">
      <formula>AND(COUNT(F13:F16)&lt;2,IF(COUNT(E13:E16)=2,IF(AND(ISNUMBER(E14),COUNTIF(E13:E16,E14)=1,E14=MAX(E13:E16)),TRUE,FALSE)))</formula>
    </cfRule>
    <cfRule type="expression" dxfId="483" priority="267">
      <formula>AND(COUNT(F13:F16)&lt;2,IF(COUNT(D13:D16)=2,IF(AND(ISNUMBER(D14),COUNTIF(D13:D16,D14)=1,D14=MIN(D13:D16)),TRUE,FALSE)))</formula>
    </cfRule>
  </conditionalFormatting>
  <conditionalFormatting sqref="F15">
    <cfRule type="expression" dxfId="482" priority="262">
      <formula>AND(COUNT(F13:F16)&lt;2,IF(COUNT(E13:E16)=2,IF(AND(ISNUMBER(E15),COUNTIF(E13:E16,E15)=1,E15=MAX(E13:E16)),TRUE,FALSE)))</formula>
    </cfRule>
    <cfRule type="expression" dxfId="481" priority="266">
      <formula>AND(COUNT(F13:F16)&lt;2,IF(COUNT(D13:D16)=2,IF(AND(ISNUMBER(D15),COUNTIF(D13:D16,D15)=1,D15=MIN(D13:D16)),TRUE,FALSE)))</formula>
    </cfRule>
  </conditionalFormatting>
  <conditionalFormatting sqref="F16">
    <cfRule type="expression" dxfId="480" priority="261">
      <formula>AND(COUNT(F13:F16)&lt;2,IF(COUNT(E13:E16)=2,IF(AND(ISNUMBER(E16),COUNTIF(E13:E16,E16)=1,E16=MAX(E13:E16)),TRUE,FALSE)))</formula>
    </cfRule>
    <cfRule type="expression" dxfId="479" priority="265">
      <formula>AND(COUNT(F13:F16)&lt;2,IF(COUNT(D13:D16)=2,IF(AND(ISNUMBER(D16),COUNTIF(D13:D16,D16)=1,D16=MIN(D13:D16)),TRUE,FALSE)))</formula>
    </cfRule>
  </conditionalFormatting>
  <conditionalFormatting sqref="F13:F16">
    <cfRule type="aboveAverage" dxfId="478" priority="260"/>
  </conditionalFormatting>
  <conditionalFormatting sqref="D13">
    <cfRule type="expression" dxfId="477" priority="259">
      <formula>AND(COUNT(D13:D16)&lt;2,IF(ISNUMBER(C16),C13&gt;C16))</formula>
    </cfRule>
  </conditionalFormatting>
  <conditionalFormatting sqref="D14">
    <cfRule type="expression" dxfId="476" priority="258">
      <formula>AND(COUNT(D13:D16)&lt;2,IF(ISNUMBER(C15),C14&gt;C15))</formula>
    </cfRule>
  </conditionalFormatting>
  <conditionalFormatting sqref="D15">
    <cfRule type="expression" dxfId="475" priority="257">
      <formula>AND(COUNT(D13:D16)&lt;2,IF(ISNUMBER(C14),C15&gt;C14))</formula>
    </cfRule>
  </conditionalFormatting>
  <conditionalFormatting sqref="D16">
    <cfRule type="expression" dxfId="474" priority="256">
      <formula>AND(COUNT(D13:D16)&lt;2,IF(ISNUMBER(C13),C16&gt;C13))</formula>
    </cfRule>
  </conditionalFormatting>
  <conditionalFormatting sqref="D13:D16">
    <cfRule type="aboveAverage" dxfId="473" priority="255"/>
  </conditionalFormatting>
  <conditionalFormatting sqref="B19:B22">
    <cfRule type="duplicateValues" dxfId="472" priority="254"/>
  </conditionalFormatting>
  <conditionalFormatting sqref="G19 G21:G22">
    <cfRule type="containsText" dxfId="471" priority="252" operator="containsText" text="2">
      <formula>NOT(ISERROR(SEARCH("2",G19)))</formula>
    </cfRule>
    <cfRule type="containsText" dxfId="470" priority="253" operator="containsText" text="1">
      <formula>NOT(ISERROR(SEARCH("1",G19)))</formula>
    </cfRule>
  </conditionalFormatting>
  <conditionalFormatting sqref="G22">
    <cfRule type="expression" dxfId="469" priority="251">
      <formula>B22="-"</formula>
    </cfRule>
  </conditionalFormatting>
  <conditionalFormatting sqref="C19 C22">
    <cfRule type="aboveAverage" dxfId="468" priority="250"/>
  </conditionalFormatting>
  <conditionalFormatting sqref="C20:C21">
    <cfRule type="aboveAverage" dxfId="467" priority="249"/>
  </conditionalFormatting>
  <conditionalFormatting sqref="E22">
    <cfRule type="expression" dxfId="466" priority="248">
      <formula>AND(COUNT(E19:E22)&lt;2,IF(ISNUMBER(C22),C19&gt;C22))</formula>
    </cfRule>
  </conditionalFormatting>
  <conditionalFormatting sqref="E19">
    <cfRule type="expression" dxfId="465" priority="247">
      <formula>AND(COUNT(E19:E22)&lt;2,IF(ISNUMBER(C19),C22&gt;C19))</formula>
    </cfRule>
  </conditionalFormatting>
  <conditionalFormatting sqref="E20">
    <cfRule type="expression" dxfId="464" priority="246">
      <formula>AND(COUNT(E19:E22)&lt;2,IF(ISNUMBER(C20),C21&gt;C20))</formula>
    </cfRule>
  </conditionalFormatting>
  <conditionalFormatting sqref="E21">
    <cfRule type="expression" dxfId="463" priority="245">
      <formula>AND(COUNT(E19:E22)&lt;2,IF(ISNUMBER(C21),C20&gt;C21))</formula>
    </cfRule>
  </conditionalFormatting>
  <conditionalFormatting sqref="E19:E22">
    <cfRule type="aboveAverage" dxfId="462" priority="244"/>
  </conditionalFormatting>
  <conditionalFormatting sqref="F19">
    <cfRule type="expression" dxfId="461" priority="239">
      <formula>AND(COUNT(F19:F22)&lt;2,IF(COUNT(E19:E22)=2,IF(AND(ISNUMBER(E19),COUNTIF(E19:E22,E19)=1,E19=MAX(E19:E22)),TRUE,FALSE)))</formula>
    </cfRule>
    <cfRule type="expression" dxfId="460" priority="243">
      <formula>AND(COUNT(F19:F22)&lt;2,IF(COUNT(D19:D22)=2,IF(AND(ISNUMBER(D19),COUNTIF(D19:D22,D19)=1,D19=MIN(D19:D22)),TRUE,FALSE)))</formula>
    </cfRule>
  </conditionalFormatting>
  <conditionalFormatting sqref="F20">
    <cfRule type="expression" dxfId="459" priority="238">
      <formula>AND(COUNT(F19:F22)&lt;2,IF(COUNT(E19:E22)=2,IF(AND(ISNUMBER(E20),COUNTIF(E19:E22,E20)=1,E20=MAX(E19:E22)),TRUE,FALSE)))</formula>
    </cfRule>
    <cfRule type="expression" dxfId="458" priority="242">
      <formula>AND(COUNT(F19:F22)&lt;2,IF(COUNT(D19:D22)=2,IF(AND(ISNUMBER(D20),COUNTIF(D19:D22,D20)=1,D20=MIN(D19:D22)),TRUE,FALSE)))</formula>
    </cfRule>
  </conditionalFormatting>
  <conditionalFormatting sqref="F21">
    <cfRule type="expression" dxfId="457" priority="237">
      <formula>AND(COUNT(F19:F22)&lt;2,IF(COUNT(E19:E22)=2,IF(AND(ISNUMBER(E21),COUNTIF(E19:E22,E21)=1,E21=MAX(E19:E22)),TRUE,FALSE)))</formula>
    </cfRule>
    <cfRule type="expression" dxfId="456" priority="241">
      <formula>AND(COUNT(F19:F22)&lt;2,IF(COUNT(D19:D22)=2,IF(AND(ISNUMBER(D21),COUNTIF(D19:D22,D21)=1,D21=MIN(D19:D22)),TRUE,FALSE)))</formula>
    </cfRule>
  </conditionalFormatting>
  <conditionalFormatting sqref="F22">
    <cfRule type="expression" dxfId="455" priority="236">
      <formula>AND(COUNT(F19:F22)&lt;2,IF(COUNT(E19:E22)=2,IF(AND(ISNUMBER(E22),COUNTIF(E19:E22,E22)=1,E22=MAX(E19:E22)),TRUE,FALSE)))</formula>
    </cfRule>
    <cfRule type="expression" dxfId="454" priority="240">
      <formula>AND(COUNT(F19:F22)&lt;2,IF(COUNT(D19:D22)=2,IF(AND(ISNUMBER(D22),COUNTIF(D19:D22,D22)=1,D22=MIN(D19:D22)),TRUE,FALSE)))</formula>
    </cfRule>
  </conditionalFormatting>
  <conditionalFormatting sqref="F19:F22">
    <cfRule type="aboveAverage" dxfId="453" priority="235"/>
  </conditionalFormatting>
  <conditionalFormatting sqref="D19">
    <cfRule type="expression" dxfId="452" priority="234">
      <formula>AND(COUNT(D19:D22)&lt;2,IF(ISNUMBER(C22),C19&gt;C22))</formula>
    </cfRule>
  </conditionalFormatting>
  <conditionalFormatting sqref="D20">
    <cfRule type="expression" dxfId="451" priority="233">
      <formula>AND(COUNT(D19:D22)&lt;2,IF(ISNUMBER(C21),C20&gt;C21))</formula>
    </cfRule>
  </conditionalFormatting>
  <conditionalFormatting sqref="D21">
    <cfRule type="expression" dxfId="450" priority="232">
      <formula>AND(COUNT(D19:D22)&lt;2,IF(ISNUMBER(C20),C21&gt;C20))</formula>
    </cfRule>
  </conditionalFormatting>
  <conditionalFormatting sqref="D22">
    <cfRule type="expression" dxfId="449" priority="231">
      <formula>AND(COUNT(D19:D22)&lt;2,IF(ISNUMBER(C19),C22&gt;C19))</formula>
    </cfRule>
  </conditionalFormatting>
  <conditionalFormatting sqref="D19:D22">
    <cfRule type="aboveAverage" dxfId="448" priority="230"/>
  </conditionalFormatting>
  <conditionalFormatting sqref="B31:B34">
    <cfRule type="duplicateValues" dxfId="447" priority="229"/>
  </conditionalFormatting>
  <conditionalFormatting sqref="G31:G34">
    <cfRule type="containsText" dxfId="446" priority="227" operator="containsText" text="2">
      <formula>NOT(ISERROR(SEARCH("2",G31)))</formula>
    </cfRule>
    <cfRule type="containsText" dxfId="445" priority="228" operator="containsText" text="1">
      <formula>NOT(ISERROR(SEARCH("1",G31)))</formula>
    </cfRule>
  </conditionalFormatting>
  <conditionalFormatting sqref="G34">
    <cfRule type="expression" dxfId="444" priority="226">
      <formula>B34="-"</formula>
    </cfRule>
  </conditionalFormatting>
  <conditionalFormatting sqref="C31 C34">
    <cfRule type="aboveAverage" dxfId="443" priority="225"/>
  </conditionalFormatting>
  <conditionalFormatting sqref="C32:C33">
    <cfRule type="aboveAverage" dxfId="442" priority="224"/>
  </conditionalFormatting>
  <conditionalFormatting sqref="E34">
    <cfRule type="expression" dxfId="441" priority="223">
      <formula>AND(COUNT(E31:E34)&lt;2,IF(ISNUMBER(C34),C31&gt;C34))</formula>
    </cfRule>
  </conditionalFormatting>
  <conditionalFormatting sqref="E31">
    <cfRule type="expression" dxfId="440" priority="222">
      <formula>AND(COUNT(E31:E34)&lt;2,IF(ISNUMBER(C31),C34&gt;C31))</formula>
    </cfRule>
  </conditionalFormatting>
  <conditionalFormatting sqref="E32">
    <cfRule type="expression" dxfId="439" priority="221">
      <formula>AND(COUNT(E31:E34)&lt;2,IF(ISNUMBER(C32),C33&gt;C32))</formula>
    </cfRule>
  </conditionalFormatting>
  <conditionalFormatting sqref="E33">
    <cfRule type="expression" dxfId="438" priority="220">
      <formula>AND(COUNT(E31:E34)&lt;2,IF(ISNUMBER(C33),C32&gt;C33))</formula>
    </cfRule>
  </conditionalFormatting>
  <conditionalFormatting sqref="E31:E34">
    <cfRule type="aboveAverage" dxfId="437" priority="219"/>
  </conditionalFormatting>
  <conditionalFormatting sqref="F31">
    <cfRule type="expression" dxfId="436" priority="214">
      <formula>AND(COUNT(F31:F34)&lt;2,IF(COUNT(E31:E34)=2,IF(AND(ISNUMBER(E31),COUNTIF(E31:E34,E31)=1,E31=MAX(E31:E34)),TRUE,FALSE)))</formula>
    </cfRule>
    <cfRule type="expression" dxfId="435" priority="218">
      <formula>AND(COUNT(F31:F34)&lt;2,IF(COUNT(D31:D34)=2,IF(AND(ISNUMBER(D31),COUNTIF(D31:D34,D31)=1,D31=MIN(D31:D34)),TRUE,FALSE)))</formula>
    </cfRule>
  </conditionalFormatting>
  <conditionalFormatting sqref="F32">
    <cfRule type="expression" dxfId="434" priority="213">
      <formula>AND(COUNT(F31:F34)&lt;2,IF(COUNT(E31:E34)=2,IF(AND(ISNUMBER(E32),COUNTIF(E31:E34,E32)=1,E32=MAX(E31:E34)),TRUE,FALSE)))</formula>
    </cfRule>
    <cfRule type="expression" dxfId="433" priority="217">
      <formula>AND(COUNT(F31:F34)&lt;2,IF(COUNT(D31:D34)=2,IF(AND(ISNUMBER(D32),COUNTIF(D31:D34,D32)=1,D32=MIN(D31:D34)),TRUE,FALSE)))</formula>
    </cfRule>
  </conditionalFormatting>
  <conditionalFormatting sqref="F33">
    <cfRule type="expression" dxfId="432" priority="212">
      <formula>AND(COUNT(F31:F34)&lt;2,IF(COUNT(E31:E34)=2,IF(AND(ISNUMBER(E33),COUNTIF(E31:E34,E33)=1,E33=MAX(E31:E34)),TRUE,FALSE)))</formula>
    </cfRule>
    <cfRule type="expression" dxfId="431" priority="216">
      <formula>AND(COUNT(F31:F34)&lt;2,IF(COUNT(D31:D34)=2,IF(AND(ISNUMBER(D33),COUNTIF(D31:D34,D33)=1,D33=MIN(D31:D34)),TRUE,FALSE)))</formula>
    </cfRule>
  </conditionalFormatting>
  <conditionalFormatting sqref="F34">
    <cfRule type="expression" dxfId="430" priority="211">
      <formula>AND(COUNT(F31:F34)&lt;2,IF(COUNT(E31:E34)=2,IF(AND(ISNUMBER(E34),COUNTIF(E31:E34,E34)=1,E34=MAX(E31:E34)),TRUE,FALSE)))</formula>
    </cfRule>
    <cfRule type="expression" dxfId="429" priority="215">
      <formula>AND(COUNT(F31:F34)&lt;2,IF(COUNT(D31:D34)=2,IF(AND(ISNUMBER(D34),COUNTIF(D31:D34,D34)=1,D34=MIN(D31:D34)),TRUE,FALSE)))</formula>
    </cfRule>
  </conditionalFormatting>
  <conditionalFormatting sqref="F31:F34">
    <cfRule type="aboveAverage" dxfId="428" priority="210"/>
  </conditionalFormatting>
  <conditionalFormatting sqref="D31">
    <cfRule type="expression" dxfId="427" priority="209">
      <formula>AND(COUNT(D31:D34)&lt;2,IF(ISNUMBER(C34),C31&gt;C34))</formula>
    </cfRule>
  </conditionalFormatting>
  <conditionalFormatting sqref="D32">
    <cfRule type="expression" dxfId="426" priority="208">
      <formula>AND(COUNT(D31:D34)&lt;2,IF(ISNUMBER(C33),C32&gt;C33))</formula>
    </cfRule>
  </conditionalFormatting>
  <conditionalFormatting sqref="D33">
    <cfRule type="expression" dxfId="425" priority="207">
      <formula>AND(COUNT(D31:D34)&lt;2,IF(ISNUMBER(C32),C33&gt;C32))</formula>
    </cfRule>
  </conditionalFormatting>
  <conditionalFormatting sqref="D34">
    <cfRule type="expression" dxfId="424" priority="206">
      <formula>AND(COUNT(D31:D34)&lt;2,IF(ISNUMBER(C31),C34&gt;C31))</formula>
    </cfRule>
  </conditionalFormatting>
  <conditionalFormatting sqref="D31:D34">
    <cfRule type="aboveAverage" dxfId="423" priority="205"/>
  </conditionalFormatting>
  <conditionalFormatting sqref="B37:B40">
    <cfRule type="duplicateValues" dxfId="422" priority="204"/>
  </conditionalFormatting>
  <conditionalFormatting sqref="G37:G40">
    <cfRule type="containsText" dxfId="421" priority="202" operator="containsText" text="2">
      <formula>NOT(ISERROR(SEARCH("2",G37)))</formula>
    </cfRule>
    <cfRule type="containsText" dxfId="420" priority="203" operator="containsText" text="1">
      <formula>NOT(ISERROR(SEARCH("1",G37)))</formula>
    </cfRule>
  </conditionalFormatting>
  <conditionalFormatting sqref="G40">
    <cfRule type="expression" dxfId="419" priority="201">
      <formula>B40="-"</formula>
    </cfRule>
  </conditionalFormatting>
  <conditionalFormatting sqref="C37 C40">
    <cfRule type="aboveAverage" dxfId="418" priority="200"/>
  </conditionalFormatting>
  <conditionalFormatting sqref="C38:C39">
    <cfRule type="aboveAverage" dxfId="417" priority="199"/>
  </conditionalFormatting>
  <conditionalFormatting sqref="E40">
    <cfRule type="expression" dxfId="416" priority="198">
      <formula>AND(COUNT(E37:E40)&lt;2,IF(ISNUMBER(C40),C37&gt;C40))</formula>
    </cfRule>
  </conditionalFormatting>
  <conditionalFormatting sqref="E37">
    <cfRule type="expression" dxfId="415" priority="197">
      <formula>AND(COUNT(E37:E40)&lt;2,IF(ISNUMBER(C37),C40&gt;C37))</formula>
    </cfRule>
  </conditionalFormatting>
  <conditionalFormatting sqref="E38">
    <cfRule type="expression" dxfId="414" priority="196">
      <formula>AND(COUNT(E37:E40)&lt;2,IF(ISNUMBER(C38),C39&gt;C38))</formula>
    </cfRule>
  </conditionalFormatting>
  <conditionalFormatting sqref="E39">
    <cfRule type="expression" dxfId="413" priority="195">
      <formula>AND(COUNT(E37:E40)&lt;2,IF(ISNUMBER(C39),C38&gt;C39))</formula>
    </cfRule>
  </conditionalFormatting>
  <conditionalFormatting sqref="E37:E40">
    <cfRule type="aboveAverage" dxfId="412" priority="194"/>
  </conditionalFormatting>
  <conditionalFormatting sqref="F37">
    <cfRule type="expression" dxfId="411" priority="189">
      <formula>AND(COUNT(F37:F40)&lt;2,IF(COUNT(E37:E40)=2,IF(AND(ISNUMBER(E37),COUNTIF(E37:E40,E37)=1,E37=MAX(E37:E40)),TRUE,FALSE)))</formula>
    </cfRule>
    <cfRule type="expression" dxfId="410" priority="193">
      <formula>AND(COUNT(F37:F40)&lt;2,IF(COUNT(D37:D40)=2,IF(AND(ISNUMBER(D37),COUNTIF(D37:D40,D37)=1,D37=MIN(D37:D40)),TRUE,FALSE)))</formula>
    </cfRule>
  </conditionalFormatting>
  <conditionalFormatting sqref="F38">
    <cfRule type="expression" dxfId="409" priority="188">
      <formula>AND(COUNT(F37:F40)&lt;2,IF(COUNT(E37:E40)=2,IF(AND(ISNUMBER(E38),COUNTIF(E37:E40,E38)=1,E38=MAX(E37:E40)),TRUE,FALSE)))</formula>
    </cfRule>
    <cfRule type="expression" dxfId="408" priority="192">
      <formula>AND(COUNT(F37:F40)&lt;2,IF(COUNT(D37:D40)=2,IF(AND(ISNUMBER(D38),COUNTIF(D37:D40,D38)=1,D38=MIN(D37:D40)),TRUE,FALSE)))</formula>
    </cfRule>
  </conditionalFormatting>
  <conditionalFormatting sqref="F39">
    <cfRule type="expression" dxfId="407" priority="187">
      <formula>AND(COUNT(F37:F40)&lt;2,IF(COUNT(E37:E40)=2,IF(AND(ISNUMBER(E39),COUNTIF(E37:E40,E39)=1,E39=MAX(E37:E40)),TRUE,FALSE)))</formula>
    </cfRule>
    <cfRule type="expression" dxfId="406" priority="191">
      <formula>AND(COUNT(F37:F40)&lt;2,IF(COUNT(D37:D40)=2,IF(AND(ISNUMBER(D39),COUNTIF(D37:D40,D39)=1,D39=MIN(D37:D40)),TRUE,FALSE)))</formula>
    </cfRule>
  </conditionalFormatting>
  <conditionalFormatting sqref="F40">
    <cfRule type="expression" dxfId="405" priority="186">
      <formula>AND(COUNT(F37:F40)&lt;2,IF(COUNT(E37:E40)=2,IF(AND(ISNUMBER(E40),COUNTIF(E37:E40,E40)=1,E40=MAX(E37:E40)),TRUE,FALSE)))</formula>
    </cfRule>
    <cfRule type="expression" dxfId="404" priority="190">
      <formula>AND(COUNT(F37:F40)&lt;2,IF(COUNT(D37:D40)=2,IF(AND(ISNUMBER(D40),COUNTIF(D37:D40,D40)=1,D40=MIN(D37:D40)),TRUE,FALSE)))</formula>
    </cfRule>
  </conditionalFormatting>
  <conditionalFormatting sqref="F37:F40">
    <cfRule type="aboveAverage" dxfId="403" priority="185"/>
  </conditionalFormatting>
  <conditionalFormatting sqref="D37">
    <cfRule type="expression" dxfId="402" priority="184">
      <formula>AND(COUNT(D37:D40)&lt;2,IF(ISNUMBER(C40),C37&gt;C40))</formula>
    </cfRule>
  </conditionalFormatting>
  <conditionalFormatting sqref="D38">
    <cfRule type="expression" dxfId="401" priority="183">
      <formula>AND(COUNT(D37:D40)&lt;2,IF(ISNUMBER(C39),C38&gt;C39))</formula>
    </cfRule>
  </conditionalFormatting>
  <conditionalFormatting sqref="D39">
    <cfRule type="expression" dxfId="400" priority="182">
      <formula>AND(COUNT(D37:D40)&lt;2,IF(ISNUMBER(C38),C39&gt;C38))</formula>
    </cfRule>
  </conditionalFormatting>
  <conditionalFormatting sqref="D40">
    <cfRule type="expression" dxfId="399" priority="181">
      <formula>AND(COUNT(D37:D40)&lt;2,IF(ISNUMBER(C37),C40&gt;C37))</formula>
    </cfRule>
  </conditionalFormatting>
  <conditionalFormatting sqref="D37:D40">
    <cfRule type="aboveAverage" dxfId="398" priority="180"/>
  </conditionalFormatting>
  <conditionalFormatting sqref="B43:B46">
    <cfRule type="duplicateValues" dxfId="397" priority="179"/>
  </conditionalFormatting>
  <conditionalFormatting sqref="G43:G46">
    <cfRule type="containsText" dxfId="396" priority="177" operator="containsText" text="2">
      <formula>NOT(ISERROR(SEARCH("2",G43)))</formula>
    </cfRule>
    <cfRule type="containsText" dxfId="395" priority="178" operator="containsText" text="1">
      <formula>NOT(ISERROR(SEARCH("1",G43)))</formula>
    </cfRule>
  </conditionalFormatting>
  <conditionalFormatting sqref="G46">
    <cfRule type="expression" dxfId="394" priority="176">
      <formula>B46="-"</formula>
    </cfRule>
  </conditionalFormatting>
  <conditionalFormatting sqref="C43 C46">
    <cfRule type="aboveAverage" dxfId="393" priority="175"/>
  </conditionalFormatting>
  <conditionalFormatting sqref="C44:C45">
    <cfRule type="aboveAverage" dxfId="392" priority="174"/>
  </conditionalFormatting>
  <conditionalFormatting sqref="E46">
    <cfRule type="expression" dxfId="391" priority="173">
      <formula>AND(COUNT(E43:E46)&lt;2,IF(ISNUMBER(C46),C43&gt;C46))</formula>
    </cfRule>
  </conditionalFormatting>
  <conditionalFormatting sqref="E43">
    <cfRule type="expression" dxfId="390" priority="172">
      <formula>AND(COUNT(E43:E46)&lt;2,IF(ISNUMBER(C43),C46&gt;C43))</formula>
    </cfRule>
  </conditionalFormatting>
  <conditionalFormatting sqref="E44">
    <cfRule type="expression" dxfId="389" priority="171">
      <formula>AND(COUNT(E43:E46)&lt;2,IF(ISNUMBER(C44),C45&gt;C44))</formula>
    </cfRule>
  </conditionalFormatting>
  <conditionalFormatting sqref="E45">
    <cfRule type="expression" dxfId="388" priority="170">
      <formula>AND(COUNT(E43:E46)&lt;2,IF(ISNUMBER(C45),C44&gt;C45))</formula>
    </cfRule>
  </conditionalFormatting>
  <conditionalFormatting sqref="E43:E46">
    <cfRule type="aboveAverage" dxfId="387" priority="169"/>
  </conditionalFormatting>
  <conditionalFormatting sqref="F43">
    <cfRule type="expression" dxfId="386" priority="164">
      <formula>AND(COUNT(F43:F46)&lt;2,IF(COUNT(E43:E46)=2,IF(AND(ISNUMBER(E43),COUNTIF(E43:E46,E43)=1,E43=MAX(E43:E46)),TRUE,FALSE)))</formula>
    </cfRule>
    <cfRule type="expression" dxfId="385" priority="168">
      <formula>AND(COUNT(F43:F46)&lt;2,IF(COUNT(D43:D46)=2,IF(AND(ISNUMBER(D43),COUNTIF(D43:D46,D43)=1,D43=MIN(D43:D46)),TRUE,FALSE)))</formula>
    </cfRule>
  </conditionalFormatting>
  <conditionalFormatting sqref="F44">
    <cfRule type="expression" dxfId="384" priority="163">
      <formula>AND(COUNT(F43:F46)&lt;2,IF(COUNT(E43:E46)=2,IF(AND(ISNUMBER(E44),COUNTIF(E43:E46,E44)=1,E44=MAX(E43:E46)),TRUE,FALSE)))</formula>
    </cfRule>
    <cfRule type="expression" dxfId="383" priority="167">
      <formula>AND(COUNT(F43:F46)&lt;2,IF(COUNT(D43:D46)=2,IF(AND(ISNUMBER(D44),COUNTIF(D43:D46,D44)=1,D44=MIN(D43:D46)),TRUE,FALSE)))</formula>
    </cfRule>
  </conditionalFormatting>
  <conditionalFormatting sqref="F45">
    <cfRule type="expression" dxfId="382" priority="162">
      <formula>AND(COUNT(F43:F46)&lt;2,IF(COUNT(E43:E46)=2,IF(AND(ISNUMBER(E45),COUNTIF(E43:E46,E45)=1,E45=MAX(E43:E46)),TRUE,FALSE)))</formula>
    </cfRule>
    <cfRule type="expression" dxfId="381" priority="166">
      <formula>AND(COUNT(F43:F46)&lt;2,IF(COUNT(D43:D46)=2,IF(AND(ISNUMBER(D45),COUNTIF(D43:D46,D45)=1,D45=MIN(D43:D46)),TRUE,FALSE)))</formula>
    </cfRule>
  </conditionalFormatting>
  <conditionalFormatting sqref="F46">
    <cfRule type="expression" dxfId="380" priority="161">
      <formula>AND(COUNT(F43:F46)&lt;2,IF(COUNT(E43:E46)=2,IF(AND(ISNUMBER(E46),COUNTIF(E43:E46,E46)=1,E46=MAX(E43:E46)),TRUE,FALSE)))</formula>
    </cfRule>
    <cfRule type="expression" dxfId="379" priority="165">
      <formula>AND(COUNT(F43:F46)&lt;2,IF(COUNT(D43:D46)=2,IF(AND(ISNUMBER(D46),COUNTIF(D43:D46,D46)=1,D46=MIN(D43:D46)),TRUE,FALSE)))</formula>
    </cfRule>
  </conditionalFormatting>
  <conditionalFormatting sqref="F43:F46">
    <cfRule type="aboveAverage" dxfId="378" priority="160"/>
  </conditionalFormatting>
  <conditionalFormatting sqref="D43">
    <cfRule type="expression" dxfId="377" priority="159">
      <formula>AND(COUNT(D43:D46)&lt;2,IF(ISNUMBER(C46),C43&gt;C46))</formula>
    </cfRule>
  </conditionalFormatting>
  <conditionalFormatting sqref="D44">
    <cfRule type="expression" dxfId="376" priority="158">
      <formula>AND(COUNT(D43:D46)&lt;2,IF(ISNUMBER(C45),C44&gt;C45))</formula>
    </cfRule>
  </conditionalFormatting>
  <conditionalFormatting sqref="D45">
    <cfRule type="expression" dxfId="375" priority="157">
      <formula>AND(COUNT(D43:D46)&lt;2,IF(ISNUMBER(C44),C45&gt;C44))</formula>
    </cfRule>
  </conditionalFormatting>
  <conditionalFormatting sqref="D46">
    <cfRule type="expression" dxfId="374" priority="156">
      <formula>AND(COUNT(D43:D46)&lt;2,IF(ISNUMBER(C43),C46&gt;C43))</formula>
    </cfRule>
  </conditionalFormatting>
  <conditionalFormatting sqref="D43:D46">
    <cfRule type="aboveAverage" dxfId="373" priority="155"/>
  </conditionalFormatting>
  <conditionalFormatting sqref="B49:B52">
    <cfRule type="duplicateValues" dxfId="372" priority="154"/>
  </conditionalFormatting>
  <conditionalFormatting sqref="G49:G52">
    <cfRule type="containsText" dxfId="371" priority="152" operator="containsText" text="2">
      <formula>NOT(ISERROR(SEARCH("2",G49)))</formula>
    </cfRule>
    <cfRule type="containsText" dxfId="370" priority="153" operator="containsText" text="1">
      <formula>NOT(ISERROR(SEARCH("1",G49)))</formula>
    </cfRule>
  </conditionalFormatting>
  <conditionalFormatting sqref="G52">
    <cfRule type="expression" dxfId="369" priority="151">
      <formula>B52="-"</formula>
    </cfRule>
  </conditionalFormatting>
  <conditionalFormatting sqref="C49 C52">
    <cfRule type="aboveAverage" dxfId="368" priority="150"/>
  </conditionalFormatting>
  <conditionalFormatting sqref="C50:C51">
    <cfRule type="aboveAverage" dxfId="367" priority="149"/>
  </conditionalFormatting>
  <conditionalFormatting sqref="E52">
    <cfRule type="expression" dxfId="366" priority="148">
      <formula>AND(COUNT(E49:E52)&lt;2,IF(ISNUMBER(C52),C49&gt;C52))</formula>
    </cfRule>
  </conditionalFormatting>
  <conditionalFormatting sqref="E49">
    <cfRule type="expression" dxfId="365" priority="147">
      <formula>AND(COUNT(E49:E52)&lt;2,IF(ISNUMBER(C49),C52&gt;C49))</formula>
    </cfRule>
  </conditionalFormatting>
  <conditionalFormatting sqref="E50">
    <cfRule type="expression" dxfId="364" priority="146">
      <formula>AND(COUNT(E49:E52)&lt;2,IF(ISNUMBER(C50),C51&gt;C50))</formula>
    </cfRule>
  </conditionalFormatting>
  <conditionalFormatting sqref="E51">
    <cfRule type="expression" dxfId="363" priority="145">
      <formula>AND(COUNT(E49:E52)&lt;2,IF(ISNUMBER(C51),C50&gt;C51))</formula>
    </cfRule>
  </conditionalFormatting>
  <conditionalFormatting sqref="E49:E52">
    <cfRule type="aboveAverage" dxfId="362" priority="144"/>
  </conditionalFormatting>
  <conditionalFormatting sqref="F49">
    <cfRule type="expression" dxfId="361" priority="139">
      <formula>AND(COUNT(F49:F52)&lt;2,IF(COUNT(E49:E52)=2,IF(AND(ISNUMBER(E49),COUNTIF(E49:E52,E49)=1,E49=MAX(E49:E52)),TRUE,FALSE)))</formula>
    </cfRule>
    <cfRule type="expression" dxfId="360" priority="143">
      <formula>AND(COUNT(F49:F52)&lt;2,IF(COUNT(D49:D52)=2,IF(AND(ISNUMBER(D49),COUNTIF(D49:D52,D49)=1,D49=MIN(D49:D52)),TRUE,FALSE)))</formula>
    </cfRule>
  </conditionalFormatting>
  <conditionalFormatting sqref="F50">
    <cfRule type="expression" dxfId="359" priority="138">
      <formula>AND(COUNT(F49:F52)&lt;2,IF(COUNT(E49:E52)=2,IF(AND(ISNUMBER(E50),COUNTIF(E49:E52,E50)=1,E50=MAX(E49:E52)),TRUE,FALSE)))</formula>
    </cfRule>
    <cfRule type="expression" dxfId="358" priority="142">
      <formula>AND(COUNT(F49:F52)&lt;2,IF(COUNT(D49:D52)=2,IF(AND(ISNUMBER(D50),COUNTIF(D49:D52,D50)=1,D50=MIN(D49:D52)),TRUE,FALSE)))</formula>
    </cfRule>
  </conditionalFormatting>
  <conditionalFormatting sqref="F51">
    <cfRule type="expression" dxfId="357" priority="137">
      <formula>AND(COUNT(F49:F52)&lt;2,IF(COUNT(E49:E52)=2,IF(AND(ISNUMBER(E51),COUNTIF(E49:E52,E51)=1,E51=MAX(E49:E52)),TRUE,FALSE)))</formula>
    </cfRule>
    <cfRule type="expression" dxfId="356" priority="141">
      <formula>AND(COUNT(F49:F52)&lt;2,IF(COUNT(D49:D52)=2,IF(AND(ISNUMBER(D51),COUNTIF(D49:D52,D51)=1,D51=MIN(D49:D52)),TRUE,FALSE)))</formula>
    </cfRule>
  </conditionalFormatting>
  <conditionalFormatting sqref="F52">
    <cfRule type="expression" dxfId="355" priority="136">
      <formula>AND(COUNT(F49:F52)&lt;2,IF(COUNT(E49:E52)=2,IF(AND(ISNUMBER(E52),COUNTIF(E49:E52,E52)=1,E52=MAX(E49:E52)),TRUE,FALSE)))</formula>
    </cfRule>
    <cfRule type="expression" dxfId="354" priority="140">
      <formula>AND(COUNT(F49:F52)&lt;2,IF(COUNT(D49:D52)=2,IF(AND(ISNUMBER(D52),COUNTIF(D49:D52,D52)=1,D52=MIN(D49:D52)),TRUE,FALSE)))</formula>
    </cfRule>
  </conditionalFormatting>
  <conditionalFormatting sqref="F49:F52">
    <cfRule type="aboveAverage" dxfId="353" priority="135"/>
  </conditionalFormatting>
  <conditionalFormatting sqref="D49">
    <cfRule type="expression" dxfId="352" priority="134">
      <formula>AND(COUNT(D49:D52)&lt;2,IF(ISNUMBER(C52),C49&gt;C52))</formula>
    </cfRule>
  </conditionalFormatting>
  <conditionalFormatting sqref="D50">
    <cfRule type="expression" dxfId="351" priority="133">
      <formula>AND(COUNT(D49:D52)&lt;2,IF(ISNUMBER(C51),C50&gt;C51))</formula>
    </cfRule>
  </conditionalFormatting>
  <conditionalFormatting sqref="D51">
    <cfRule type="expression" dxfId="350" priority="132">
      <formula>AND(COUNT(D49:D52)&lt;2,IF(ISNUMBER(C50),C51&gt;C50))</formula>
    </cfRule>
  </conditionalFormatting>
  <conditionalFormatting sqref="D52">
    <cfRule type="expression" dxfId="349" priority="131">
      <formula>AND(COUNT(D49:D52)&lt;2,IF(ISNUMBER(C49),C52&gt;C49))</formula>
    </cfRule>
  </conditionalFormatting>
  <conditionalFormatting sqref="D49:D52">
    <cfRule type="aboveAverage" dxfId="348" priority="130"/>
  </conditionalFormatting>
  <conditionalFormatting sqref="B7:B9">
    <cfRule type="duplicateValues" dxfId="347" priority="129"/>
  </conditionalFormatting>
  <conditionalFormatting sqref="G7:G10">
    <cfRule type="containsText" dxfId="346" priority="127" operator="containsText" text="2">
      <formula>NOT(ISERROR(SEARCH("2",G7)))</formula>
    </cfRule>
    <cfRule type="containsText" dxfId="345" priority="128" operator="containsText" text="1">
      <formula>NOT(ISERROR(SEARCH("1",G7)))</formula>
    </cfRule>
  </conditionalFormatting>
  <conditionalFormatting sqref="G10">
    <cfRule type="expression" dxfId="344" priority="126">
      <formula>B10="-"</formula>
    </cfRule>
  </conditionalFormatting>
  <conditionalFormatting sqref="C7 C10">
    <cfRule type="aboveAverage" dxfId="343" priority="125"/>
  </conditionalFormatting>
  <conditionalFormatting sqref="C8:C9">
    <cfRule type="aboveAverage" dxfId="342" priority="124"/>
  </conditionalFormatting>
  <conditionalFormatting sqref="E10">
    <cfRule type="expression" dxfId="341" priority="123">
      <formula>AND(COUNT(E7:E10)&lt;2,IF(ISNUMBER(C10),C7&gt;C10))</formula>
    </cfRule>
  </conditionalFormatting>
  <conditionalFormatting sqref="E7">
    <cfRule type="expression" dxfId="340" priority="122">
      <formula>AND(COUNT(E7:E10)&lt;2,IF(ISNUMBER(C7),C10&gt;C7))</formula>
    </cfRule>
  </conditionalFormatting>
  <conditionalFormatting sqref="E8">
    <cfRule type="expression" dxfId="339" priority="121">
      <formula>AND(COUNT(E7:E10)&lt;2,IF(ISNUMBER(C8),C9&gt;C8))</formula>
    </cfRule>
  </conditionalFormatting>
  <conditionalFormatting sqref="E9">
    <cfRule type="expression" dxfId="338" priority="120">
      <formula>AND(COUNT(E7:E10)&lt;2,IF(ISNUMBER(C9),C8&gt;C9))</formula>
    </cfRule>
  </conditionalFormatting>
  <conditionalFormatting sqref="E7:E10">
    <cfRule type="aboveAverage" dxfId="337" priority="119"/>
  </conditionalFormatting>
  <conditionalFormatting sqref="F7">
    <cfRule type="expression" dxfId="336" priority="114">
      <formula>AND(COUNT(F7:F10)&lt;2,IF(COUNT(E7:E10)=2,IF(AND(ISNUMBER(E7),COUNTIF(E7:E10,E7)=1,E7=MAX(E7:E10)),TRUE,FALSE)))</formula>
    </cfRule>
    <cfRule type="expression" dxfId="335" priority="118">
      <formula>AND(COUNT(F7:F10)&lt;2,IF(COUNT(D7:D10)=2,IF(AND(ISNUMBER(D7),COUNTIF(D7:D10,D7)=1,D7=MIN(D7:D10)),TRUE,FALSE)))</formula>
    </cfRule>
  </conditionalFormatting>
  <conditionalFormatting sqref="F8">
    <cfRule type="expression" dxfId="334" priority="113">
      <formula>AND(COUNT(F7:F10)&lt;2,IF(COUNT(E7:E10)=2,IF(AND(ISNUMBER(E8),COUNTIF(E7:E10,E8)=1,E8=MAX(E7:E10)),TRUE,FALSE)))</formula>
    </cfRule>
    <cfRule type="expression" dxfId="333" priority="117">
      <formula>AND(COUNT(F7:F10)&lt;2,IF(COUNT(D7:D10)=2,IF(AND(ISNUMBER(D8),COUNTIF(D7:D10,D8)=1,D8=MIN(D7:D10)),TRUE,FALSE)))</formula>
    </cfRule>
  </conditionalFormatting>
  <conditionalFormatting sqref="F9">
    <cfRule type="expression" dxfId="332" priority="112">
      <formula>AND(COUNT(F7:F10)&lt;2,IF(COUNT(E7:E10)=2,IF(AND(ISNUMBER(E9),COUNTIF(E7:E10,E9)=1,E9=MAX(E7:E10)),TRUE,FALSE)))</formula>
    </cfRule>
    <cfRule type="expression" dxfId="331" priority="116">
      <formula>AND(COUNT(F7:F10)&lt;2,IF(COUNT(D7:D10)=2,IF(AND(ISNUMBER(D9),COUNTIF(D7:D10,D9)=1,D9=MIN(D7:D10)),TRUE,FALSE)))</formula>
    </cfRule>
  </conditionalFormatting>
  <conditionalFormatting sqref="F10">
    <cfRule type="expression" dxfId="330" priority="111">
      <formula>AND(COUNT(F7:F10)&lt;2,IF(COUNT(E7:E10)=2,IF(AND(ISNUMBER(E10),COUNTIF(E7:E10,E10)=1,E10=MAX(E7:E10)),TRUE,FALSE)))</formula>
    </cfRule>
    <cfRule type="expression" dxfId="329" priority="115">
      <formula>AND(COUNT(F7:F10)&lt;2,IF(COUNT(D7:D10)=2,IF(AND(ISNUMBER(D10),COUNTIF(D7:D10,D10)=1,D10=MIN(D7:D10)),TRUE,FALSE)))</formula>
    </cfRule>
  </conditionalFormatting>
  <conditionalFormatting sqref="F7:F10">
    <cfRule type="aboveAverage" dxfId="328" priority="110"/>
  </conditionalFormatting>
  <conditionalFormatting sqref="D7">
    <cfRule type="expression" dxfId="327" priority="109">
      <formula>AND(COUNT(D7:D10)&lt;2,IF(ISNUMBER(C10),C7&gt;C10))</formula>
    </cfRule>
  </conditionalFormatting>
  <conditionalFormatting sqref="D8">
    <cfRule type="expression" dxfId="326" priority="108">
      <formula>AND(COUNT(D7:D10)&lt;2,IF(ISNUMBER(C9),C8&gt;C9))</formula>
    </cfRule>
  </conditionalFormatting>
  <conditionalFormatting sqref="D9">
    <cfRule type="expression" dxfId="325" priority="107">
      <formula>AND(COUNT(D7:D10)&lt;2,IF(ISNUMBER(C8),C9&gt;C8))</formula>
    </cfRule>
  </conditionalFormatting>
  <conditionalFormatting sqref="D10">
    <cfRule type="expression" dxfId="324" priority="106">
      <formula>AND(COUNT(D7:D10)&lt;2,IF(ISNUMBER(C7),C10&gt;C7))</formula>
    </cfRule>
  </conditionalFormatting>
  <conditionalFormatting sqref="D7:D10">
    <cfRule type="aboveAverage" dxfId="323" priority="105"/>
  </conditionalFormatting>
  <conditionalFormatting sqref="E28">
    <cfRule type="expression" dxfId="322" priority="103">
      <formula>AND(COUNT(E25:E28)&lt;2,IF(ISNUMBER(C28),C25&gt;C28))</formula>
    </cfRule>
  </conditionalFormatting>
  <conditionalFormatting sqref="E27">
    <cfRule type="expression" dxfId="321" priority="102">
      <formula>AND(COUNT(E25:E28)&lt;2,IF(ISNUMBER(C27),C26&gt;C27))</formula>
    </cfRule>
  </conditionalFormatting>
  <conditionalFormatting sqref="E27:E28">
    <cfRule type="aboveAverage" dxfId="320" priority="101"/>
  </conditionalFormatting>
  <conditionalFormatting sqref="A102:A116">
    <cfRule type="cellIs" dxfId="319" priority="99" operator="equal">
      <formula>"-"</formula>
    </cfRule>
    <cfRule type="duplicateValues" dxfId="318" priority="100"/>
  </conditionalFormatting>
  <conditionalFormatting sqref="G131 G133">
    <cfRule type="containsBlanks" dxfId="317" priority="97">
      <formula>LEN(TRIM(G131))=0</formula>
    </cfRule>
    <cfRule type="aboveAverage" dxfId="316" priority="98"/>
  </conditionalFormatting>
  <conditionalFormatting sqref="E123 E125">
    <cfRule type="containsBlanks" dxfId="315" priority="95">
      <formula>LEN(TRIM(E123))=0</formula>
    </cfRule>
    <cfRule type="aboveAverage" dxfId="314" priority="96"/>
  </conditionalFormatting>
  <conditionalFormatting sqref="G117 G119">
    <cfRule type="aboveAverage" dxfId="313" priority="94"/>
  </conditionalFormatting>
  <conditionalFormatting sqref="G117 G119">
    <cfRule type="containsBlanks" dxfId="312" priority="93">
      <formula>LEN(TRIM(G117))=0</formula>
    </cfRule>
  </conditionalFormatting>
  <conditionalFormatting sqref="E103 E107">
    <cfRule type="containsBlanks" dxfId="311" priority="91">
      <formula>LEN(TRIM(E103))=0</formula>
    </cfRule>
    <cfRule type="aboveAverage" dxfId="310" priority="92"/>
  </conditionalFormatting>
  <conditionalFormatting sqref="E111 E115">
    <cfRule type="containsBlanks" dxfId="309" priority="89">
      <formula>LEN(TRIM(E111))=0</formula>
    </cfRule>
    <cfRule type="aboveAverage" dxfId="308" priority="90"/>
  </conditionalFormatting>
  <conditionalFormatting sqref="G105 G113">
    <cfRule type="containsBlanks" dxfId="307" priority="87">
      <formula>LEN(TRIM(G105))=0</formula>
    </cfRule>
    <cfRule type="aboveAverage" dxfId="306" priority="88"/>
  </conditionalFormatting>
  <conditionalFormatting sqref="E127 E129">
    <cfRule type="containsBlanks" dxfId="305" priority="85">
      <formula>LEN(TRIM(E127))=0</formula>
    </cfRule>
    <cfRule type="aboveAverage" dxfId="304" priority="86"/>
  </conditionalFormatting>
  <conditionalFormatting sqref="C114 C116">
    <cfRule type="containsBlanks" dxfId="303" priority="75">
      <formula>LEN(TRIM(C114))=0</formula>
    </cfRule>
    <cfRule type="aboveAverage" dxfId="302" priority="76"/>
  </conditionalFormatting>
  <conditionalFormatting sqref="C110 C112">
    <cfRule type="containsBlanks" dxfId="301" priority="77">
      <formula>LEN(TRIM(C110))=0</formula>
    </cfRule>
    <cfRule type="aboveAverage" dxfId="300" priority="78"/>
  </conditionalFormatting>
  <conditionalFormatting sqref="C106 C108">
    <cfRule type="containsBlanks" dxfId="299" priority="79">
      <formula>LEN(TRIM(C106))=0</formula>
    </cfRule>
    <cfRule type="aboveAverage" dxfId="298" priority="80"/>
  </conditionalFormatting>
  <conditionalFormatting sqref="C102 C104">
    <cfRule type="containsBlanks" dxfId="297" priority="81">
      <formula>LEN(TRIM(C102))=0</formula>
    </cfRule>
    <cfRule type="aboveAverage" dxfId="296" priority="82"/>
  </conditionalFormatting>
  <conditionalFormatting sqref="G124 G128">
    <cfRule type="containsBlanks" dxfId="295" priority="83">
      <formula>LEN(TRIM(G124))=0</formula>
    </cfRule>
    <cfRule type="aboveAverage" dxfId="294" priority="84"/>
  </conditionalFormatting>
  <conditionalFormatting sqref="AA7:AA98">
    <cfRule type="expression" dxfId="293" priority="34">
      <formula>AND(AB7="",COUNTIF(AA7,"*,*")=0)</formula>
    </cfRule>
  </conditionalFormatting>
  <conditionalFormatting sqref="B302">
    <cfRule type="expression" dxfId="292" priority="66">
      <formula>$A$302=3</formula>
    </cfRule>
  </conditionalFormatting>
  <conditionalFormatting sqref="B300:B302">
    <cfRule type="duplicateValues" dxfId="291" priority="69"/>
  </conditionalFormatting>
  <conditionalFormatting sqref="B300">
    <cfRule type="expression" dxfId="290" priority="68">
      <formula>$A$300=1</formula>
    </cfRule>
  </conditionalFormatting>
  <conditionalFormatting sqref="B301">
    <cfRule type="expression" dxfId="289" priority="67">
      <formula>$A$301=2</formula>
    </cfRule>
  </conditionalFormatting>
  <conditionalFormatting sqref="G169 G171">
    <cfRule type="containsBlanks" dxfId="288" priority="1">
      <formula>LEN(TRIM(G169))=0</formula>
    </cfRule>
  </conditionalFormatting>
  <conditionalFormatting sqref="A140:A154">
    <cfRule type="cellIs" dxfId="287" priority="61" operator="equal">
      <formula>"-"</formula>
    </cfRule>
    <cfRule type="duplicateValues" dxfId="286" priority="62"/>
  </conditionalFormatting>
  <conditionalFormatting sqref="G155 G157">
    <cfRule type="aboveAverage" dxfId="285" priority="56"/>
  </conditionalFormatting>
  <conditionalFormatting sqref="G155 G157">
    <cfRule type="containsBlanks" dxfId="284" priority="55">
      <formula>LEN(TRIM(G155))=0</formula>
    </cfRule>
  </conditionalFormatting>
  <conditionalFormatting sqref="E141 E145">
    <cfRule type="containsBlanks" dxfId="283" priority="53">
      <formula>LEN(TRIM(E141))=0</formula>
    </cfRule>
    <cfRule type="aboveAverage" dxfId="282" priority="54"/>
  </conditionalFormatting>
  <conditionalFormatting sqref="E149 E153">
    <cfRule type="containsBlanks" dxfId="281" priority="51">
      <formula>LEN(TRIM(E149))=0</formula>
    </cfRule>
    <cfRule type="aboveAverage" dxfId="280" priority="52"/>
  </conditionalFormatting>
  <conditionalFormatting sqref="G143 G151">
    <cfRule type="containsBlanks" dxfId="279" priority="49">
      <formula>LEN(TRIM(G143))=0</formula>
    </cfRule>
    <cfRule type="aboveAverage" dxfId="278" priority="50"/>
  </conditionalFormatting>
  <conditionalFormatting sqref="Y7:Y98">
    <cfRule type="expression" dxfId="277" priority="35">
      <formula>AND(Z7="",COUNTIF(Y7,"*,*")=0)</formula>
    </cfRule>
  </conditionalFormatting>
  <conditionalFormatting sqref="U7:U98">
    <cfRule type="expression" dxfId="276" priority="33">
      <formula>AND(V7="",COUNTIF(U7,"*,*")=0)</formula>
    </cfRule>
  </conditionalFormatting>
  <conditionalFormatting sqref="W7:W98">
    <cfRule type="expression" dxfId="275" priority="31">
      <formula>AND(X7="",FIND(",",W7))</formula>
    </cfRule>
    <cfRule type="expression" dxfId="274" priority="36">
      <formula>AND(X7="",COUNTIF(W7,"*,*")=0)</formula>
    </cfRule>
  </conditionalFormatting>
  <conditionalFormatting sqref="S7:S98">
    <cfRule type="expression" dxfId="273" priority="32">
      <formula>AND(T7="",COUNTIF(S7,"*,*")=0)</formula>
    </cfRule>
  </conditionalFormatting>
  <conditionalFormatting sqref="G20">
    <cfRule type="containsText" dxfId="272" priority="29" operator="containsText" text="2">
      <formula>NOT(ISERROR(SEARCH("2",G20)))</formula>
    </cfRule>
    <cfRule type="containsText" dxfId="271" priority="30" operator="containsText" text="1">
      <formula>NOT(ISERROR(SEARCH("1",G20)))</formula>
    </cfRule>
  </conditionalFormatting>
  <conditionalFormatting sqref="G26">
    <cfRule type="containsText" dxfId="270" priority="27" operator="containsText" text="2">
      <formula>NOT(ISERROR(SEARCH("2",G26)))</formula>
    </cfRule>
    <cfRule type="containsText" dxfId="269" priority="28" operator="containsText" text="1">
      <formula>NOT(ISERROR(SEARCH("1",G26)))</formula>
    </cfRule>
  </conditionalFormatting>
  <conditionalFormatting sqref="C25 C28">
    <cfRule type="aboveAverage" dxfId="268" priority="26"/>
  </conditionalFormatting>
  <conditionalFormatting sqref="C26:C27">
    <cfRule type="aboveAverage" dxfId="267" priority="25"/>
  </conditionalFormatting>
  <conditionalFormatting sqref="C140 C142">
    <cfRule type="aboveAverage" dxfId="266" priority="24"/>
  </conditionalFormatting>
  <conditionalFormatting sqref="C140 C142">
    <cfRule type="containsBlanks" dxfId="265" priority="23">
      <formula>LEN(TRIM(C140))=0</formula>
    </cfRule>
  </conditionalFormatting>
  <conditionalFormatting sqref="C144 C146">
    <cfRule type="aboveAverage" dxfId="264" priority="22"/>
  </conditionalFormatting>
  <conditionalFormatting sqref="C144 C146">
    <cfRule type="containsBlanks" dxfId="263" priority="21">
      <formula>LEN(TRIM(C144))=0</formula>
    </cfRule>
  </conditionalFormatting>
  <conditionalFormatting sqref="C148 C150">
    <cfRule type="aboveAverage" dxfId="262" priority="20"/>
  </conditionalFormatting>
  <conditionalFormatting sqref="C148 C150">
    <cfRule type="containsBlanks" dxfId="261" priority="19">
      <formula>LEN(TRIM(C148))=0</formula>
    </cfRule>
  </conditionalFormatting>
  <conditionalFormatting sqref="C152 C154">
    <cfRule type="aboveAverage" dxfId="260" priority="18"/>
  </conditionalFormatting>
  <conditionalFormatting sqref="C152 C154">
    <cfRule type="containsBlanks" dxfId="259" priority="17">
      <formula>LEN(TRIM(C152))=0</formula>
    </cfRule>
  </conditionalFormatting>
  <conditionalFormatting sqref="E165">
    <cfRule type="aboveAverage" dxfId="258" priority="16"/>
  </conditionalFormatting>
  <conditionalFormatting sqref="E165">
    <cfRule type="containsBlanks" dxfId="257" priority="15">
      <formula>LEN(TRIM(E165))=0</formula>
    </cfRule>
  </conditionalFormatting>
  <conditionalFormatting sqref="E167">
    <cfRule type="aboveAverage" dxfId="256" priority="14"/>
  </conditionalFormatting>
  <conditionalFormatting sqref="E167">
    <cfRule type="containsBlanks" dxfId="255" priority="13">
      <formula>LEN(TRIM(E167))=0</formula>
    </cfRule>
  </conditionalFormatting>
  <conditionalFormatting sqref="E161 E163">
    <cfRule type="aboveAverage" dxfId="254" priority="12"/>
  </conditionalFormatting>
  <conditionalFormatting sqref="E161 E163">
    <cfRule type="containsBlanks" dxfId="253" priority="11">
      <formula>LEN(TRIM(E161))=0</formula>
    </cfRule>
  </conditionalFormatting>
  <conditionalFormatting sqref="G162 G166">
    <cfRule type="containsBlanks" dxfId="252" priority="5">
      <formula>LEN(TRIM(G162))=0</formula>
    </cfRule>
    <cfRule type="aboveAverage" dxfId="251" priority="6"/>
  </conditionalFormatting>
  <conditionalFormatting sqref="G169 G171">
    <cfRule type="aboveAverage" dxfId="250" priority="2"/>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1" manualBreakCount="1">
    <brk id="28" max="11"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38"/>
  <sheetViews>
    <sheetView showGridLines="0" showRowColHeaders="0" zoomScaleNormal="100" workbookViewId="0">
      <pane ySplit="2" topLeftCell="A3" activePane="bottomLeft" state="frozen"/>
      <selection activeCell="I1" sqref="I1"/>
      <selection pane="bottomLeft" activeCell="O1" sqref="O1"/>
    </sheetView>
  </sheetViews>
  <sheetFormatPr defaultRowHeight="12.75" x14ac:dyDescent="0.2"/>
  <cols>
    <col min="1" max="1" width="5.5703125" style="69" customWidth="1"/>
    <col min="2" max="2" width="50.5703125"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6.28515625" style="69" hidden="1" customWidth="1"/>
    <col min="36" max="36" width="6" style="69" hidden="1" customWidth="1"/>
    <col min="37" max="37" width="19.42578125" style="69" hidden="1" customWidth="1"/>
    <col min="38" max="38" width="6" style="69" hidden="1" customWidth="1"/>
    <col min="39" max="39" width="16.5703125" style="69" hidden="1" customWidth="1"/>
    <col min="40" max="40" width="6" style="69" hidden="1" customWidth="1"/>
    <col min="41" max="41" width="17.28515625" style="69" hidden="1" customWidth="1"/>
    <col min="42" max="42" width="6" style="69" hidden="1" customWidth="1"/>
    <col min="43" max="43" width="13.85546875" style="69" hidden="1" customWidth="1"/>
    <col min="44" max="44" width="6" style="69" hidden="1" customWidth="1"/>
    <col min="45" max="16384" width="9.140625" style="69"/>
  </cols>
  <sheetData>
    <row r="1" spans="1:44" x14ac:dyDescent="0.2">
      <c r="A1" s="605" t="str">
        <f>UPPER((Kalend!E28)&amp;" - "&amp;(Kalend!C28)&amp;" - "&amp;(Kalend!D28))</f>
        <v>11 - 27. EESTI MV - TRIO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4" x14ac:dyDescent="0.2">
      <c r="A2" s="67" t="str">
        <f>"Toimumisaeg: "&amp;(Kalend!A28)&amp;" kell "&amp;(Kalend!B28)</f>
        <v>Toimumisaeg: L, 08.09.2018 kell 10:00</v>
      </c>
      <c r="AC2" s="264"/>
    </row>
    <row r="3" spans="1:44" x14ac:dyDescent="0.2">
      <c r="A3" s="67" t="str">
        <f>"Toimumiskoht: "&amp;(Kalend!H28)</f>
        <v>Toimumiskoht: Saku, Teaduse 2</v>
      </c>
      <c r="I3" s="262"/>
      <c r="J3" s="132"/>
      <c r="K3" s="130"/>
      <c r="L3" s="610"/>
      <c r="AH3" s="681" t="s">
        <v>771</v>
      </c>
    </row>
    <row r="4" spans="1:44" x14ac:dyDescent="0.2">
      <c r="A4" s="67" t="str">
        <f>"Korraldaja: "&amp;(Kalend!I28)</f>
        <v>Korraldaja: Saku PK</v>
      </c>
      <c r="I4" s="262"/>
      <c r="J4" s="611"/>
      <c r="L4" s="612"/>
      <c r="AH4" s="667" t="s">
        <v>190</v>
      </c>
      <c r="AI4" s="625"/>
      <c r="AJ4" s="625"/>
      <c r="AK4" s="625"/>
      <c r="AL4" s="625"/>
      <c r="AM4" s="625"/>
      <c r="AN4" s="625"/>
      <c r="AO4" s="625"/>
      <c r="AP4" s="625"/>
      <c r="AQ4" s="625"/>
      <c r="AR4" s="625"/>
    </row>
    <row r="5" spans="1:44" x14ac:dyDescent="0.2">
      <c r="A5" s="67"/>
      <c r="J5" s="132"/>
      <c r="K5" s="130"/>
      <c r="L5" s="610"/>
      <c r="AH5" s="667" t="s">
        <v>764</v>
      </c>
      <c r="AI5" s="670" t="s">
        <v>765</v>
      </c>
      <c r="AJ5" s="670"/>
      <c r="AK5" s="670" t="s">
        <v>767</v>
      </c>
      <c r="AL5" s="670"/>
      <c r="AM5" s="670" t="s">
        <v>768</v>
      </c>
      <c r="AN5" s="672"/>
      <c r="AO5" s="672" t="s">
        <v>772</v>
      </c>
      <c r="AP5" s="672"/>
      <c r="AQ5" s="672" t="s">
        <v>773</v>
      </c>
      <c r="AR5" s="682"/>
    </row>
    <row r="6" spans="1:44"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25"/>
      <c r="AJ6" s="625"/>
      <c r="AK6" s="673"/>
      <c r="AL6" s="673"/>
      <c r="AM6" s="673"/>
      <c r="AN6" s="673"/>
      <c r="AO6" s="673"/>
      <c r="AP6" s="673"/>
      <c r="AQ6" s="673"/>
      <c r="AR6" s="673"/>
    </row>
    <row r="7" spans="1:44" x14ac:dyDescent="0.2">
      <c r="A7" s="616">
        <v>1</v>
      </c>
      <c r="B7" t="s">
        <v>897</v>
      </c>
      <c r="C7" s="618">
        <v>13</v>
      </c>
      <c r="D7" s="619" t="s">
        <v>615</v>
      </c>
      <c r="E7" s="620">
        <v>7</v>
      </c>
      <c r="F7" s="621" t="str">
        <f>B22</f>
        <v>Katri Aavekukk, Külli Kariste, Marju Velga</v>
      </c>
      <c r="G7" s="618">
        <v>13</v>
      </c>
      <c r="H7" s="619" t="s">
        <v>615</v>
      </c>
      <c r="I7" s="620">
        <v>11</v>
      </c>
      <c r="J7" s="621" t="str">
        <f>B13</f>
        <v>Aimar Poom, Kertu Palm, Valmar Pantšenko</v>
      </c>
      <c r="K7" s="618">
        <v>13</v>
      </c>
      <c r="L7" s="619" t="s">
        <v>615</v>
      </c>
      <c r="M7" s="620">
        <v>4</v>
      </c>
      <c r="N7" s="621" t="str">
        <f>B10</f>
        <v>Aigar Lusbo, Jaan Joonas, Toomas Hoole</v>
      </c>
      <c r="O7" s="618">
        <v>13</v>
      </c>
      <c r="P7" s="619" t="s">
        <v>615</v>
      </c>
      <c r="Q7" s="620">
        <v>8</v>
      </c>
      <c r="R7" s="621" t="str">
        <f>B9</f>
        <v>Ivar Viljaste, Sirje Viljaste, Urmo Auväärt</v>
      </c>
      <c r="S7" s="618"/>
      <c r="T7" s="619" t="s">
        <v>615</v>
      </c>
      <c r="U7" s="620"/>
      <c r="V7" s="621"/>
      <c r="W7" s="618"/>
      <c r="X7" s="619" t="s">
        <v>615</v>
      </c>
      <c r="Y7" s="620"/>
      <c r="Z7" s="621"/>
      <c r="AA7" s="622">
        <f t="shared" ref="AA7:AA24" si="0">2*(IF(C7&gt;E7,1)+IF(G7&gt;I7,1)+IF(K7&gt;M7,1)+IF(O7&gt;Q7,1)+IF(S7&gt;U7,1)+IF(W7&gt;Y7,1))</f>
        <v>8</v>
      </c>
      <c r="AB7" s="626">
        <v>18</v>
      </c>
      <c r="AC7" s="629">
        <f t="shared" ref="AC7:AC24" si="1">C7+G7+K7+O7+S7+W7</f>
        <v>52</v>
      </c>
      <c r="AD7" s="630" t="s">
        <v>615</v>
      </c>
      <c r="AE7" s="631">
        <f t="shared" ref="AE7:AE24" si="2">E7+I7+M7+Q7+U7+Y7</f>
        <v>30</v>
      </c>
      <c r="AF7" s="804">
        <f t="shared" ref="AF7:AF24" si="3">AC7-AE7</f>
        <v>22</v>
      </c>
      <c r="AH7" s="672">
        <f ca="1">SUM(AJ7:AR7)</f>
        <v>1862</v>
      </c>
      <c r="AI7" s="676" t="str">
        <f>IFERROR(LEFT($B7,(FIND(",",$B7,1)-1)),"")</f>
        <v>Margus Berkmann</v>
      </c>
      <c r="AJ7" s="675">
        <f ca="1">IFERROR(INDEX(Üldreiting!$M:$M,MATCH(AI7,Üldreiting!$H:$H,0)),"")</f>
        <v>796.5</v>
      </c>
      <c r="AK7" s="676" t="str">
        <f>IFERROR(MID($B7,FIND("^",SUBSTITUTE($B7,", ","^",1))+2,FIND("^",SUBSTITUTE($B7,", ","^",2))-FIND("^",SUBSTITUTE($B7,", ","^",1))-2),"")</f>
        <v>Meelis Münt</v>
      </c>
      <c r="AL7" s="675">
        <f ca="1">IFERROR(INDEX(Üldreiting!$M:$M,MATCH(AK7,Üldreiting!$H:$H,0)),"")</f>
        <v>511</v>
      </c>
      <c r="AM7" s="676" t="str">
        <f>IFERROR(MID($B7,FIND(", ",$B7,FIND(", ",$B7,FIND(", ",$B7))+1)+2,700),"")</f>
        <v>Veiko Proos</v>
      </c>
      <c r="AN7" s="675">
        <f ca="1">IFERROR(INDEX(Üldreiting!$M:$M,MATCH(AM7,Üldreiting!$H:$H,0)),"")</f>
        <v>554.5</v>
      </c>
      <c r="AO7" s="674" t="str">
        <f>IFERROR(MID($B7,FIND(", ",$B7,FIND(", ",$B7)+1)+2,FIND(", ",$B7,FIND(", ",$B7,FIND(", ",$B7)+1)+1)-FIND(", ",$B7,FIND(", ",$B7)+1)-2),"")</f>
        <v/>
      </c>
      <c r="AP7" s="675" t="str">
        <f>IFERROR(INDEX(Üldreiting!$M:$M,MATCH(AO7,Üldreiting!$H:$H,0)),"")</f>
        <v/>
      </c>
      <c r="AQ7" s="676" t="str">
        <f>IFERROR(MID($B7,FIND(", ",$B7,FIND(", ",$B7,FIND(", ",$B7)+1)+1)+2,700),"")</f>
        <v/>
      </c>
      <c r="AR7" s="675" t="str">
        <f>IFERROR(INDEX(Üldreiting!$M:$M,MATCH(AQ7,Üldreiting!$H:$H,0)),"")</f>
        <v/>
      </c>
    </row>
    <row r="8" spans="1:44" x14ac:dyDescent="0.2">
      <c r="A8" s="616">
        <v>2</v>
      </c>
      <c r="B8" s="52" t="s">
        <v>898</v>
      </c>
      <c r="C8" s="618">
        <v>13</v>
      </c>
      <c r="D8" s="619" t="s">
        <v>615</v>
      </c>
      <c r="E8" s="620">
        <v>0</v>
      </c>
      <c r="F8" s="621" t="str">
        <f>B19</f>
        <v>Kevin Sten Liik, Marek Lehis, Margo Peebo</v>
      </c>
      <c r="G8" s="618">
        <v>13</v>
      </c>
      <c r="H8" s="619" t="s">
        <v>615</v>
      </c>
      <c r="I8" s="620">
        <v>4</v>
      </c>
      <c r="J8" s="621" t="str">
        <f>B11</f>
        <v>Aivar Sein, Marek Kolk, Toomas Reede</v>
      </c>
      <c r="K8" s="618">
        <v>6</v>
      </c>
      <c r="L8" s="619" t="s">
        <v>615</v>
      </c>
      <c r="M8" s="620">
        <v>13</v>
      </c>
      <c r="N8" s="621" t="str">
        <f>B9</f>
        <v>Ivar Viljaste, Sirje Viljaste, Urmo Auväärt</v>
      </c>
      <c r="O8" s="618">
        <v>11</v>
      </c>
      <c r="P8" s="619" t="s">
        <v>615</v>
      </c>
      <c r="Q8" s="620">
        <v>10</v>
      </c>
      <c r="R8" s="621" t="str">
        <f>B13</f>
        <v>Aimar Poom, Kertu Palm, Valmar Pantšenko</v>
      </c>
      <c r="S8" s="618"/>
      <c r="T8" s="619" t="s">
        <v>615</v>
      </c>
      <c r="U8" s="620"/>
      <c r="V8" s="621"/>
      <c r="W8" s="618"/>
      <c r="X8" s="619" t="s">
        <v>615</v>
      </c>
      <c r="Y8" s="620"/>
      <c r="Z8" s="621"/>
      <c r="AA8" s="634">
        <f t="shared" si="0"/>
        <v>6</v>
      </c>
      <c r="AB8" s="635">
        <v>20</v>
      </c>
      <c r="AC8" s="800">
        <f t="shared" si="1"/>
        <v>43</v>
      </c>
      <c r="AD8" s="801" t="s">
        <v>615</v>
      </c>
      <c r="AE8" s="802">
        <f t="shared" si="2"/>
        <v>27</v>
      </c>
      <c r="AF8" s="806">
        <f t="shared" si="3"/>
        <v>16</v>
      </c>
      <c r="AH8" s="672">
        <f t="shared" ref="AH8:AH18" ca="1" si="4">SUM(AJ8:AR8)</f>
        <v>1788</v>
      </c>
      <c r="AI8" s="676" t="str">
        <f t="shared" ref="AI8:AI25" si="5">IFERROR(LEFT($B8,(FIND(",",$B8,1)-1)),"")</f>
        <v>Allar Elerand</v>
      </c>
      <c r="AJ8" s="675">
        <f ca="1">IFERROR(INDEX(Üldreiting!$M:$M,MATCH(AI8,Üldreiting!$H:$H,0)),"")</f>
        <v>293</v>
      </c>
      <c r="AK8" s="676" t="str">
        <f t="shared" ref="AK8:AK25" si="6">IFERROR(MID($B8,FIND("^",SUBSTITUTE($B8,", ","^",1))+2,FIND("^",SUBSTITUTE($B8,", ","^",2))-FIND("^",SUBSTITUTE($B8,", ","^",1))-2),"")</f>
        <v>Andero Kelu</v>
      </c>
      <c r="AL8" s="675">
        <f ca="1">IFERROR(INDEX(Üldreiting!$M:$M,MATCH(AK8,Üldreiting!$H:$H,0)),"")</f>
        <v>775</v>
      </c>
      <c r="AM8" s="676" t="str">
        <f t="shared" ref="AM8:AM25" si="7">IFERROR(MID($B8,FIND(", ",$B8,FIND(", ",$B8,FIND(", ",$B8))+1)+2,700),"")</f>
        <v>Kaido Kopel</v>
      </c>
      <c r="AN8" s="675">
        <f ca="1">IFERROR(INDEX(Üldreiting!$M:$M,MATCH(AM8,Üldreiting!$H:$H,0)),"")</f>
        <v>720</v>
      </c>
      <c r="AO8" s="674" t="str">
        <f t="shared" ref="AO8:AO25" si="8">IFERROR(MID($B8,FIND(", ",$B8,FIND(", ",$B8)+1)+2,FIND(", ",$B8,FIND(", ",$B8,FIND(", ",$B8)+1)+1)-FIND(", ",$B8,FIND(", ",$B8)+1)-2),"")</f>
        <v/>
      </c>
      <c r="AP8" s="675" t="str">
        <f>IFERROR(INDEX(Üldreiting!$M:$M,MATCH(AO8,Üldreiting!$H:$H,0)),"")</f>
        <v/>
      </c>
      <c r="AQ8" s="676" t="str">
        <f t="shared" ref="AQ8:AQ25" si="9">IFERROR(MID($B8,FIND(", ",$B8,FIND(", ",$B8,FIND(", ",$B8)+1)+1)+2,700),"")</f>
        <v/>
      </c>
      <c r="AR8" s="675" t="str">
        <f>IFERROR(INDEX(Üldreiting!$M:$M,MATCH(AQ8,Üldreiting!$H:$H,0)),"")</f>
        <v/>
      </c>
    </row>
    <row r="9" spans="1:44" x14ac:dyDescent="0.2">
      <c r="A9" s="616">
        <v>3</v>
      </c>
      <c r="B9" s="799" t="s">
        <v>899</v>
      </c>
      <c r="C9" s="618">
        <v>13</v>
      </c>
      <c r="D9" s="619" t="s">
        <v>615</v>
      </c>
      <c r="E9" s="620">
        <v>10</v>
      </c>
      <c r="F9" s="621" t="str">
        <f>B17</f>
        <v>Mati Rõõm, Mihkel Lillemets, Robert Schmidt</v>
      </c>
      <c r="G9" s="618">
        <v>13</v>
      </c>
      <c r="H9" s="619" t="s">
        <v>615</v>
      </c>
      <c r="I9" s="620">
        <v>11</v>
      </c>
      <c r="J9" s="621" t="str">
        <f>B21</f>
        <v>Danel Pilv, Mare Kingissepp, Silver Kingissepp</v>
      </c>
      <c r="K9" s="618">
        <v>13</v>
      </c>
      <c r="L9" s="619" t="s">
        <v>615</v>
      </c>
      <c r="M9" s="620">
        <v>6</v>
      </c>
      <c r="N9" s="621" t="str">
        <f>B8</f>
        <v>Allar Elerand, Andero Kelu, Kaido Kopel</v>
      </c>
      <c r="O9" s="618">
        <v>8</v>
      </c>
      <c r="P9" s="619" t="s">
        <v>615</v>
      </c>
      <c r="Q9" s="620">
        <v>13</v>
      </c>
      <c r="R9" s="621" t="str">
        <f>B7</f>
        <v>Margus Berkmann, Meelis Münt, Veiko Proos</v>
      </c>
      <c r="S9" s="618"/>
      <c r="T9" s="619" t="s">
        <v>615</v>
      </c>
      <c r="U9" s="620"/>
      <c r="V9" s="621"/>
      <c r="W9" s="618"/>
      <c r="X9" s="619" t="s">
        <v>615</v>
      </c>
      <c r="Y9" s="620"/>
      <c r="Z9" s="621"/>
      <c r="AA9" s="634">
        <f t="shared" si="0"/>
        <v>6</v>
      </c>
      <c r="AB9" s="635">
        <v>20</v>
      </c>
      <c r="AC9" s="800">
        <f t="shared" si="1"/>
        <v>47</v>
      </c>
      <c r="AD9" s="801" t="s">
        <v>615</v>
      </c>
      <c r="AE9" s="802">
        <f t="shared" si="2"/>
        <v>40</v>
      </c>
      <c r="AF9" s="806">
        <f t="shared" si="3"/>
        <v>7</v>
      </c>
      <c r="AH9" s="672">
        <f t="shared" ca="1" si="4"/>
        <v>1991</v>
      </c>
      <c r="AI9" s="676" t="str">
        <f t="shared" si="5"/>
        <v>Ivar Viljaste</v>
      </c>
      <c r="AJ9" s="675">
        <f ca="1">IFERROR(INDEX(Üldreiting!$M:$M,MATCH(AI9,Üldreiting!$H:$H,0)),"")</f>
        <v>695</v>
      </c>
      <c r="AK9" s="676" t="str">
        <f t="shared" si="6"/>
        <v>Sirje Viljaste</v>
      </c>
      <c r="AL9" s="675">
        <f ca="1">IFERROR(INDEX(Üldreiting!$M:$M,MATCH(AK9,Üldreiting!$H:$H,0)),"")</f>
        <v>160</v>
      </c>
      <c r="AM9" s="676" t="str">
        <f t="shared" si="7"/>
        <v>Urmo Auväärt</v>
      </c>
      <c r="AN9" s="675">
        <f ca="1">IFERROR(INDEX(Üldreiting!$M:$M,MATCH(AM9,Üldreiting!$H:$H,0)),"")</f>
        <v>1136</v>
      </c>
      <c r="AO9" s="674" t="str">
        <f t="shared" si="8"/>
        <v/>
      </c>
      <c r="AP9" s="675" t="str">
        <f>IFERROR(INDEX(Üldreiting!$M:$M,MATCH(AO9,Üldreiting!$H:$H,0)),"")</f>
        <v/>
      </c>
      <c r="AQ9" s="676" t="str">
        <f t="shared" si="9"/>
        <v/>
      </c>
      <c r="AR9" s="675" t="str">
        <f>IFERROR(INDEX(Üldreiting!$M:$M,MATCH(AQ9,Üldreiting!$H:$H,0)),"")</f>
        <v/>
      </c>
    </row>
    <row r="10" spans="1:44" x14ac:dyDescent="0.2">
      <c r="A10" s="616">
        <v>4</v>
      </c>
      <c r="B10" s="799" t="s">
        <v>900</v>
      </c>
      <c r="C10" s="618">
        <v>13</v>
      </c>
      <c r="D10" s="619" t="s">
        <v>615</v>
      </c>
      <c r="E10" s="620">
        <v>3</v>
      </c>
      <c r="F10" s="621" t="str">
        <f>B24</f>
        <v>Maive Sein, Maris Rõõm, Varje Reede</v>
      </c>
      <c r="G10" s="618">
        <v>13</v>
      </c>
      <c r="H10" s="619" t="s">
        <v>615</v>
      </c>
      <c r="I10" s="620">
        <v>3</v>
      </c>
      <c r="J10" s="621" t="str">
        <f>B15</f>
        <v>Janek Kiisk, Kalju Olmre, Ruudi Väärtnõu</v>
      </c>
      <c r="K10" s="618">
        <v>4</v>
      </c>
      <c r="L10" s="619" t="s">
        <v>615</v>
      </c>
      <c r="M10" s="620">
        <v>13</v>
      </c>
      <c r="N10" s="621" t="str">
        <f>B7</f>
        <v>Margus Berkmann, Meelis Münt, Veiko Proos</v>
      </c>
      <c r="O10" s="618">
        <v>13</v>
      </c>
      <c r="P10" s="619" t="s">
        <v>615</v>
      </c>
      <c r="Q10" s="620">
        <v>12</v>
      </c>
      <c r="R10" s="621" t="str">
        <f>B14</f>
        <v>Kristjan Raudsepp, Mihkel Palk, Ott Karl Kopel</v>
      </c>
      <c r="S10" s="618"/>
      <c r="T10" s="619" t="s">
        <v>615</v>
      </c>
      <c r="U10" s="620"/>
      <c r="V10" s="621"/>
      <c r="W10" s="618"/>
      <c r="X10" s="619" t="s">
        <v>615</v>
      </c>
      <c r="Y10" s="620"/>
      <c r="Z10" s="621"/>
      <c r="AA10" s="634">
        <f t="shared" si="0"/>
        <v>6</v>
      </c>
      <c r="AB10" s="635">
        <v>18</v>
      </c>
      <c r="AC10" s="629">
        <f t="shared" si="1"/>
        <v>43</v>
      </c>
      <c r="AD10" s="630" t="s">
        <v>615</v>
      </c>
      <c r="AE10" s="631">
        <f t="shared" si="2"/>
        <v>31</v>
      </c>
      <c r="AF10" s="804">
        <f t="shared" si="3"/>
        <v>12</v>
      </c>
      <c r="AH10" s="672">
        <f t="shared" ca="1" si="4"/>
        <v>1330</v>
      </c>
      <c r="AI10" s="676" t="str">
        <f t="shared" si="5"/>
        <v>Aigar Lusbo</v>
      </c>
      <c r="AJ10" s="675">
        <f ca="1">IFERROR(INDEX(Üldreiting!$M:$M,MATCH(AI10,Üldreiting!$H:$H,0)),"")</f>
        <v>250</v>
      </c>
      <c r="AK10" s="676" t="str">
        <f t="shared" si="6"/>
        <v>Jaan Joonas</v>
      </c>
      <c r="AL10" s="675">
        <f ca="1">IFERROR(INDEX(Üldreiting!$M:$M,MATCH(AK10,Üldreiting!$H:$H,0)),"")</f>
        <v>612</v>
      </c>
      <c r="AM10" s="676" t="str">
        <f t="shared" si="7"/>
        <v>Toomas Hoole</v>
      </c>
      <c r="AN10" s="675">
        <f ca="1">IFERROR(INDEX(Üldreiting!$M:$M,MATCH(AM10,Üldreiting!$H:$H,0)),"")</f>
        <v>468</v>
      </c>
      <c r="AO10" s="674" t="str">
        <f t="shared" si="8"/>
        <v/>
      </c>
      <c r="AP10" s="675" t="str">
        <f>IFERROR(INDEX(Üldreiting!$M:$M,MATCH(AO10,Üldreiting!$H:$H,0)),"")</f>
        <v/>
      </c>
      <c r="AQ10" s="676" t="str">
        <f t="shared" si="9"/>
        <v/>
      </c>
      <c r="AR10" s="675" t="str">
        <f>IFERROR(INDEX(Üldreiting!$M:$M,MATCH(AQ10,Üldreiting!$H:$H,0)),"")</f>
        <v/>
      </c>
    </row>
    <row r="11" spans="1:44" x14ac:dyDescent="0.2">
      <c r="A11" s="616">
        <v>5</v>
      </c>
      <c r="B11" s="799" t="s">
        <v>901</v>
      </c>
      <c r="C11" s="618">
        <v>13</v>
      </c>
      <c r="D11" s="619" t="s">
        <v>615</v>
      </c>
      <c r="E11" s="620">
        <v>0</v>
      </c>
      <c r="F11" s="621" t="str">
        <f>B23</f>
        <v>Angelika Tauk, Hardo Sokk, Toomas Tauk</v>
      </c>
      <c r="G11" s="618">
        <v>4</v>
      </c>
      <c r="H11" s="619" t="s">
        <v>615</v>
      </c>
      <c r="I11" s="620">
        <v>13</v>
      </c>
      <c r="J11" s="621" t="str">
        <f>B8</f>
        <v>Allar Elerand, Andero Kelu, Kaido Kopel</v>
      </c>
      <c r="K11" s="618">
        <v>12</v>
      </c>
      <c r="L11" s="619" t="s">
        <v>615</v>
      </c>
      <c r="M11" s="620">
        <v>11</v>
      </c>
      <c r="N11" s="621" t="str">
        <f>B21</f>
        <v>Danel Pilv, Mare Kingissepp, Silver Kingissepp</v>
      </c>
      <c r="O11" s="618">
        <v>11</v>
      </c>
      <c r="P11" s="619" t="s">
        <v>615</v>
      </c>
      <c r="Q11" s="620">
        <v>9</v>
      </c>
      <c r="R11" s="621" t="str">
        <f>B15</f>
        <v>Janek Kiisk, Kalju Olmre, Ruudi Väärtnõu</v>
      </c>
      <c r="S11" s="618"/>
      <c r="T11" s="619" t="s">
        <v>615</v>
      </c>
      <c r="U11" s="620"/>
      <c r="V11" s="621"/>
      <c r="W11" s="618"/>
      <c r="X11" s="619" t="s">
        <v>615</v>
      </c>
      <c r="Y11" s="620"/>
      <c r="Z11" s="621"/>
      <c r="AA11" s="634">
        <f t="shared" si="0"/>
        <v>6</v>
      </c>
      <c r="AB11" s="635">
        <v>14</v>
      </c>
      <c r="AC11" s="629">
        <f t="shared" si="1"/>
        <v>40</v>
      </c>
      <c r="AD11" s="630" t="s">
        <v>615</v>
      </c>
      <c r="AE11" s="631">
        <f t="shared" si="2"/>
        <v>33</v>
      </c>
      <c r="AF11" s="804">
        <f t="shared" si="3"/>
        <v>7</v>
      </c>
      <c r="AH11" s="672">
        <f t="shared" ca="1" si="4"/>
        <v>1914</v>
      </c>
      <c r="AI11" s="676" t="str">
        <f t="shared" si="5"/>
        <v>Aivar Sein</v>
      </c>
      <c r="AJ11" s="675">
        <f ca="1">IFERROR(INDEX(Üldreiting!$M:$M,MATCH(AI11,Üldreiting!$H:$H,0)),"")</f>
        <v>546</v>
      </c>
      <c r="AK11" s="676" t="str">
        <f t="shared" si="6"/>
        <v>Marek Kolk</v>
      </c>
      <c r="AL11" s="675">
        <f ca="1">IFERROR(INDEX(Üldreiting!$M:$M,MATCH(AK11,Üldreiting!$H:$H,0)),"")</f>
        <v>1081</v>
      </c>
      <c r="AM11" s="676" t="str">
        <f t="shared" si="7"/>
        <v>Toomas Reede</v>
      </c>
      <c r="AN11" s="675">
        <f ca="1">IFERROR(INDEX(Üldreiting!$M:$M,MATCH(AM11,Üldreiting!$H:$H,0)),"")</f>
        <v>287</v>
      </c>
      <c r="AO11" s="674" t="str">
        <f t="shared" si="8"/>
        <v/>
      </c>
      <c r="AP11" s="675" t="str">
        <f>IFERROR(INDEX(Üldreiting!$M:$M,MATCH(AO11,Üldreiting!$H:$H,0)),"")</f>
        <v/>
      </c>
      <c r="AQ11" s="676" t="str">
        <f t="shared" si="9"/>
        <v/>
      </c>
      <c r="AR11" s="675" t="str">
        <f>IFERROR(INDEX(Üldreiting!$M:$M,MATCH(AQ11,Üldreiting!$H:$H,0)),"")</f>
        <v/>
      </c>
    </row>
    <row r="12" spans="1:44" x14ac:dyDescent="0.2">
      <c r="A12" s="616">
        <v>6</v>
      </c>
      <c r="B12" s="799" t="s">
        <v>902</v>
      </c>
      <c r="C12" s="618">
        <v>13</v>
      </c>
      <c r="D12" s="619" t="s">
        <v>615</v>
      </c>
      <c r="E12" s="620">
        <v>7</v>
      </c>
      <c r="F12" s="621" t="s">
        <v>825</v>
      </c>
      <c r="G12" s="618">
        <v>12</v>
      </c>
      <c r="H12" s="619" t="s">
        <v>615</v>
      </c>
      <c r="I12" s="620">
        <v>10</v>
      </c>
      <c r="J12" s="621" t="str">
        <f>B14</f>
        <v>Kristjan Raudsepp, Mihkel Palk, Ott Karl Kopel</v>
      </c>
      <c r="K12" s="618">
        <v>8</v>
      </c>
      <c r="L12" s="619" t="s">
        <v>615</v>
      </c>
      <c r="M12" s="620">
        <v>13</v>
      </c>
      <c r="N12" s="621" t="str">
        <f>B13</f>
        <v>Aimar Poom, Kertu Palm, Valmar Pantšenko</v>
      </c>
      <c r="O12" s="618">
        <v>11</v>
      </c>
      <c r="P12" s="619" t="s">
        <v>615</v>
      </c>
      <c r="Q12" s="620">
        <v>10</v>
      </c>
      <c r="R12" s="621" t="str">
        <f>B16</f>
        <v>Andrus Tommula, Markus Erik Tommula, Vahur Raudsepp</v>
      </c>
      <c r="S12" s="618"/>
      <c r="T12" s="619" t="s">
        <v>615</v>
      </c>
      <c r="U12" s="620"/>
      <c r="V12" s="621"/>
      <c r="W12" s="618"/>
      <c r="X12" s="619" t="s">
        <v>615</v>
      </c>
      <c r="Y12" s="620"/>
      <c r="Z12" s="621"/>
      <c r="AA12" s="634">
        <f t="shared" si="0"/>
        <v>6</v>
      </c>
      <c r="AB12" s="635">
        <v>12</v>
      </c>
      <c r="AC12" s="629">
        <f t="shared" si="1"/>
        <v>44</v>
      </c>
      <c r="AD12" s="630" t="s">
        <v>615</v>
      </c>
      <c r="AE12" s="631">
        <f t="shared" si="2"/>
        <v>40</v>
      </c>
      <c r="AF12" s="804">
        <f t="shared" si="3"/>
        <v>4</v>
      </c>
      <c r="AH12" s="672">
        <f t="shared" ca="1" si="4"/>
        <v>597</v>
      </c>
      <c r="AI12" s="676" t="str">
        <f t="shared" si="5"/>
        <v>Harry Lusbo</v>
      </c>
      <c r="AJ12" s="675">
        <f ca="1">IFERROR(INDEX(Üldreiting!$M:$M,MATCH(AI12,Üldreiting!$H:$H,0)),"")</f>
        <v>188</v>
      </c>
      <c r="AK12" s="676" t="str">
        <f t="shared" si="6"/>
        <v>Kaur Kangur</v>
      </c>
      <c r="AL12" s="675">
        <f ca="1">IFERROR(INDEX(Üldreiting!$M:$M,MATCH(AK12,Üldreiting!$H:$H,0)),"")</f>
        <v>135</v>
      </c>
      <c r="AM12" s="676" t="str">
        <f t="shared" si="7"/>
        <v>Kevin Kangur</v>
      </c>
      <c r="AN12" s="675">
        <f ca="1">IFERROR(INDEX(Üldreiting!$M:$M,MATCH(AM12,Üldreiting!$H:$H,0)),"")</f>
        <v>274</v>
      </c>
      <c r="AO12" s="674" t="str">
        <f t="shared" si="8"/>
        <v/>
      </c>
      <c r="AP12" s="675" t="str">
        <f>IFERROR(INDEX(Üldreiting!$M:$M,MATCH(AO12,Üldreiting!$H:$H,0)),"")</f>
        <v/>
      </c>
      <c r="AQ12" s="676" t="str">
        <f t="shared" si="9"/>
        <v/>
      </c>
      <c r="AR12" s="675" t="str">
        <f>IFERROR(INDEX(Üldreiting!$M:$M,MATCH(AQ12,Üldreiting!$H:$H,0)),"")</f>
        <v/>
      </c>
    </row>
    <row r="13" spans="1:44" x14ac:dyDescent="0.2">
      <c r="A13" s="616">
        <v>7</v>
      </c>
      <c r="B13" s="799" t="s">
        <v>654</v>
      </c>
      <c r="C13" s="618">
        <v>13</v>
      </c>
      <c r="D13" s="619" t="s">
        <v>615</v>
      </c>
      <c r="E13" s="620">
        <v>7</v>
      </c>
      <c r="F13" s="621" t="str">
        <f>B16</f>
        <v>Andrus Tommula, Markus Erik Tommula, Vahur Raudsepp</v>
      </c>
      <c r="G13" s="618">
        <v>11</v>
      </c>
      <c r="H13" s="619" t="s">
        <v>615</v>
      </c>
      <c r="I13" s="620">
        <v>13</v>
      </c>
      <c r="J13" s="621" t="str">
        <f>B7</f>
        <v>Margus Berkmann, Meelis Münt, Veiko Proos</v>
      </c>
      <c r="K13" s="618">
        <v>13</v>
      </c>
      <c r="L13" s="619" t="s">
        <v>615</v>
      </c>
      <c r="M13" s="620">
        <v>8</v>
      </c>
      <c r="N13" s="621" t="str">
        <f>B12</f>
        <v>Harry Lusbo, Kaur Kangur, Kevin Kangur</v>
      </c>
      <c r="O13" s="618">
        <v>10</v>
      </c>
      <c r="P13" s="619" t="s">
        <v>615</v>
      </c>
      <c r="Q13" s="620">
        <v>11</v>
      </c>
      <c r="R13" s="621" t="str">
        <f>B8</f>
        <v>Allar Elerand, Andero Kelu, Kaido Kopel</v>
      </c>
      <c r="S13" s="618"/>
      <c r="T13" s="619" t="s">
        <v>615</v>
      </c>
      <c r="U13" s="620"/>
      <c r="V13" s="621"/>
      <c r="W13" s="618"/>
      <c r="X13" s="619" t="s">
        <v>615</v>
      </c>
      <c r="Y13" s="620"/>
      <c r="Z13" s="621"/>
      <c r="AA13" s="636">
        <f t="shared" si="0"/>
        <v>4</v>
      </c>
      <c r="AB13" s="637">
        <v>24</v>
      </c>
      <c r="AC13" s="629">
        <f t="shared" si="1"/>
        <v>47</v>
      </c>
      <c r="AD13" s="630" t="s">
        <v>615</v>
      </c>
      <c r="AE13" s="631">
        <f t="shared" si="2"/>
        <v>39</v>
      </c>
      <c r="AF13" s="804">
        <f t="shared" si="3"/>
        <v>8</v>
      </c>
      <c r="AH13" s="672">
        <f t="shared" ca="1" si="4"/>
        <v>1908</v>
      </c>
      <c r="AI13" s="676" t="str">
        <f t="shared" si="5"/>
        <v>Aimar Poom</v>
      </c>
      <c r="AJ13" s="675">
        <f ca="1">IFERROR(INDEX(Üldreiting!$M:$M,MATCH(AI13,Üldreiting!$H:$H,0)),"")</f>
        <v>701</v>
      </c>
      <c r="AK13" s="676" t="str">
        <f t="shared" si="6"/>
        <v>Kertu Palm</v>
      </c>
      <c r="AL13" s="675">
        <f ca="1">IFERROR(INDEX(Üldreiting!$M:$M,MATCH(AK13,Üldreiting!$H:$H,0)),"")</f>
        <v>627</v>
      </c>
      <c r="AM13" s="676" t="str">
        <f t="shared" si="7"/>
        <v>Valmar Pantšenko</v>
      </c>
      <c r="AN13" s="675">
        <f ca="1">IFERROR(INDEX(Üldreiting!$M:$M,MATCH(AM13,Üldreiting!$H:$H,0)),"")</f>
        <v>580</v>
      </c>
      <c r="AO13" s="674" t="str">
        <f t="shared" si="8"/>
        <v/>
      </c>
      <c r="AP13" s="675" t="str">
        <f>IFERROR(INDEX(Üldreiting!$M:$M,MATCH(AO13,Üldreiting!$H:$H,0)),"")</f>
        <v/>
      </c>
      <c r="AQ13" s="676" t="str">
        <f t="shared" si="9"/>
        <v/>
      </c>
      <c r="AR13" s="675" t="str">
        <f>IFERROR(INDEX(Üldreiting!$M:$M,MATCH(AQ13,Üldreiting!$H:$H,0)),"")</f>
        <v/>
      </c>
    </row>
    <row r="14" spans="1:44" x14ac:dyDescent="0.2">
      <c r="A14" s="616">
        <v>8</v>
      </c>
      <c r="B14" s="799" t="s">
        <v>903</v>
      </c>
      <c r="C14" s="618">
        <v>13</v>
      </c>
      <c r="D14" s="619" t="s">
        <v>615</v>
      </c>
      <c r="E14" s="620">
        <v>12</v>
      </c>
      <c r="F14" s="621" t="str">
        <f>B18</f>
        <v>Aigi Orro, Elmo Lageda, Kalle Orro</v>
      </c>
      <c r="G14" s="618">
        <v>10</v>
      </c>
      <c r="H14" s="619" t="s">
        <v>615</v>
      </c>
      <c r="I14" s="620">
        <v>12</v>
      </c>
      <c r="J14" s="621" t="str">
        <f>B12</f>
        <v>Harry Lusbo, Kaur Kangur, Kevin Kangur</v>
      </c>
      <c r="K14" s="618">
        <v>13</v>
      </c>
      <c r="L14" s="619" t="s">
        <v>615</v>
      </c>
      <c r="M14" s="620">
        <v>6</v>
      </c>
      <c r="N14" s="621" t="str">
        <f>B19</f>
        <v>Kevin Sten Liik, Marek Lehis, Margo Peebo</v>
      </c>
      <c r="O14" s="618">
        <v>12</v>
      </c>
      <c r="P14" s="619" t="s">
        <v>615</v>
      </c>
      <c r="Q14" s="620">
        <v>13</v>
      </c>
      <c r="R14" s="621" t="str">
        <f>B10</f>
        <v>Aigar Lusbo, Jaan Joonas, Toomas Hoole</v>
      </c>
      <c r="S14" s="618"/>
      <c r="T14" s="619" t="s">
        <v>615</v>
      </c>
      <c r="U14" s="620"/>
      <c r="V14" s="621"/>
      <c r="W14" s="618"/>
      <c r="X14" s="619" t="s">
        <v>615</v>
      </c>
      <c r="Y14" s="620"/>
      <c r="Z14" s="621"/>
      <c r="AA14" s="636">
        <f t="shared" si="0"/>
        <v>4</v>
      </c>
      <c r="AB14" s="637">
        <v>20</v>
      </c>
      <c r="AC14" s="629">
        <f t="shared" si="1"/>
        <v>48</v>
      </c>
      <c r="AD14" s="630" t="s">
        <v>615</v>
      </c>
      <c r="AE14" s="631">
        <f t="shared" si="2"/>
        <v>43</v>
      </c>
      <c r="AF14" s="804">
        <f t="shared" si="3"/>
        <v>5</v>
      </c>
      <c r="AH14" s="672">
        <f t="shared" ca="1" si="4"/>
        <v>382</v>
      </c>
      <c r="AI14" s="676" t="str">
        <f t="shared" si="5"/>
        <v>Kristjan Raudsepp</v>
      </c>
      <c r="AJ14" s="675">
        <f ca="1">IFERROR(INDEX(Üldreiting!$M:$M,MATCH(AI14,Üldreiting!$H:$H,0)),"")</f>
        <v>104</v>
      </c>
      <c r="AK14" s="676" t="str">
        <f t="shared" si="6"/>
        <v>Mihkel Palk</v>
      </c>
      <c r="AL14" s="675">
        <f ca="1">IFERROR(INDEX(Üldreiting!$M:$M,MATCH(AK14,Üldreiting!$H:$H,0)),"")</f>
        <v>151</v>
      </c>
      <c r="AM14" s="676" t="str">
        <f t="shared" si="7"/>
        <v>Ott Karl Kopel</v>
      </c>
      <c r="AN14" s="675">
        <f ca="1">IFERROR(INDEX(Üldreiting!$M:$M,MATCH(AM14,Üldreiting!$H:$H,0)),"")</f>
        <v>127</v>
      </c>
      <c r="AO14" s="674" t="str">
        <f t="shared" si="8"/>
        <v/>
      </c>
      <c r="AP14" s="675" t="str">
        <f>IFERROR(INDEX(Üldreiting!$M:$M,MATCH(AO14,Üldreiting!$H:$H,0)),"")</f>
        <v/>
      </c>
      <c r="AQ14" s="676" t="str">
        <f t="shared" si="9"/>
        <v/>
      </c>
      <c r="AR14" s="675" t="str">
        <f>IFERROR(INDEX(Üldreiting!$M:$M,MATCH(AQ14,Üldreiting!$H:$H,0)),"")</f>
        <v/>
      </c>
    </row>
    <row r="15" spans="1:44" x14ac:dyDescent="0.2">
      <c r="A15" s="616">
        <v>9</v>
      </c>
      <c r="B15" s="799" t="s">
        <v>904</v>
      </c>
      <c r="C15" s="618">
        <v>13</v>
      </c>
      <c r="D15" s="619" t="s">
        <v>615</v>
      </c>
      <c r="E15" s="620">
        <v>2</v>
      </c>
      <c r="F15" s="621" t="str">
        <f>B25</f>
        <v>Henri Mitt, Johannes Neiland, Kenneth Muusikus</v>
      </c>
      <c r="G15" s="618">
        <v>3</v>
      </c>
      <c r="H15" s="619" t="s">
        <v>615</v>
      </c>
      <c r="I15" s="620">
        <v>13</v>
      </c>
      <c r="J15" s="621" t="str">
        <f>B10</f>
        <v>Aigar Lusbo, Jaan Joonas, Toomas Hoole</v>
      </c>
      <c r="K15" s="618">
        <v>13</v>
      </c>
      <c r="L15" s="619" t="s">
        <v>615</v>
      </c>
      <c r="M15" s="620">
        <v>1</v>
      </c>
      <c r="N15" s="621" t="str">
        <f>B17</f>
        <v>Mati Rõõm, Mihkel Lillemets, Robert Schmidt</v>
      </c>
      <c r="O15" s="618">
        <v>9</v>
      </c>
      <c r="P15" s="619" t="s">
        <v>615</v>
      </c>
      <c r="Q15" s="620">
        <v>11</v>
      </c>
      <c r="R15" s="621" t="str">
        <f>B11</f>
        <v>Aivar Sein, Marek Kolk, Toomas Reede</v>
      </c>
      <c r="S15" s="618"/>
      <c r="T15" s="619" t="s">
        <v>615</v>
      </c>
      <c r="U15" s="620"/>
      <c r="V15" s="621"/>
      <c r="W15" s="618"/>
      <c r="X15" s="619" t="s">
        <v>615</v>
      </c>
      <c r="Y15" s="620"/>
      <c r="Z15" s="621"/>
      <c r="AA15" s="636">
        <f t="shared" si="0"/>
        <v>4</v>
      </c>
      <c r="AB15" s="637">
        <v>18</v>
      </c>
      <c r="AC15" s="629">
        <f t="shared" si="1"/>
        <v>38</v>
      </c>
      <c r="AD15" s="630" t="s">
        <v>615</v>
      </c>
      <c r="AE15" s="631">
        <f t="shared" si="2"/>
        <v>27</v>
      </c>
      <c r="AF15" s="804">
        <f t="shared" si="3"/>
        <v>11</v>
      </c>
      <c r="AH15" s="672">
        <f t="shared" ca="1" si="4"/>
        <v>2435.5</v>
      </c>
      <c r="AI15" s="676" t="str">
        <f t="shared" si="5"/>
        <v>Janek Kiisk</v>
      </c>
      <c r="AJ15" s="675">
        <f ca="1">IFERROR(INDEX(Üldreiting!$M:$M,MATCH(AI15,Üldreiting!$H:$H,0)),"")</f>
        <v>863.5</v>
      </c>
      <c r="AK15" s="676" t="str">
        <f t="shared" si="6"/>
        <v>Kalju Olmre</v>
      </c>
      <c r="AL15" s="675">
        <f ca="1">IFERROR(INDEX(Üldreiting!$M:$M,MATCH(AK15,Üldreiting!$H:$H,0)),"")</f>
        <v>600</v>
      </c>
      <c r="AM15" s="676" t="str">
        <f t="shared" si="7"/>
        <v>Ruudi Väärtnõu</v>
      </c>
      <c r="AN15" s="675">
        <f ca="1">IFERROR(INDEX(Üldreiting!$M:$M,MATCH(AM15,Üldreiting!$H:$H,0)),"")</f>
        <v>972</v>
      </c>
      <c r="AO15" s="674" t="str">
        <f t="shared" si="8"/>
        <v/>
      </c>
      <c r="AP15" s="675" t="str">
        <f>IFERROR(INDEX(Üldreiting!$M:$M,MATCH(AO15,Üldreiting!$H:$H,0)),"")</f>
        <v/>
      </c>
      <c r="AQ15" s="676" t="str">
        <f t="shared" si="9"/>
        <v/>
      </c>
      <c r="AR15" s="675" t="str">
        <f>IFERROR(INDEX(Üldreiting!$M:$M,MATCH(AQ15,Üldreiting!$H:$H,0)),"")</f>
        <v/>
      </c>
    </row>
    <row r="16" spans="1:44" x14ac:dyDescent="0.2">
      <c r="A16" s="616">
        <v>10</v>
      </c>
      <c r="B16" t="s">
        <v>905</v>
      </c>
      <c r="C16" s="618">
        <v>7</v>
      </c>
      <c r="D16" s="619" t="s">
        <v>615</v>
      </c>
      <c r="E16" s="620">
        <v>13</v>
      </c>
      <c r="F16" s="621" t="str">
        <f>B13</f>
        <v>Aimar Poom, Kertu Palm, Valmar Pantšenko</v>
      </c>
      <c r="G16" s="618">
        <v>13</v>
      </c>
      <c r="H16" s="619" t="s">
        <v>615</v>
      </c>
      <c r="I16" s="620">
        <v>5</v>
      </c>
      <c r="J16" s="621" t="str">
        <f>B24</f>
        <v>Maive Sein, Maris Rõõm, Varje Reede</v>
      </c>
      <c r="K16" s="618">
        <v>12</v>
      </c>
      <c r="L16" s="619" t="s">
        <v>615</v>
      </c>
      <c r="M16" s="620">
        <v>8</v>
      </c>
      <c r="N16" s="621" t="str">
        <f>B20</f>
        <v>Egert Kingissepp, Marge Mägi, Piret Kopel</v>
      </c>
      <c r="O16" s="618">
        <v>10</v>
      </c>
      <c r="P16" s="619" t="s">
        <v>615</v>
      </c>
      <c r="Q16" s="620">
        <v>11</v>
      </c>
      <c r="R16" s="621" t="str">
        <f>B12</f>
        <v>Harry Lusbo, Kaur Kangur, Kevin Kangur</v>
      </c>
      <c r="S16" s="618"/>
      <c r="T16" s="619" t="s">
        <v>615</v>
      </c>
      <c r="U16" s="620"/>
      <c r="V16" s="621"/>
      <c r="W16" s="618"/>
      <c r="X16" s="619" t="s">
        <v>615</v>
      </c>
      <c r="Y16" s="620"/>
      <c r="Z16" s="621"/>
      <c r="AA16" s="636">
        <f t="shared" si="0"/>
        <v>4</v>
      </c>
      <c r="AB16" s="637">
        <v>16</v>
      </c>
      <c r="AC16" s="638">
        <f t="shared" si="1"/>
        <v>42</v>
      </c>
      <c r="AD16" s="639" t="s">
        <v>615</v>
      </c>
      <c r="AE16" s="640">
        <f t="shared" si="2"/>
        <v>37</v>
      </c>
      <c r="AF16" s="805">
        <f t="shared" si="3"/>
        <v>5</v>
      </c>
      <c r="AH16" s="672">
        <f t="shared" ca="1" si="4"/>
        <v>381</v>
      </c>
      <c r="AI16" s="676" t="str">
        <f t="shared" si="5"/>
        <v>Andrus Tommula</v>
      </c>
      <c r="AJ16" s="675">
        <f ca="1">IFERROR(INDEX(Üldreiting!$M:$M,MATCH(AI16,Üldreiting!$H:$H,0)),"")</f>
        <v>96</v>
      </c>
      <c r="AK16" s="676" t="str">
        <f t="shared" si="6"/>
        <v>Markus Erik Tommula</v>
      </c>
      <c r="AL16" s="675">
        <f ca="1">IFERROR(INDEX(Üldreiting!$M:$M,MATCH(AK16,Üldreiting!$H:$H,0)),"")</f>
        <v>118</v>
      </c>
      <c r="AM16" s="676" t="str">
        <f t="shared" si="7"/>
        <v>Vahur Raudsepp</v>
      </c>
      <c r="AN16" s="675">
        <f ca="1">IFERROR(INDEX(Üldreiting!$M:$M,MATCH(AM16,Üldreiting!$H:$H,0)),"")</f>
        <v>167</v>
      </c>
      <c r="AO16" s="674" t="str">
        <f t="shared" si="8"/>
        <v/>
      </c>
      <c r="AP16" s="675" t="str">
        <f>IFERROR(INDEX(Üldreiting!$M:$M,MATCH(AO16,Üldreiting!$H:$H,0)),"")</f>
        <v/>
      </c>
      <c r="AQ16" s="676" t="str">
        <f t="shared" si="9"/>
        <v/>
      </c>
      <c r="AR16" s="675" t="str">
        <f>IFERROR(INDEX(Üldreiting!$M:$M,MATCH(AQ16,Üldreiting!$H:$H,0)),"")</f>
        <v/>
      </c>
    </row>
    <row r="17" spans="1:44" x14ac:dyDescent="0.2">
      <c r="A17" s="616">
        <v>11</v>
      </c>
      <c r="B17" s="234" t="s">
        <v>906</v>
      </c>
      <c r="C17" s="618">
        <v>10</v>
      </c>
      <c r="D17" s="619" t="s">
        <v>615</v>
      </c>
      <c r="E17" s="620">
        <v>13</v>
      </c>
      <c r="F17" s="621" t="str">
        <f>B9</f>
        <v>Ivar Viljaste, Sirje Viljaste, Urmo Auväärt</v>
      </c>
      <c r="G17" s="618">
        <v>13</v>
      </c>
      <c r="H17" s="619" t="s">
        <v>615</v>
      </c>
      <c r="I17" s="620">
        <v>8</v>
      </c>
      <c r="J17" s="621" t="str">
        <f>B18</f>
        <v>Aigi Orro, Elmo Lageda, Kalle Orro</v>
      </c>
      <c r="K17" s="618">
        <v>1</v>
      </c>
      <c r="L17" s="619" t="s">
        <v>615</v>
      </c>
      <c r="M17" s="620">
        <v>13</v>
      </c>
      <c r="N17" s="621" t="str">
        <f>B15</f>
        <v>Janek Kiisk, Kalju Olmre, Ruudi Väärtnõu</v>
      </c>
      <c r="O17" s="618">
        <v>13</v>
      </c>
      <c r="P17" s="619" t="s">
        <v>615</v>
      </c>
      <c r="Q17" s="620">
        <v>8</v>
      </c>
      <c r="R17" s="621" t="str">
        <f>B21</f>
        <v>Danel Pilv, Mare Kingissepp, Silver Kingissepp</v>
      </c>
      <c r="S17" s="618"/>
      <c r="T17" s="619" t="s">
        <v>615</v>
      </c>
      <c r="U17" s="620"/>
      <c r="V17" s="621"/>
      <c r="W17" s="618"/>
      <c r="X17" s="619" t="s">
        <v>615</v>
      </c>
      <c r="Y17" s="620"/>
      <c r="Z17" s="621"/>
      <c r="AA17" s="636">
        <f t="shared" si="0"/>
        <v>4</v>
      </c>
      <c r="AB17" s="637">
        <v>16</v>
      </c>
      <c r="AC17" s="638">
        <f t="shared" si="1"/>
        <v>37</v>
      </c>
      <c r="AD17" s="639" t="s">
        <v>615</v>
      </c>
      <c r="AE17" s="640">
        <f t="shared" si="2"/>
        <v>42</v>
      </c>
      <c r="AF17" s="805">
        <f t="shared" si="3"/>
        <v>-5</v>
      </c>
      <c r="AH17" s="672">
        <f t="shared" ca="1" si="4"/>
        <v>502</v>
      </c>
      <c r="AI17" s="676" t="str">
        <f t="shared" si="5"/>
        <v>Mati Rõõm</v>
      </c>
      <c r="AJ17" s="675">
        <f ca="1">IFERROR(INDEX(Üldreiting!$M:$M,MATCH(AI17,Üldreiting!$H:$H,0)),"")</f>
        <v>182</v>
      </c>
      <c r="AK17" s="676" t="str">
        <f t="shared" si="6"/>
        <v>Mihkel Lillemets</v>
      </c>
      <c r="AL17" s="675">
        <f ca="1">IFERROR(INDEX(Üldreiting!$M:$M,MATCH(AK17,Üldreiting!$H:$H,0)),"")</f>
        <v>182</v>
      </c>
      <c r="AM17" s="676" t="str">
        <f t="shared" si="7"/>
        <v>Robert Schmidt</v>
      </c>
      <c r="AN17" s="675">
        <f ca="1">IFERROR(INDEX(Üldreiting!$M:$M,MATCH(AM17,Üldreiting!$H:$H,0)),"")</f>
        <v>138</v>
      </c>
      <c r="AO17" s="674" t="str">
        <f t="shared" si="8"/>
        <v/>
      </c>
      <c r="AP17" s="675" t="str">
        <f>IFERROR(INDEX(Üldreiting!$M:$M,MATCH(AO17,Üldreiting!$H:$H,0)),"")</f>
        <v/>
      </c>
      <c r="AQ17" s="676" t="str">
        <f t="shared" si="9"/>
        <v/>
      </c>
      <c r="AR17" s="675" t="str">
        <f>IFERROR(INDEX(Üldreiting!$M:$M,MATCH(AQ17,Üldreiting!$H:$H,0)),"")</f>
        <v/>
      </c>
    </row>
    <row r="18" spans="1:44" x14ac:dyDescent="0.2">
      <c r="A18" s="616">
        <v>12</v>
      </c>
      <c r="B18" s="52" t="s">
        <v>777</v>
      </c>
      <c r="C18" s="618">
        <v>12</v>
      </c>
      <c r="D18" s="619" t="s">
        <v>615</v>
      </c>
      <c r="E18" s="620">
        <v>13</v>
      </c>
      <c r="F18" s="621" t="str">
        <f>B14</f>
        <v>Kristjan Raudsepp, Mihkel Palk, Ott Karl Kopel</v>
      </c>
      <c r="G18" s="618">
        <v>8</v>
      </c>
      <c r="H18" s="619" t="s">
        <v>615</v>
      </c>
      <c r="I18" s="620">
        <v>13</v>
      </c>
      <c r="J18" s="621" t="str">
        <f>B17</f>
        <v>Mati Rõõm, Mihkel Lillemets, Robert Schmidt</v>
      </c>
      <c r="K18" s="618">
        <v>13</v>
      </c>
      <c r="L18" s="619" t="s">
        <v>615</v>
      </c>
      <c r="M18" s="620">
        <v>6</v>
      </c>
      <c r="N18" s="621" t="str">
        <f>B24</f>
        <v>Maive Sein, Maris Rõõm, Varje Reede</v>
      </c>
      <c r="O18" s="618">
        <v>12</v>
      </c>
      <c r="P18" s="619" t="s">
        <v>615</v>
      </c>
      <c r="Q18" s="620">
        <v>11</v>
      </c>
      <c r="R18" s="621" t="str">
        <f>B25</f>
        <v>Henri Mitt, Johannes Neiland, Kenneth Muusikus</v>
      </c>
      <c r="S18" s="618"/>
      <c r="T18" s="619" t="s">
        <v>615</v>
      </c>
      <c r="U18" s="620"/>
      <c r="V18" s="621"/>
      <c r="W18" s="618"/>
      <c r="X18" s="619" t="s">
        <v>615</v>
      </c>
      <c r="Y18" s="620"/>
      <c r="Z18" s="621"/>
      <c r="AA18" s="636">
        <f t="shared" si="0"/>
        <v>4</v>
      </c>
      <c r="AB18" s="637">
        <v>12</v>
      </c>
      <c r="AC18" s="800">
        <f t="shared" si="1"/>
        <v>45</v>
      </c>
      <c r="AD18" s="801" t="s">
        <v>615</v>
      </c>
      <c r="AE18" s="802">
        <f t="shared" si="2"/>
        <v>43</v>
      </c>
      <c r="AF18" s="806">
        <f t="shared" si="3"/>
        <v>2</v>
      </c>
      <c r="AH18" s="672">
        <f t="shared" ca="1" si="4"/>
        <v>2443</v>
      </c>
      <c r="AI18" s="676" t="str">
        <f t="shared" si="5"/>
        <v>Aigi Orro</v>
      </c>
      <c r="AJ18" s="675">
        <f ca="1">IFERROR(INDEX(Üldreiting!$M:$M,MATCH(AI18,Üldreiting!$H:$H,0)),"")</f>
        <v>918.5</v>
      </c>
      <c r="AK18" s="676" t="str">
        <f t="shared" si="6"/>
        <v>Elmo Lageda</v>
      </c>
      <c r="AL18" s="675">
        <f ca="1">IFERROR(INDEX(Üldreiting!$M:$M,MATCH(AK18,Üldreiting!$H:$H,0)),"")</f>
        <v>606</v>
      </c>
      <c r="AM18" s="676" t="str">
        <f t="shared" si="7"/>
        <v>Kalle Orro</v>
      </c>
      <c r="AN18" s="675">
        <f ca="1">IFERROR(INDEX(Üldreiting!$M:$M,MATCH(AM18,Üldreiting!$H:$H,0)),"")</f>
        <v>918.5</v>
      </c>
      <c r="AO18" s="674" t="str">
        <f t="shared" si="8"/>
        <v/>
      </c>
      <c r="AP18" s="675" t="str">
        <f>IFERROR(INDEX(Üldreiting!$M:$M,MATCH(AO18,Üldreiting!$H:$H,0)),"")</f>
        <v/>
      </c>
      <c r="AQ18" s="676" t="str">
        <f t="shared" si="9"/>
        <v/>
      </c>
      <c r="AR18" s="675" t="str">
        <f>IFERROR(INDEX(Üldreiting!$M:$M,MATCH(AQ18,Üldreiting!$H:$H,0)),"")</f>
        <v/>
      </c>
    </row>
    <row r="19" spans="1:44" x14ac:dyDescent="0.2">
      <c r="A19" s="616">
        <v>13</v>
      </c>
      <c r="B19" s="52" t="s">
        <v>907</v>
      </c>
      <c r="C19" s="618">
        <v>0</v>
      </c>
      <c r="D19" s="619" t="s">
        <v>615</v>
      </c>
      <c r="E19" s="620">
        <v>13</v>
      </c>
      <c r="F19" s="621" t="str">
        <f>B8</f>
        <v>Allar Elerand, Andero Kelu, Kaido Kopel</v>
      </c>
      <c r="G19" s="618">
        <v>13</v>
      </c>
      <c r="H19" s="619" t="s">
        <v>615</v>
      </c>
      <c r="I19" s="620">
        <v>7</v>
      </c>
      <c r="J19" s="621" t="s">
        <v>825</v>
      </c>
      <c r="K19" s="618">
        <v>6</v>
      </c>
      <c r="L19" s="619" t="s">
        <v>615</v>
      </c>
      <c r="M19" s="620">
        <v>13</v>
      </c>
      <c r="N19" s="621" t="str">
        <f>B14</f>
        <v>Kristjan Raudsepp, Mihkel Palk, Ott Karl Kopel</v>
      </c>
      <c r="O19" s="618">
        <v>13</v>
      </c>
      <c r="P19" s="619" t="s">
        <v>615</v>
      </c>
      <c r="Q19" s="620">
        <v>3</v>
      </c>
      <c r="R19" s="621" t="str">
        <f>B22</f>
        <v>Katri Aavekukk, Külli Kariste, Marju Velga</v>
      </c>
      <c r="S19" s="618"/>
      <c r="T19" s="619" t="s">
        <v>615</v>
      </c>
      <c r="U19" s="620"/>
      <c r="V19" s="621"/>
      <c r="W19" s="618"/>
      <c r="X19" s="619" t="s">
        <v>615</v>
      </c>
      <c r="Y19" s="620"/>
      <c r="Z19" s="621"/>
      <c r="AA19" s="636">
        <f t="shared" si="0"/>
        <v>4</v>
      </c>
      <c r="AB19" s="637">
        <v>12</v>
      </c>
      <c r="AC19" s="800">
        <f t="shared" si="1"/>
        <v>32</v>
      </c>
      <c r="AD19" s="801" t="s">
        <v>615</v>
      </c>
      <c r="AE19" s="802">
        <f t="shared" si="2"/>
        <v>36</v>
      </c>
      <c r="AF19" s="806">
        <f t="shared" si="3"/>
        <v>-4</v>
      </c>
      <c r="AH19" s="672">
        <f t="shared" ref="AH19:AH25" ca="1" si="10">SUM(AJ19:AR19)</f>
        <v>1705.5</v>
      </c>
      <c r="AI19" s="676" t="str">
        <f t="shared" si="5"/>
        <v>Kevin Sten Liik</v>
      </c>
      <c r="AJ19" s="675">
        <f ca="1">IFERROR(INDEX(Üldreiting!$M:$M,MATCH(AI19,Üldreiting!$H:$H,0)),"")</f>
        <v>715</v>
      </c>
      <c r="AK19" s="676" t="str">
        <f t="shared" si="6"/>
        <v>Marek Lehis</v>
      </c>
      <c r="AL19" s="675">
        <f ca="1">IFERROR(INDEX(Üldreiting!$M:$M,MATCH(AK19,Üldreiting!$H:$H,0)),"")</f>
        <v>332.5</v>
      </c>
      <c r="AM19" s="676" t="str">
        <f t="shared" si="7"/>
        <v>Margo Peebo</v>
      </c>
      <c r="AN19" s="675">
        <f ca="1">IFERROR(INDEX(Üldreiting!$M:$M,MATCH(AM19,Üldreiting!$H:$H,0)),"")</f>
        <v>658</v>
      </c>
      <c r="AO19" s="674" t="str">
        <f t="shared" si="8"/>
        <v/>
      </c>
      <c r="AP19" s="675" t="str">
        <f>IFERROR(INDEX(Üldreiting!$M:$M,MATCH(AO19,Üldreiting!$H:$H,0)),"")</f>
        <v/>
      </c>
      <c r="AQ19" s="676" t="str">
        <f t="shared" si="9"/>
        <v/>
      </c>
      <c r="AR19" s="675" t="str">
        <f>IFERROR(INDEX(Üldreiting!$M:$M,MATCH(AQ19,Üldreiting!$H:$H,0)),"")</f>
        <v/>
      </c>
    </row>
    <row r="20" spans="1:44" x14ac:dyDescent="0.2">
      <c r="A20" s="616">
        <v>14</v>
      </c>
      <c r="B20" s="799" t="s">
        <v>908</v>
      </c>
      <c r="C20" s="618">
        <v>8</v>
      </c>
      <c r="D20" s="619" t="s">
        <v>615</v>
      </c>
      <c r="E20" s="620">
        <v>13</v>
      </c>
      <c r="F20" s="621" t="str">
        <f>B21</f>
        <v>Danel Pilv, Mare Kingissepp, Silver Kingissepp</v>
      </c>
      <c r="G20" s="618">
        <v>13</v>
      </c>
      <c r="H20" s="619" t="s">
        <v>615</v>
      </c>
      <c r="I20" s="620">
        <v>12</v>
      </c>
      <c r="J20" s="621" t="str">
        <f>B22</f>
        <v>Katri Aavekukk, Külli Kariste, Marju Velga</v>
      </c>
      <c r="K20" s="618">
        <v>8</v>
      </c>
      <c r="L20" s="619" t="s">
        <v>615</v>
      </c>
      <c r="M20" s="620">
        <v>12</v>
      </c>
      <c r="N20" s="621" t="str">
        <f>B16</f>
        <v>Andrus Tommula, Markus Erik Tommula, Vahur Raudsepp</v>
      </c>
      <c r="O20" s="618">
        <v>13</v>
      </c>
      <c r="P20" s="619" t="s">
        <v>615</v>
      </c>
      <c r="Q20" s="620">
        <v>10</v>
      </c>
      <c r="R20" s="621" t="str">
        <f>B23</f>
        <v>Angelika Tauk, Hardo Sokk, Toomas Tauk</v>
      </c>
      <c r="S20" s="618"/>
      <c r="T20" s="619" t="s">
        <v>615</v>
      </c>
      <c r="U20" s="620"/>
      <c r="V20" s="621"/>
      <c r="W20" s="618"/>
      <c r="X20" s="619" t="s">
        <v>615</v>
      </c>
      <c r="Y20" s="620"/>
      <c r="Z20" s="621"/>
      <c r="AA20" s="636">
        <f t="shared" si="0"/>
        <v>4</v>
      </c>
      <c r="AB20" s="637">
        <v>10</v>
      </c>
      <c r="AC20" s="629">
        <f t="shared" si="1"/>
        <v>42</v>
      </c>
      <c r="AD20" s="630" t="s">
        <v>615</v>
      </c>
      <c r="AE20" s="631">
        <f t="shared" si="2"/>
        <v>47</v>
      </c>
      <c r="AF20" s="804">
        <f t="shared" si="3"/>
        <v>-5</v>
      </c>
      <c r="AH20" s="672">
        <f t="shared" ca="1" si="10"/>
        <v>1332</v>
      </c>
      <c r="AI20" s="676" t="str">
        <f t="shared" si="5"/>
        <v>Egert Kingissepp</v>
      </c>
      <c r="AJ20" s="675">
        <f ca="1">IFERROR(INDEX(Üldreiting!$M:$M,MATCH(AI20,Üldreiting!$H:$H,0)),"")</f>
        <v>386</v>
      </c>
      <c r="AK20" s="676" t="str">
        <f t="shared" si="6"/>
        <v>Marge Mägi</v>
      </c>
      <c r="AL20" s="675">
        <f ca="1">IFERROR(INDEX(Üldreiting!$M:$M,MATCH(AK20,Üldreiting!$H:$H,0)),"")</f>
        <v>745</v>
      </c>
      <c r="AM20" s="676" t="str">
        <f t="shared" si="7"/>
        <v>Piret Kopel</v>
      </c>
      <c r="AN20" s="675">
        <f ca="1">IFERROR(INDEX(Üldreiting!$M:$M,MATCH(AM20,Üldreiting!$H:$H,0)),"")</f>
        <v>201</v>
      </c>
      <c r="AO20" s="674" t="str">
        <f t="shared" si="8"/>
        <v/>
      </c>
      <c r="AP20" s="675" t="str">
        <f>IFERROR(INDEX(Üldreiting!$M:$M,MATCH(AO20,Üldreiting!$H:$H,0)),"")</f>
        <v/>
      </c>
      <c r="AQ20" s="676" t="str">
        <f t="shared" si="9"/>
        <v/>
      </c>
      <c r="AR20" s="675" t="str">
        <f>IFERROR(INDEX(Üldreiting!$M:$M,MATCH(AQ20,Üldreiting!$H:$H,0)),"")</f>
        <v/>
      </c>
    </row>
    <row r="21" spans="1:44" x14ac:dyDescent="0.2">
      <c r="A21" s="616">
        <v>15</v>
      </c>
      <c r="B21" s="799" t="s">
        <v>909</v>
      </c>
      <c r="C21" s="618">
        <v>13</v>
      </c>
      <c r="D21" s="619" t="s">
        <v>615</v>
      </c>
      <c r="E21" s="620">
        <v>8</v>
      </c>
      <c r="F21" s="621" t="str">
        <f>B20</f>
        <v>Egert Kingissepp, Marge Mägi, Piret Kopel</v>
      </c>
      <c r="G21" s="618">
        <v>11</v>
      </c>
      <c r="H21" s="619" t="s">
        <v>615</v>
      </c>
      <c r="I21" s="620">
        <v>13</v>
      </c>
      <c r="J21" s="621" t="str">
        <f>B9</f>
        <v>Ivar Viljaste, Sirje Viljaste, Urmo Auväärt</v>
      </c>
      <c r="K21" s="618">
        <v>11</v>
      </c>
      <c r="L21" s="619" t="s">
        <v>615</v>
      </c>
      <c r="M21" s="620">
        <v>12</v>
      </c>
      <c r="N21" s="621" t="str">
        <f>B11</f>
        <v>Aivar Sein, Marek Kolk, Toomas Reede</v>
      </c>
      <c r="O21" s="618">
        <v>8</v>
      </c>
      <c r="P21" s="619" t="s">
        <v>615</v>
      </c>
      <c r="Q21" s="620">
        <v>13</v>
      </c>
      <c r="R21" s="621" t="str">
        <f>B17</f>
        <v>Mati Rõõm, Mihkel Lillemets, Robert Schmidt</v>
      </c>
      <c r="S21" s="618"/>
      <c r="T21" s="619" t="s">
        <v>615</v>
      </c>
      <c r="U21" s="620"/>
      <c r="V21" s="621"/>
      <c r="W21" s="618"/>
      <c r="X21" s="619" t="s">
        <v>615</v>
      </c>
      <c r="Y21" s="620"/>
      <c r="Z21" s="621"/>
      <c r="AA21" s="634">
        <f t="shared" si="0"/>
        <v>2</v>
      </c>
      <c r="AB21" s="635">
        <v>20</v>
      </c>
      <c r="AC21" s="629">
        <f t="shared" si="1"/>
        <v>43</v>
      </c>
      <c r="AD21" s="630" t="s">
        <v>615</v>
      </c>
      <c r="AE21" s="631">
        <f t="shared" si="2"/>
        <v>46</v>
      </c>
      <c r="AF21" s="804">
        <f t="shared" si="3"/>
        <v>-3</v>
      </c>
      <c r="AH21" s="672">
        <f t="shared" ca="1" si="10"/>
        <v>1810</v>
      </c>
      <c r="AI21" s="676" t="str">
        <f t="shared" si="5"/>
        <v>Danel Pilv</v>
      </c>
      <c r="AJ21" s="675">
        <f ca="1">IFERROR(INDEX(Üldreiting!$M:$M,MATCH(AI21,Üldreiting!$H:$H,0)),"")</f>
        <v>258</v>
      </c>
      <c r="AK21" s="676" t="str">
        <f t="shared" si="6"/>
        <v>Mare Kingissepp</v>
      </c>
      <c r="AL21" s="675">
        <f ca="1">IFERROR(INDEX(Üldreiting!$M:$M,MATCH(AK21,Üldreiting!$H:$H,0)),"")</f>
        <v>726</v>
      </c>
      <c r="AM21" s="676" t="str">
        <f t="shared" si="7"/>
        <v>Silver Kingissepp</v>
      </c>
      <c r="AN21" s="675">
        <f ca="1">IFERROR(INDEX(Üldreiting!$M:$M,MATCH(AM21,Üldreiting!$H:$H,0)),"")</f>
        <v>826</v>
      </c>
      <c r="AO21" s="674" t="str">
        <f t="shared" si="8"/>
        <v/>
      </c>
      <c r="AP21" s="675" t="str">
        <f>IFERROR(INDEX(Üldreiting!$M:$M,MATCH(AO21,Üldreiting!$H:$H,0)),"")</f>
        <v/>
      </c>
      <c r="AQ21" s="676" t="str">
        <f t="shared" si="9"/>
        <v/>
      </c>
      <c r="AR21" s="675" t="str">
        <f>IFERROR(INDEX(Üldreiting!$M:$M,MATCH(AQ21,Üldreiting!$H:$H,0)),"")</f>
        <v/>
      </c>
    </row>
    <row r="22" spans="1:44" x14ac:dyDescent="0.2">
      <c r="A22" s="616">
        <v>16</v>
      </c>
      <c r="B22" s="799" t="s">
        <v>910</v>
      </c>
      <c r="C22" s="618">
        <v>7</v>
      </c>
      <c r="D22" s="619" t="s">
        <v>615</v>
      </c>
      <c r="E22" s="620">
        <v>13</v>
      </c>
      <c r="F22" s="621" t="str">
        <f>B7</f>
        <v>Margus Berkmann, Meelis Münt, Veiko Proos</v>
      </c>
      <c r="G22" s="618">
        <v>12</v>
      </c>
      <c r="H22" s="619" t="s">
        <v>615</v>
      </c>
      <c r="I22" s="620">
        <v>13</v>
      </c>
      <c r="J22" s="621" t="str">
        <f>B20</f>
        <v>Egert Kingissepp, Marge Mägi, Piret Kopel</v>
      </c>
      <c r="K22" s="618">
        <v>13</v>
      </c>
      <c r="L22" s="619" t="s">
        <v>615</v>
      </c>
      <c r="M22" s="620">
        <v>8</v>
      </c>
      <c r="N22" s="621" t="str">
        <f>B23</f>
        <v>Angelika Tauk, Hardo Sokk, Toomas Tauk</v>
      </c>
      <c r="O22" s="618">
        <v>3</v>
      </c>
      <c r="P22" s="619" t="s">
        <v>615</v>
      </c>
      <c r="Q22" s="620">
        <v>13</v>
      </c>
      <c r="R22" s="621" t="str">
        <f>B19</f>
        <v>Kevin Sten Liik, Marek Lehis, Margo Peebo</v>
      </c>
      <c r="S22" s="618"/>
      <c r="T22" s="619" t="s">
        <v>615</v>
      </c>
      <c r="U22" s="620"/>
      <c r="V22" s="621"/>
      <c r="W22" s="618"/>
      <c r="X22" s="619" t="s">
        <v>615</v>
      </c>
      <c r="Y22" s="620"/>
      <c r="Z22" s="621"/>
      <c r="AA22" s="634">
        <f t="shared" si="0"/>
        <v>2</v>
      </c>
      <c r="AB22" s="635">
        <v>18</v>
      </c>
      <c r="AC22" s="629">
        <f t="shared" si="1"/>
        <v>35</v>
      </c>
      <c r="AD22" s="630" t="s">
        <v>615</v>
      </c>
      <c r="AE22" s="631">
        <f t="shared" si="2"/>
        <v>47</v>
      </c>
      <c r="AF22" s="804">
        <f t="shared" si="3"/>
        <v>-12</v>
      </c>
      <c r="AH22" s="672">
        <f t="shared" ca="1" si="10"/>
        <v>2125</v>
      </c>
      <c r="AI22" s="676" t="str">
        <f t="shared" si="5"/>
        <v>Katri Aavekukk</v>
      </c>
      <c r="AJ22" s="675">
        <f ca="1">IFERROR(INDEX(Üldreiting!$M:$M,MATCH(AI22,Üldreiting!$H:$H,0)),"")</f>
        <v>1079</v>
      </c>
      <c r="AK22" s="676" t="str">
        <f t="shared" si="6"/>
        <v>Külli Kariste</v>
      </c>
      <c r="AL22" s="675">
        <f ca="1">IFERROR(INDEX(Üldreiting!$M:$M,MATCH(AK22,Üldreiting!$H:$H,0)),"")</f>
        <v>593</v>
      </c>
      <c r="AM22" s="676" t="str">
        <f t="shared" si="7"/>
        <v>Marju Velga</v>
      </c>
      <c r="AN22" s="675">
        <f ca="1">IFERROR(INDEX(Üldreiting!$M:$M,MATCH(AM22,Üldreiting!$H:$H,0)),"")</f>
        <v>453</v>
      </c>
      <c r="AO22" s="674" t="str">
        <f t="shared" si="8"/>
        <v/>
      </c>
      <c r="AP22" s="675" t="str">
        <f>IFERROR(INDEX(Üldreiting!$M:$M,MATCH(AO22,Üldreiting!$H:$H,0)),"")</f>
        <v/>
      </c>
      <c r="AQ22" s="676" t="str">
        <f t="shared" si="9"/>
        <v/>
      </c>
      <c r="AR22" s="675" t="str">
        <f>IFERROR(INDEX(Üldreiting!$M:$M,MATCH(AQ22,Üldreiting!$H:$H,0)),"")</f>
        <v/>
      </c>
    </row>
    <row r="23" spans="1:44" x14ac:dyDescent="0.2">
      <c r="A23" s="616">
        <v>17</v>
      </c>
      <c r="B23" s="799" t="s">
        <v>911</v>
      </c>
      <c r="C23" s="618">
        <v>0</v>
      </c>
      <c r="D23" s="619" t="s">
        <v>615</v>
      </c>
      <c r="E23" s="620">
        <v>13</v>
      </c>
      <c r="F23" s="621" t="str">
        <f>B11</f>
        <v>Aivar Sein, Marek Kolk, Toomas Reede</v>
      </c>
      <c r="G23" s="618">
        <v>13</v>
      </c>
      <c r="H23" s="619" t="s">
        <v>615</v>
      </c>
      <c r="I23" s="620">
        <v>12</v>
      </c>
      <c r="J23" s="621" t="str">
        <f>B25</f>
        <v>Henri Mitt, Johannes Neiland, Kenneth Muusikus</v>
      </c>
      <c r="K23" s="618">
        <v>8</v>
      </c>
      <c r="L23" s="619" t="s">
        <v>615</v>
      </c>
      <c r="M23" s="620">
        <v>13</v>
      </c>
      <c r="N23" s="621" t="str">
        <f>B22</f>
        <v>Katri Aavekukk, Külli Kariste, Marju Velga</v>
      </c>
      <c r="O23" s="618">
        <v>10</v>
      </c>
      <c r="P23" s="619" t="s">
        <v>615</v>
      </c>
      <c r="Q23" s="620">
        <v>13</v>
      </c>
      <c r="R23" s="621" t="str">
        <f>B20</f>
        <v>Egert Kingissepp, Marge Mägi, Piret Kopel</v>
      </c>
      <c r="S23" s="618"/>
      <c r="T23" s="619" t="s">
        <v>615</v>
      </c>
      <c r="U23" s="620"/>
      <c r="V23" s="621"/>
      <c r="W23" s="618"/>
      <c r="X23" s="619" t="s">
        <v>615</v>
      </c>
      <c r="Y23" s="620"/>
      <c r="Z23" s="621"/>
      <c r="AA23" s="634">
        <f t="shared" si="0"/>
        <v>2</v>
      </c>
      <c r="AB23" s="635">
        <v>14</v>
      </c>
      <c r="AC23" s="800">
        <f t="shared" si="1"/>
        <v>31</v>
      </c>
      <c r="AD23" s="801" t="s">
        <v>615</v>
      </c>
      <c r="AE23" s="802">
        <f t="shared" si="2"/>
        <v>51</v>
      </c>
      <c r="AF23" s="806">
        <f t="shared" si="3"/>
        <v>-20</v>
      </c>
      <c r="AH23" s="672">
        <f t="shared" ca="1" si="10"/>
        <v>986</v>
      </c>
      <c r="AI23" s="676" t="str">
        <f t="shared" si="5"/>
        <v>Angelika Tauk</v>
      </c>
      <c r="AJ23" s="675">
        <f ca="1">IFERROR(INDEX(Üldreiting!$M:$M,MATCH(AI23,Üldreiting!$H:$H,0)),"")</f>
        <v>159</v>
      </c>
      <c r="AK23" s="676" t="str">
        <f t="shared" si="6"/>
        <v>Hardo Sokk</v>
      </c>
      <c r="AL23" s="675">
        <f ca="1">IFERROR(INDEX(Üldreiting!$M:$M,MATCH(AK23,Üldreiting!$H:$H,0)),"")</f>
        <v>510</v>
      </c>
      <c r="AM23" s="676" t="str">
        <f t="shared" si="7"/>
        <v>Toomas Tauk</v>
      </c>
      <c r="AN23" s="675">
        <f ca="1">IFERROR(INDEX(Üldreiting!$M:$M,MATCH(AM23,Üldreiting!$H:$H,0)),"")</f>
        <v>317</v>
      </c>
      <c r="AO23" s="674" t="str">
        <f t="shared" si="8"/>
        <v/>
      </c>
      <c r="AP23" s="675" t="str">
        <f>IFERROR(INDEX(Üldreiting!$M:$M,MATCH(AO23,Üldreiting!$H:$H,0)),"")</f>
        <v/>
      </c>
      <c r="AQ23" s="676" t="str">
        <f t="shared" si="9"/>
        <v/>
      </c>
      <c r="AR23" s="675" t="str">
        <f>IFERROR(INDEX(Üldreiting!$M:$M,MATCH(AQ23,Üldreiting!$H:$H,0)),"")</f>
        <v/>
      </c>
    </row>
    <row r="24" spans="1:44" x14ac:dyDescent="0.2">
      <c r="A24" s="616">
        <v>18</v>
      </c>
      <c r="B24" s="799" t="s">
        <v>669</v>
      </c>
      <c r="C24" s="618">
        <v>3</v>
      </c>
      <c r="D24" s="619" t="s">
        <v>615</v>
      </c>
      <c r="E24" s="620">
        <v>13</v>
      </c>
      <c r="F24" s="621" t="str">
        <f>B10</f>
        <v>Aigar Lusbo, Jaan Joonas, Toomas Hoole</v>
      </c>
      <c r="G24" s="618">
        <v>5</v>
      </c>
      <c r="H24" s="619" t="s">
        <v>615</v>
      </c>
      <c r="I24" s="620">
        <v>13</v>
      </c>
      <c r="J24" s="621" t="str">
        <f>B16</f>
        <v>Andrus Tommula, Markus Erik Tommula, Vahur Raudsepp</v>
      </c>
      <c r="K24" s="618">
        <v>6</v>
      </c>
      <c r="L24" s="619" t="s">
        <v>615</v>
      </c>
      <c r="M24" s="620">
        <v>13</v>
      </c>
      <c r="N24" s="621" t="str">
        <f>B18</f>
        <v>Aigi Orro, Elmo Lageda, Kalle Orro</v>
      </c>
      <c r="O24" s="618">
        <v>13</v>
      </c>
      <c r="P24" s="619" t="s">
        <v>615</v>
      </c>
      <c r="Q24" s="620">
        <v>7</v>
      </c>
      <c r="R24" s="621" t="s">
        <v>825</v>
      </c>
      <c r="S24" s="618"/>
      <c r="T24" s="619" t="s">
        <v>615</v>
      </c>
      <c r="U24" s="620"/>
      <c r="V24" s="621"/>
      <c r="W24" s="618"/>
      <c r="X24" s="619" t="s">
        <v>615</v>
      </c>
      <c r="Y24" s="620"/>
      <c r="Z24" s="621"/>
      <c r="AA24" s="634">
        <f t="shared" si="0"/>
        <v>2</v>
      </c>
      <c r="AB24" s="635">
        <v>14</v>
      </c>
      <c r="AC24" s="800">
        <f t="shared" si="1"/>
        <v>27</v>
      </c>
      <c r="AD24" s="801" t="s">
        <v>615</v>
      </c>
      <c r="AE24" s="802">
        <f t="shared" si="2"/>
        <v>46</v>
      </c>
      <c r="AF24" s="806">
        <f t="shared" si="3"/>
        <v>-19</v>
      </c>
      <c r="AH24" s="672">
        <f t="shared" ca="1" si="10"/>
        <v>2168</v>
      </c>
      <c r="AI24" s="676" t="str">
        <f t="shared" si="5"/>
        <v>Maive Sein</v>
      </c>
      <c r="AJ24" s="675">
        <f ca="1">IFERROR(INDEX(Üldreiting!$M:$M,MATCH(AI24,Üldreiting!$H:$H,0)),"")</f>
        <v>785</v>
      </c>
      <c r="AK24" s="676" t="str">
        <f t="shared" si="6"/>
        <v>Maris Rõõm</v>
      </c>
      <c r="AL24" s="675">
        <f ca="1">IFERROR(INDEX(Üldreiting!$M:$M,MATCH(AK24,Üldreiting!$H:$H,0)),"")</f>
        <v>542</v>
      </c>
      <c r="AM24" s="676" t="str">
        <f t="shared" si="7"/>
        <v>Varje Reede</v>
      </c>
      <c r="AN24" s="675">
        <f ca="1">IFERROR(INDEX(Üldreiting!$M:$M,MATCH(AM24,Üldreiting!$H:$H,0)),"")</f>
        <v>841</v>
      </c>
      <c r="AO24" s="674" t="str">
        <f t="shared" si="8"/>
        <v/>
      </c>
      <c r="AP24" s="675" t="str">
        <f>IFERROR(INDEX(Üldreiting!$M:$M,MATCH(AO24,Üldreiting!$H:$H,0)),"")</f>
        <v/>
      </c>
      <c r="AQ24" s="676" t="str">
        <f t="shared" si="9"/>
        <v/>
      </c>
      <c r="AR24" s="675" t="str">
        <f>IFERROR(INDEX(Üldreiting!$M:$M,MATCH(AQ24,Üldreiting!$H:$H,0)),"")</f>
        <v/>
      </c>
    </row>
    <row r="25" spans="1:44" x14ac:dyDescent="0.2">
      <c r="A25" s="616">
        <v>19</v>
      </c>
      <c r="B25" s="799" t="s">
        <v>917</v>
      </c>
      <c r="C25" s="618">
        <v>2</v>
      </c>
      <c r="D25" s="619" t="s">
        <v>615</v>
      </c>
      <c r="E25" s="620">
        <v>13</v>
      </c>
      <c r="F25" s="621" t="str">
        <f>B15</f>
        <v>Janek Kiisk, Kalju Olmre, Ruudi Väärtnõu</v>
      </c>
      <c r="G25" s="618">
        <v>12</v>
      </c>
      <c r="H25" s="619" t="s">
        <v>615</v>
      </c>
      <c r="I25" s="620">
        <v>13</v>
      </c>
      <c r="J25" s="621" t="str">
        <f>B23</f>
        <v>Angelika Tauk, Hardo Sokk, Toomas Tauk</v>
      </c>
      <c r="K25" s="618">
        <v>13</v>
      </c>
      <c r="L25" s="619" t="s">
        <v>615</v>
      </c>
      <c r="M25" s="620">
        <v>7</v>
      </c>
      <c r="N25" s="621" t="s">
        <v>825</v>
      </c>
      <c r="O25" s="618">
        <v>11</v>
      </c>
      <c r="P25" s="619" t="s">
        <v>615</v>
      </c>
      <c r="Q25" s="620">
        <v>12</v>
      </c>
      <c r="R25" s="621" t="str">
        <f>B18</f>
        <v>Aigi Orro, Elmo Lageda, Kalle Orro</v>
      </c>
      <c r="S25" s="618"/>
      <c r="T25" s="619" t="s">
        <v>615</v>
      </c>
      <c r="U25" s="620"/>
      <c r="V25" s="621"/>
      <c r="W25" s="618"/>
      <c r="X25" s="619" t="s">
        <v>615</v>
      </c>
      <c r="Y25" s="620"/>
      <c r="Z25" s="621"/>
      <c r="AA25" s="622">
        <f t="shared" ref="AA25" si="11">2*(IF(C25&gt;E25,1)+IF(G25&gt;I25,1)+IF(K25&gt;M25,1)+IF(O25&gt;Q25,1)+IF(S25&gt;U25,1)+IF(W25&gt;Y25,1))</f>
        <v>2</v>
      </c>
      <c r="AB25" s="626">
        <v>10</v>
      </c>
      <c r="AC25" s="629">
        <f t="shared" ref="AC25" si="12">C25+G25+K25+O25+S25+W25</f>
        <v>38</v>
      </c>
      <c r="AD25" s="630" t="s">
        <v>615</v>
      </c>
      <c r="AE25" s="631">
        <f t="shared" ref="AE25" si="13">E25+I25+M25+Q25+U25+Y25</f>
        <v>45</v>
      </c>
      <c r="AF25" s="804">
        <f t="shared" ref="AF25" si="14">AC25-AE25</f>
        <v>-7</v>
      </c>
      <c r="AH25" s="672">
        <f t="shared" ca="1" si="10"/>
        <v>1179</v>
      </c>
      <c r="AI25" s="676" t="str">
        <f t="shared" si="5"/>
        <v>Henri Mitt</v>
      </c>
      <c r="AJ25" s="675">
        <f ca="1">IFERROR(INDEX(Üldreiting!$M:$M,MATCH(AI25,Üldreiting!$H:$H,0)),"")</f>
        <v>227</v>
      </c>
      <c r="AK25" s="676" t="str">
        <f t="shared" si="6"/>
        <v>Johannes Neiland</v>
      </c>
      <c r="AL25" s="675">
        <f ca="1">IFERROR(INDEX(Üldreiting!$M:$M,MATCH(AK25,Üldreiting!$H:$H,0)),"")</f>
        <v>397</v>
      </c>
      <c r="AM25" s="676" t="str">
        <f t="shared" si="7"/>
        <v>Kenneth Muusikus</v>
      </c>
      <c r="AN25" s="675">
        <f ca="1">IFERROR(INDEX(Üldreiting!$M:$M,MATCH(AM25,Üldreiting!$H:$H,0)),"")</f>
        <v>555</v>
      </c>
      <c r="AO25" s="674" t="str">
        <f t="shared" si="8"/>
        <v/>
      </c>
      <c r="AP25" s="675" t="str">
        <f>IFERROR(INDEX(Üldreiting!$M:$M,MATCH(AO25,Üldreiting!$H:$H,0)),"")</f>
        <v/>
      </c>
      <c r="AQ25" s="676" t="str">
        <f t="shared" si="9"/>
        <v/>
      </c>
      <c r="AR25" s="675" t="str">
        <f>IFERROR(INDEX(Üldreiting!$M:$M,MATCH(AQ25,Üldreiting!$H:$H,0)),"")</f>
        <v/>
      </c>
    </row>
    <row r="26" spans="1:44" hidden="1" x14ac:dyDescent="0.2">
      <c r="A26" s="606"/>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row>
    <row r="27" spans="1:44" hidden="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row>
    <row r="28" spans="1:44" hidden="1" x14ac:dyDescent="0.2">
      <c r="A28" s="606"/>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row>
    <row r="29" spans="1:44" hidden="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row>
    <row r="30" spans="1:44" hidden="1" x14ac:dyDescent="0.2">
      <c r="A30" s="606"/>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row>
    <row r="31" spans="1:44" hidden="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row>
    <row r="32" spans="1:44" hidden="1" x14ac:dyDescent="0.2">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row>
    <row r="33" spans="1:32" hidden="1" x14ac:dyDescent="0.2">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row>
    <row r="34" spans="1:32"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row>
    <row r="35" spans="1:32"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row>
    <row r="36" spans="1:32"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row>
    <row r="37" spans="1:32"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row>
    <row r="38" spans="1:32"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1:32"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row>
    <row r="40" spans="1:32"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row>
    <row r="41" spans="1:32"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row>
    <row r="42" spans="1:32"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row>
    <row r="43" spans="1:32"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row>
    <row r="44" spans="1:32"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row>
    <row r="45" spans="1:32"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row>
    <row r="46" spans="1:32"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row>
    <row r="47" spans="1:32"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row>
    <row r="48" spans="1:32"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row>
    <row r="49" spans="1:32"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row>
    <row r="50" spans="1:32"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row>
    <row r="51" spans="1:32"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row>
    <row r="52" spans="1:32"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row>
    <row r="53" spans="1:32"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row>
    <row r="54" spans="1:32"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row>
    <row r="55" spans="1:32"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row>
    <row r="56" spans="1:32"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row>
    <row r="57" spans="1:32"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row>
    <row r="59" spans="1:32"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row>
    <row r="60" spans="1:32"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row>
    <row r="61" spans="1:32"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row>
    <row r="62" spans="1:32"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row>
    <row r="63" spans="1:32"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row>
    <row r="64" spans="1:32"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row>
    <row r="65" spans="1:32"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row>
    <row r="66" spans="1:32"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row>
    <row r="67" spans="1:32"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row>
    <row r="68" spans="1:32"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row>
    <row r="69" spans="1:32"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row>
    <row r="70" spans="1:32"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row>
    <row r="71" spans="1:32"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row>
    <row r="72" spans="1:32"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row>
    <row r="73" spans="1:32"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row>
    <row r="74" spans="1:32"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row>
    <row r="75" spans="1:32"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row>
    <row r="76" spans="1:32"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row>
    <row r="77" spans="1:32"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row>
    <row r="78" spans="1:32"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row>
    <row r="79" spans="1:32"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row>
    <row r="80" spans="1:32"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row>
    <row r="81" spans="1:32"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row>
    <row r="82" spans="1:32"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row>
    <row r="83" spans="1:32"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row>
    <row r="84" spans="1:32"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row>
    <row r="85" spans="1:32"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row>
    <row r="86" spans="1:32"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row>
    <row r="87" spans="1:32"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row>
    <row r="88" spans="1:32"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row>
    <row r="89" spans="1:32"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row>
    <row r="90" spans="1:32"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row>
    <row r="91" spans="1:32"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row>
    <row r="92" spans="1:32"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row>
    <row r="93" spans="1:32"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row>
    <row r="94" spans="1:32"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row>
    <row r="95" spans="1:32"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row>
    <row r="96" spans="1:32"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row>
    <row r="97" spans="1:32"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row>
    <row r="98" spans="1:32"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row>
    <row r="99" spans="1:32" x14ac:dyDescent="0.2">
      <c r="A99" s="606"/>
      <c r="B99" s="606"/>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row>
    <row r="100" spans="1:32"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row>
    <row r="101" spans="1:32"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32" x14ac:dyDescent="0.2">
      <c r="A102" s="240">
        <v>1</v>
      </c>
      <c r="B102" s="641" t="str">
        <f>IFERROR(INDEX(B$1:B$99,MATCH(A102,A$1:A$99,0)),"")</f>
        <v>Margus Berkmann, Meelis Münt, Veiko Proos</v>
      </c>
      <c r="C102" s="74">
        <v>13</v>
      </c>
      <c r="D102" s="74"/>
      <c r="E102" s="74"/>
      <c r="F102" s="74"/>
      <c r="G102" s="74"/>
      <c r="H102" s="130"/>
      <c r="I102" s="70"/>
      <c r="J102" s="130"/>
      <c r="O102" s="606"/>
      <c r="P102" s="606"/>
      <c r="Q102" s="606"/>
      <c r="R102" s="606"/>
      <c r="S102" s="606"/>
      <c r="T102" s="606"/>
      <c r="U102" s="606"/>
      <c r="V102" s="606"/>
      <c r="W102" s="606"/>
      <c r="X102" s="606"/>
      <c r="Y102" s="606"/>
      <c r="Z102" s="606"/>
      <c r="AA102" s="606"/>
    </row>
    <row r="103" spans="1:32" x14ac:dyDescent="0.2">
      <c r="A103" s="242"/>
      <c r="B103" s="649"/>
      <c r="C103" s="74" t="str">
        <f>IF(COUNT(C102,C104)=2,IF(C102&gt;C104,B102,B104),"")</f>
        <v>Margus Berkmann, Meelis Münt, Veiko Proos</v>
      </c>
      <c r="G103" s="419">
        <v>13</v>
      </c>
      <c r="H103" s="74"/>
      <c r="I103" s="74"/>
      <c r="J103" s="74"/>
      <c r="K103" s="74"/>
      <c r="L103" s="70"/>
      <c r="M103" s="130"/>
      <c r="O103" s="606"/>
      <c r="P103" s="606"/>
      <c r="Q103" s="606"/>
      <c r="R103" s="606"/>
      <c r="S103" s="606"/>
      <c r="T103" s="606"/>
      <c r="U103" s="606"/>
      <c r="V103" s="606"/>
      <c r="W103" s="606"/>
      <c r="X103" s="606"/>
      <c r="Y103" s="606"/>
      <c r="Z103" s="606"/>
      <c r="AA103" s="606"/>
    </row>
    <row r="104" spans="1:32" x14ac:dyDescent="0.2">
      <c r="A104" s="242">
        <v>8</v>
      </c>
      <c r="B104" s="644" t="str">
        <f>IFERROR(INDEX(B$1:B$99,MATCH(A104,A$1:A$99,0)),"")</f>
        <v>Kristjan Raudsepp, Mihkel Palk, Ott Karl Kopel</v>
      </c>
      <c r="C104" s="646">
        <v>4</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32" x14ac:dyDescent="0.2">
      <c r="A105" s="242"/>
      <c r="B105" s="645"/>
      <c r="C105" s="49"/>
      <c r="D105" s="262"/>
      <c r="E105" s="262"/>
      <c r="F105" s="653"/>
      <c r="G105" s="417" t="str">
        <f>IF(COUNT(G103,G107)=2,IF(G103&gt;G107,C103,C107),"")</f>
        <v>Margus Berkmann, Meelis Münt, Veiko Proos</v>
      </c>
      <c r="H105" s="74"/>
      <c r="K105" s="241">
        <v>13</v>
      </c>
      <c r="L105" s="74"/>
      <c r="M105" s="74"/>
      <c r="N105" s="262"/>
      <c r="O105" s="606"/>
      <c r="P105" s="606"/>
      <c r="Q105" s="606"/>
      <c r="R105" s="606"/>
      <c r="S105" s="606"/>
      <c r="T105" s="606"/>
      <c r="U105" s="606"/>
      <c r="V105" s="606"/>
      <c r="W105" s="606"/>
      <c r="X105" s="606"/>
      <c r="Y105" s="606"/>
      <c r="Z105" s="606"/>
      <c r="AA105" s="606"/>
    </row>
    <row r="106" spans="1:32" x14ac:dyDescent="0.2">
      <c r="A106" s="242">
        <v>4</v>
      </c>
      <c r="B106" s="641" t="str">
        <f>IFERROR(INDEX(B$1:B$99,MATCH(A106,A$1:A$99,0)),"")</f>
        <v>Aigar Lusbo, Jaan Joonas, Toomas Hoole</v>
      </c>
      <c r="C106" s="74">
        <v>8</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32" x14ac:dyDescent="0.2">
      <c r="A107" s="242"/>
      <c r="B107" s="649"/>
      <c r="C107" s="74" t="str">
        <f>IF(COUNT(C106,C108)=2,IF(C106&gt;C108,B106,B108),"")</f>
        <v>Aivar Sein, Marek Kolk, Toomas Reede</v>
      </c>
      <c r="D107" s="654"/>
      <c r="E107" s="654"/>
      <c r="F107" s="655"/>
      <c r="G107" s="247">
        <v>6</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32" x14ac:dyDescent="0.2">
      <c r="A108" s="242">
        <v>5</v>
      </c>
      <c r="B108" s="644" t="str">
        <f>IFERROR(INDEX(B$1:B$99,MATCH(A108,A$1:A$99,0)),"")</f>
        <v>Aivar Sein, Marek Kolk, Toomas Reede</v>
      </c>
      <c r="C108" s="646">
        <v>13</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32" ht="13.5" thickBot="1" x14ac:dyDescent="0.25">
      <c r="A109" s="41"/>
      <c r="B109" s="645"/>
      <c r="C109" s="74"/>
      <c r="G109" s="49"/>
      <c r="H109" s="49"/>
      <c r="I109" s="262"/>
      <c r="J109" s="653"/>
      <c r="K109" s="74"/>
      <c r="M109" s="425" t="str">
        <f>IF(COUNT(K105,K113)=2,IF(K105&gt;K113,G105,G113),"")</f>
        <v>Margus Berkmann, Meelis Münt, Veiko Proos</v>
      </c>
      <c r="N109" s="74"/>
      <c r="O109" s="262"/>
      <c r="P109" s="606"/>
      <c r="Q109" s="606"/>
      <c r="R109" s="606"/>
      <c r="S109" s="606"/>
      <c r="T109" s="606"/>
      <c r="U109" s="606"/>
      <c r="V109" s="606"/>
      <c r="W109" s="606"/>
      <c r="X109" s="606"/>
      <c r="Y109" s="606"/>
      <c r="Z109" s="606"/>
      <c r="AA109" s="606"/>
    </row>
    <row r="110" spans="1:32" x14ac:dyDescent="0.2">
      <c r="A110" s="240">
        <v>3</v>
      </c>
      <c r="B110" s="641" t="str">
        <f>IFERROR(INDEX(B$1:B$99,MATCH(A110,A$1:A$99,0)),"")</f>
        <v>Ivar Viljaste, Sirje Viljaste, Urmo Auväärt</v>
      </c>
      <c r="C110" s="74">
        <v>11</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32" x14ac:dyDescent="0.2">
      <c r="A111" s="242"/>
      <c r="B111" s="649"/>
      <c r="C111" s="74" t="str">
        <f>IF(COUNT(C110,C112)=2,IF(C110&gt;C112,B110,B112),"")</f>
        <v>Harry Lusbo, Kaur Kangur, Kevin Kangur</v>
      </c>
      <c r="G111" s="247">
        <v>12</v>
      </c>
      <c r="H111" s="49"/>
      <c r="I111" s="262"/>
      <c r="J111" s="653"/>
      <c r="K111" s="49"/>
      <c r="M111" s="74"/>
      <c r="N111" s="74"/>
      <c r="O111" s="262"/>
      <c r="P111" s="606"/>
      <c r="Q111" s="606"/>
      <c r="R111" s="606"/>
      <c r="S111" s="606"/>
      <c r="T111" s="606"/>
      <c r="U111" s="606"/>
      <c r="V111" s="606"/>
      <c r="W111" s="606"/>
      <c r="X111" s="606"/>
      <c r="Y111" s="606"/>
      <c r="Z111" s="606"/>
      <c r="AA111" s="606"/>
    </row>
    <row r="112" spans="1:32" x14ac:dyDescent="0.2">
      <c r="A112" s="242">
        <v>6</v>
      </c>
      <c r="B112" s="644" t="str">
        <f>IFERROR(INDEX(B$1:B$99,MATCH(A112,A$1:A$99,0)),"")</f>
        <v>Harry Lusbo, Kaur Kangur, Kevin Kangur</v>
      </c>
      <c r="C112" s="646">
        <v>13</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Allar Elerand, Andero Kelu, Kaido Kopel</v>
      </c>
      <c r="H113" s="243"/>
      <c r="I113" s="654"/>
      <c r="J113" s="655"/>
      <c r="K113" s="247">
        <v>12</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Allar Elerand, Andero Kelu, Kaido Kopel</v>
      </c>
      <c r="C114" s="74">
        <v>13</v>
      </c>
      <c r="D114" s="262"/>
      <c r="E114" s="262"/>
      <c r="F114" s="653"/>
      <c r="G114" s="49"/>
      <c r="H114" s="49"/>
      <c r="K114" s="49"/>
      <c r="M114" s="425" t="str">
        <f>IF(COUNT(K105,K113)=2,IF(K105&lt;K113,G105,G113),"")</f>
        <v>Allar Elerand, Andero Kelu, Kaido Kopel</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Allar Elerand, Andero Kelu, Kaido Kopel</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Aimar Poom, Kertu Palm, Valmar Pantšenko</v>
      </c>
      <c r="C116" s="646">
        <v>11</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Aivar Sein, Marek Kolk, Toomas Reede</v>
      </c>
      <c r="H117" s="74"/>
      <c r="K117" s="247">
        <v>13</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Aivar Sein, Marek Kolk, Toomas Reede</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Harry Lusbo, Kaur Kangur, Kevin Kangur</v>
      </c>
      <c r="H119" s="243"/>
      <c r="I119" s="654"/>
      <c r="J119" s="655"/>
      <c r="K119" s="247">
        <v>1</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Harry Lusbo, Kaur Kangur, Kevin Kangur</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Kristjan Raudsepp, Mihkel Palk, Ott Karl Kopel</v>
      </c>
      <c r="G123" s="241">
        <v>4</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Aigar Lusbo, Jaan Joonas, Toomas Hoole</v>
      </c>
      <c r="H124" s="74"/>
      <c r="K124" s="648">
        <v>8</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Aigar Lusbo, Jaan Joonas, Toomas Hoole</v>
      </c>
      <c r="D125" s="654"/>
      <c r="E125" s="654"/>
      <c r="F125" s="655"/>
      <c r="G125" s="244">
        <v>13</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Aimar Poom, Kertu Palm, Valmar Pantšenko</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Ivar Viljaste, Sirje Viljaste, Urmo Auväärt</v>
      </c>
      <c r="G127" s="241">
        <v>10</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Aimar Poom, Kertu Palm, Valmar Pantšenko</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Aimar Poom, Kertu Palm, Valmar Pantšenko</v>
      </c>
      <c r="D129" s="654"/>
      <c r="E129" s="654"/>
      <c r="F129" s="655"/>
      <c r="G129" s="244">
        <v>13</v>
      </c>
      <c r="H129" s="241"/>
      <c r="K129" s="247"/>
      <c r="M129" s="425" t="str">
        <f>IF(COUNT(K124,K128)=2,IF(K124&lt;K128,G124,G128),"")</f>
        <v>Aigar Lusbo, Jaan Joonas, Toomas Hoole</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Kristjan Raudsepp, Mihkel Palk, Ott Karl Kopel</v>
      </c>
      <c r="H131" s="74"/>
      <c r="K131" s="247">
        <v>1</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Ivar Viljaste, Sirje Viljaste, Urmo Auväärt</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Ivar Viljaste, Sirje Viljaste, Urmo Auväärt</v>
      </c>
      <c r="H133" s="243"/>
      <c r="I133" s="654"/>
      <c r="J133" s="655"/>
      <c r="K133" s="247">
        <v>13</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Kristjan Raudsepp, Mihkel Palk, Ott Karl Kopel</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Janek Kiisk, Kalju Olmre, Ruudi Väärtnõu</v>
      </c>
      <c r="C140" s="74">
        <v>7</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Katri Aavekukk, Külli Kariste, Marju Velga</v>
      </c>
      <c r="G141" s="419">
        <v>13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tr">
        <f>IFERROR(INDEX(B$1:B$99,MATCH(A142,A$1:A$99,0)),"")</f>
        <v>Katri Aavekukk, Külli Kariste, Marju Velga</v>
      </c>
      <c r="C142" s="646">
        <v>13</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Katri Aavekukk, Külli Kariste, Marju Velga</v>
      </c>
      <c r="H143" s="74"/>
      <c r="K143" s="241">
        <v>2</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Aigi Orro, Elmo Lageda, Kalle Orro</v>
      </c>
      <c r="C144" s="74">
        <v>13</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Aigi Orro, Elmo Lageda, Kalle Orro</v>
      </c>
      <c r="D145" s="654"/>
      <c r="E145" s="654"/>
      <c r="F145" s="655"/>
      <c r="G145" s="247">
        <v>10</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Kevin Sten Liik, Marek Lehis, Margo Peebo</v>
      </c>
      <c r="C146" s="642">
        <v>8</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Andrus Tommula, Markus Erik Tommula, Vahur Raudsepp</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Mati Rõõm, Mihkel Lillemets, Robert Schmidt</v>
      </c>
      <c r="C148" s="74">
        <v>13</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Mati Rõõm, Mihkel Lillemets, Robert Schmidt</v>
      </c>
      <c r="G149" s="247">
        <v>9</v>
      </c>
      <c r="H149" s="49"/>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Egert Kingissepp, Marge Mägi, Piret Kopel</v>
      </c>
      <c r="C150" s="646">
        <v>3</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Andrus Tommula, Markus Erik Tommula, Vahur Raudsepp</v>
      </c>
      <c r="H151" s="243"/>
      <c r="I151" s="654"/>
      <c r="J151" s="655"/>
      <c r="K151" s="247">
        <v>13</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Andrus Tommula, Markus Erik Tommula, Vahur Raudsepp</v>
      </c>
      <c r="C152" s="74">
        <v>13</v>
      </c>
      <c r="D152" s="262"/>
      <c r="E152" s="262"/>
      <c r="F152" s="653"/>
      <c r="G152" s="49"/>
      <c r="H152" s="49"/>
      <c r="K152" s="49"/>
      <c r="M152" s="425" t="str">
        <f>IF(COUNT(K143,K151)=2,IF(K143&lt;K151,G143,G151),"")</f>
        <v>Katri Aavekukk, Külli Kariste, Marju Velga</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Andrus Tommula, Markus Erik Tommula, Vahur Raudsepp</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Danel Pilv, Mare Kingissepp, Silver Kingissepp</v>
      </c>
      <c r="C154" s="646">
        <v>12</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Aigi Orro, Elmo Lageda, Kalle Orro</v>
      </c>
      <c r="H155" s="74"/>
      <c r="K155" s="247">
        <v>13</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Aigi Orro, Elmo Lageda, Kalle Orro</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Mati Rõõm, Mihkel Lillemets, Robert Schmidt</v>
      </c>
      <c r="H157" s="243"/>
      <c r="I157" s="654"/>
      <c r="J157" s="655"/>
      <c r="K157" s="828">
        <v>0</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Mati Rõõm, Mihkel Lillemets, Robert Schmidt</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Janek Kiisk, Kalju Olmre, Ruudi Väärtnõu</v>
      </c>
      <c r="G161" s="241">
        <v>13</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Janek Kiisk, Kalju Olmre, Ruudi Väärtnõu</v>
      </c>
      <c r="H162" s="74"/>
      <c r="K162" s="648">
        <v>10</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Kevin Sten Liik, Marek Lehis, Margo Peebo</v>
      </c>
      <c r="D163" s="654"/>
      <c r="E163" s="654"/>
      <c r="F163" s="655"/>
      <c r="G163" s="244">
        <v>9</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Danel Pilv, Mare Kingissepp, Silver Kingissepp</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Egert Kingissepp, Marge Mägi, Piret Kopel</v>
      </c>
      <c r="G165" s="241">
        <v>6</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Danel Pilv, Mare Kingissepp, Silver Kingissepp</v>
      </c>
      <c r="H166" s="243"/>
      <c r="I166" s="654"/>
      <c r="J166" s="655"/>
      <c r="K166" s="247">
        <v>13</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Danel Pilv, Mare Kingissepp, Silver Kingissepp</v>
      </c>
      <c r="D167" s="654"/>
      <c r="E167" s="654"/>
      <c r="F167" s="655"/>
      <c r="G167" s="244">
        <v>13</v>
      </c>
      <c r="H167" s="241"/>
      <c r="K167" s="247"/>
      <c r="M167" s="425" t="str">
        <f>IF(COUNT(K162,K166)=2,IF(K162&lt;K166,G162,G166),"")</f>
        <v>Janek Kiisk, Kalju Olmre, Ruudi Väärtnõu</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Kevin Sten Liik, Marek Lehis, Margo Peebo</v>
      </c>
      <c r="H169" s="74"/>
      <c r="K169" s="247">
        <v>7</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Egert Kingissepp, Marge Mägi, Piret Kopel</v>
      </c>
      <c r="N170" s="252"/>
      <c r="O170" s="262"/>
      <c r="S170" s="69"/>
      <c r="T170" s="69"/>
      <c r="U170" s="69"/>
      <c r="V170" s="69"/>
      <c r="W170" s="69"/>
      <c r="X170" s="69"/>
      <c r="Y170" s="69"/>
      <c r="Z170" s="69"/>
    </row>
    <row r="171" spans="1:27" x14ac:dyDescent="0.2">
      <c r="A171" s="74"/>
      <c r="B171" s="74"/>
      <c r="C171" s="247"/>
      <c r="G171" s="417" t="str">
        <f>IF(COUNT(G165,G167)=2,IF(G165&lt;G167,C165,C167),"")</f>
        <v>Egert Kingissepp, Marge Mägi, Piret Kopel</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Kevin Sten Liik, Marek Lehis, Margo Peebo</v>
      </c>
      <c r="N173" s="252"/>
      <c r="O173" s="262"/>
    </row>
    <row r="174" spans="1:27" x14ac:dyDescent="0.2">
      <c r="A174" s="202"/>
      <c r="B174" s="260"/>
      <c r="C174" s="204"/>
      <c r="G174" s="204"/>
      <c r="H174" s="204"/>
      <c r="K174" s="259"/>
      <c r="M174" s="250" t="s">
        <v>543</v>
      </c>
      <c r="N174" s="238"/>
      <c r="O174" s="262"/>
    </row>
    <row r="176" spans="1:27" x14ac:dyDescent="0.2">
      <c r="A176" s="239" t="s">
        <v>757</v>
      </c>
      <c r="B176" s="53"/>
      <c r="C176" s="53"/>
      <c r="G176" s="53"/>
      <c r="H176" s="53"/>
      <c r="K176" s="69"/>
      <c r="L176" s="69"/>
      <c r="M176" s="69"/>
    </row>
    <row r="177" spans="1:22" x14ac:dyDescent="0.2">
      <c r="A177" s="67"/>
      <c r="B177" s="53"/>
      <c r="C177" s="53"/>
      <c r="G177" s="53"/>
      <c r="H177" s="446">
        <v>18</v>
      </c>
      <c r="K177" s="69"/>
      <c r="L177" s="69"/>
      <c r="O177" s="262"/>
    </row>
    <row r="178" spans="1:22" x14ac:dyDescent="0.2">
      <c r="A178" s="831" t="s">
        <v>913</v>
      </c>
      <c r="B178" s="416"/>
      <c r="C178" s="955">
        <v>1</v>
      </c>
      <c r="D178" s="956"/>
      <c r="E178" s="957"/>
      <c r="F178" s="832">
        <v>2</v>
      </c>
      <c r="G178" s="955">
        <v>3</v>
      </c>
      <c r="H178" s="956"/>
      <c r="I178" s="957"/>
      <c r="J178" s="832">
        <v>4</v>
      </c>
      <c r="K178" s="955">
        <v>5</v>
      </c>
      <c r="L178" s="956"/>
      <c r="M178" s="957"/>
      <c r="N178" s="832" t="s">
        <v>498</v>
      </c>
      <c r="O178" s="958" t="s">
        <v>25</v>
      </c>
      <c r="P178" s="959"/>
      <c r="Q178" s="960"/>
      <c r="R178" s="833" t="s">
        <v>512</v>
      </c>
      <c r="S178" s="834" t="s">
        <v>512</v>
      </c>
      <c r="T178" s="835" t="s">
        <v>912</v>
      </c>
      <c r="V178" s="238" t="b">
        <f>OR(AND(COUNTA(B179:B183)=3,COUNTA(C179:K183)=6),AND(COUNTA(B179:B183)=4,COUNTA(C179:K183)=12),AND(COUNTA(B179:B183)=5,COUNTA(C179:K183)=20))</f>
        <v>1</v>
      </c>
    </row>
    <row r="179" spans="1:22" x14ac:dyDescent="0.2">
      <c r="A179" s="831">
        <v>1</v>
      </c>
      <c r="B179" s="266" t="str">
        <f>IFERROR(INDEX(B$1:B$100,MATCH(17,A$1:A$100,0)),"")</f>
        <v>Angelika Tauk, Hardo Sokk, Toomas Tauk</v>
      </c>
      <c r="C179" s="952"/>
      <c r="D179" s="953"/>
      <c r="E179" s="954"/>
      <c r="F179" s="42">
        <v>13</v>
      </c>
      <c r="G179" s="943">
        <v>13</v>
      </c>
      <c r="H179" s="944"/>
      <c r="I179" s="945"/>
      <c r="J179" s="837"/>
      <c r="K179" s="946"/>
      <c r="L179" s="947"/>
      <c r="M179" s="948"/>
      <c r="N179" s="843" t="str">
        <f>(IF(F179&gt;C180,1)+IF(G179&gt;C181,1)+IF(J179&gt;C182,1)+IF(K179&gt;C183,1))&amp;"-"&amp;(IF(F179&lt;C180,1)+IF(G179&lt;C181,1)+IF(J179&lt;C182,1)+IF(K179&lt;C183,1))</f>
        <v>2-0</v>
      </c>
      <c r="O179" s="949" t="str">
        <f>IF(AND(B179&lt;&gt;"",V$178=TRUE),A$178&amp;RANK(V179,V$179:V$183,0),"")</f>
        <v>X1</v>
      </c>
      <c r="P179" s="950"/>
      <c r="Q179" s="951"/>
      <c r="R179" s="838">
        <f>VALUE(LEFT(N179,1))</f>
        <v>2</v>
      </c>
      <c r="S179" s="839">
        <f>IF(AND(R179=1,R180=1,F179&gt;C180),1)+IF(AND(R179=1,R181=1,G179&gt;C181),1)+IF(AND(R179=1,R182=1,J179&gt;C182),1)+IF(AND(R179=1,R183=1,K179&gt;C183),1)+IF(AND(R179=2,R180=2,F179&gt;C180),1)+IF(AND(R179=2,R181=2,G179&gt;C181),1)+IF(AND(R179=2,R182=2,J179&gt;C182),1)+IF(AND(R179=2,R183=2,K179&gt;C183),1)+IF(AND(R179=3,R180=3,F179&gt;C180),1)+IF(AND(R179=3,R181=3,G179&gt;C181),1)+IF(AND(R179=3,R182=3,J179&gt;C182),1)+IF(AND(R179=3,R183=3,K179&gt;C183),1)</f>
        <v>0</v>
      </c>
      <c r="T179" s="840">
        <f>IF(AND(R179=1,R180=1),F179-C180)+IF(AND(R179=1,R181=1),G179-C181)+IF(AND(R179=1,R182=1),J179-C182)+IF(AND(R179=1,R183=1),K179-C183)+IF(AND(R179=2,R180=2),F179-C180)+IF(AND(R179=2,R181=2),G179-C181)+IF(AND(R179=2,R182=2),J179-C182)+IF(AND(R179=2,R183=2),K179-C183)+IF(AND(R179=3,R180=3),F179-C180)+IF(AND(R179=3,R181=3),G179-C181)+IF(AND(R179=3,R182=3),J179-C182)+IF(AND(R179=3,R183=3),K179-C183)</f>
        <v>0</v>
      </c>
      <c r="V179" s="844">
        <f>10000*R179+S179*100+T179</f>
        <v>20000</v>
      </c>
    </row>
    <row r="180" spans="1:22" x14ac:dyDescent="0.2">
      <c r="A180" s="831">
        <v>2</v>
      </c>
      <c r="B180" s="266" t="str">
        <f>IFERROR(INDEX(B$1:B$100,MATCH(18,A$1:A$100,0)),"")</f>
        <v>Maive Sein, Maris Rõõm, Varje Reede</v>
      </c>
      <c r="C180" s="943">
        <v>3</v>
      </c>
      <c r="D180" s="944"/>
      <c r="E180" s="945"/>
      <c r="F180" s="836"/>
      <c r="G180" s="946">
        <v>10</v>
      </c>
      <c r="H180" s="947"/>
      <c r="I180" s="948"/>
      <c r="J180" s="837"/>
      <c r="K180" s="946"/>
      <c r="L180" s="947"/>
      <c r="M180" s="948"/>
      <c r="N180" s="816" t="str">
        <f>(IF(C180&gt;F179,1)+IF(G180&gt;F181,1)+IF(J180&gt;F182,1)+IF(K180&gt;F183,1))&amp;"-"&amp;(IF(C180&lt;F179,1)+IF(G180&lt;F181,1)+IF(J180&lt;F182,1)+IF(K180&lt;F183,1))</f>
        <v>0-2</v>
      </c>
      <c r="O180" s="949" t="str">
        <f t="shared" ref="O180:O183" si="15">IF(AND(B180&lt;&gt;"",V$178=TRUE),A$178&amp;RANK(V180,V$179:V$183,0),"")</f>
        <v>X3</v>
      </c>
      <c r="P180" s="950"/>
      <c r="Q180" s="951"/>
      <c r="R180" s="838">
        <f>VALUE(LEFT(N180,1))</f>
        <v>0</v>
      </c>
      <c r="S180" s="841">
        <f>IF(AND(R180=1,R179=1,C180&gt;F179),1)+IF(AND(R180=1,R181=1,G180&gt;F181),1)+IF(AND(R180=1,R182=1,J180&gt;F182),1)+IF(AND(R180=1,R183=1,K180&gt;F183),1)+IF(AND(R180=2,R179=2,C180&gt;F179),1)+IF(AND(R180=2,R181=2,G180&gt;F181),1)+IF(AND(R180=2,R182=2,J180&gt;F182),1)+IF(AND(R180=2,R183=2,K180&gt;F183),1)+IF(AND(R180=3,R179=3,C180&gt;F179),1)+IF(AND(R180=3,R181=3,G180&gt;F181),1)+IF(AND(R180=3,R182=3,J180&gt;F182),1)+IF(AND(R180=3,R183=3,K180&gt;F183),1)</f>
        <v>0</v>
      </c>
      <c r="T180" s="840">
        <f>IF(AND(R180=1,R179=1),C180-F179)+IF(AND(R180=1,R181=1),G180-F181)+IF(AND(R180=1,R182=1),J180-F182)+IF(AND(R180=1,R183=1),K180-F183)+IF(AND(R180=2,R179=2),C180-F179)+IF(AND(R180=2,R181=2),G180-F181)+IF(AND(R180=2,R182=2),J180-F182)+IF(AND(R180=2,R183=2),K180-F183)+IF(AND(R180=3,R179=3),C180-F179)+IF(AND(R180=3,R181=3),G180-F181)+IF(AND(R180=3,R182=3),J180-F182)+IF(AND(R180=3,R183=3),K180-F183)</f>
        <v>0</v>
      </c>
      <c r="V180" s="844">
        <f>10000*R180+S180*100+T180</f>
        <v>0</v>
      </c>
    </row>
    <row r="181" spans="1:22" x14ac:dyDescent="0.2">
      <c r="A181" s="831">
        <v>3</v>
      </c>
      <c r="B181" s="266" t="str">
        <f>IFERROR(INDEX(B$1:B$100,MATCH(19,A$1:A$100,0)),"")</f>
        <v>Henri Mitt, Johannes Neiland, Kenneth Muusikus</v>
      </c>
      <c r="C181" s="943">
        <v>8</v>
      </c>
      <c r="D181" s="944"/>
      <c r="E181" s="945"/>
      <c r="F181" s="837">
        <v>13</v>
      </c>
      <c r="G181" s="952"/>
      <c r="H181" s="953"/>
      <c r="I181" s="954"/>
      <c r="J181" s="837"/>
      <c r="K181" s="946"/>
      <c r="L181" s="947"/>
      <c r="M181" s="948"/>
      <c r="N181" s="816" t="str">
        <f>(IF(C181&gt;G179,1)+IF(F181&gt;G180,1)+IF(J181&gt;G182,1)+IF(K181&gt;G183,1))&amp;"-"&amp;(IF(C181&lt;G179,1)+IF(F181&lt;G180,1)+IF(J181&lt;G182,1)+IF(K181&lt;G183,1))</f>
        <v>1-1</v>
      </c>
      <c r="O181" s="949" t="str">
        <f t="shared" si="15"/>
        <v>X2</v>
      </c>
      <c r="P181" s="950"/>
      <c r="Q181" s="951"/>
      <c r="R181" s="838">
        <f>VALUE(LEFT(N181,1))</f>
        <v>1</v>
      </c>
      <c r="S181" s="841">
        <f>IF(AND(R181=1,R179=1,C181&gt;G179),1)+IF(AND(R181=1,R180=1,F181&gt;G180),1)+IF(AND(R181=1,R182=1,J181&gt;G182),1)+IF(AND(R181=1,R183=1,K181&gt;G183),1)+IF(AND(R181=2,R179=2,C181&gt;G179),1)+IF(AND(R181=2,R180=2,F181&gt;G180),1)+IF(AND(R181=2,R182=2,J181&gt;G182),1)+IF(AND(R181=2,R183=2,K181&gt;G183),1)+IF(AND(R181=3,R179=3,C181&gt;G179),1)+IF(AND(R181=3,R180=3,F181&gt;G180),1)+IF(AND(R181=3,R182=3,J181&gt;G182),1)+IF(AND(R181=3,R183=3,K181&gt;G183),1)</f>
        <v>0</v>
      </c>
      <c r="T181" s="840">
        <f>IF(AND(R181=1,R179=1),C181-G179)+IF(AND(R181=1,R180=1),F181-G180)+IF(AND(R181=1,R182=1),J181-G182)+IF(AND(R181=1,R183=1),K181-G183)+IF(AND(R181=2,R179=2),C181-G179)+IF(AND(R181=2,R180=2),F181-G180)+IF(AND(R181=2,R182=2),J181-G182)+IF(AND(R181=2,R183=2),K181-G183)+IF(AND(R181=3,R179=3),C181-G179)+IF(AND(R181=3,R180=3),F181-G180)+IF(AND(R181=3,R182=3),J181-G182)+IF(AND(R181=3,R183=3),K181-G183)</f>
        <v>0</v>
      </c>
      <c r="V181" s="844">
        <f>10000*R181+S181*100+T181</f>
        <v>10000</v>
      </c>
    </row>
    <row r="182" spans="1:22" x14ac:dyDescent="0.2">
      <c r="A182" s="831">
        <v>4</v>
      </c>
      <c r="B182" s="842"/>
      <c r="C182" s="943"/>
      <c r="D182" s="944"/>
      <c r="E182" s="945"/>
      <c r="F182" s="837"/>
      <c r="G182" s="946"/>
      <c r="H182" s="947"/>
      <c r="I182" s="948"/>
      <c r="J182" s="836"/>
      <c r="K182" s="946"/>
      <c r="L182" s="947"/>
      <c r="M182" s="948"/>
      <c r="N182" s="816" t="str">
        <f>(IF(C182&gt;J179,1)+IF(F182&gt;J180,1)+IF(G182&gt;J181,1)+IF(K182&gt;J183,1))&amp;"-"&amp;(IF(C182&lt;J179,1)+IF(F182&lt;J180,1)+IF(G182&lt;J181,1)+IF(K182&lt;J183,1))</f>
        <v>0-0</v>
      </c>
      <c r="O182" s="949" t="str">
        <f t="shared" si="15"/>
        <v/>
      </c>
      <c r="P182" s="950"/>
      <c r="Q182" s="951"/>
      <c r="R182" s="838">
        <f>VALUE(LEFT(N182,1))</f>
        <v>0</v>
      </c>
      <c r="S182" s="841">
        <f>IF(AND(R182=1,R179=1,C182&gt;J179),1)+IF(AND(R182=1,R180=1,F182&gt;J180),1)+IF(AND(R182=1,R181=1,G182&gt;J181),1)+IF(AND(R182=1,R183=1,K182&gt;J183),1)+IF(AND(R182=2,R179=2,C182&gt;J179),1)+IF(AND(R182=2,R180=2,F182&gt;J180),1)+IF(AND(R182=2,R181=2,G182&gt;J181),1)+IF(AND(R182=2,R183=2,K182&gt;J183),1)+IF(AND(R182=3,R179=3,C182&gt;J179),1)+IF(AND(R182=3,R180=3,F182&gt;J180),1)+IF(AND(R182=3,R181=3,G182&gt;J181),1)+IF(AND(R182=3,R183=3,K182&gt;J183),1)</f>
        <v>0</v>
      </c>
      <c r="T182" s="840">
        <f>IF(AND(R182=1,R179=1),C182-J179)+IF(AND(R182=1,R180=1),F182-J180)+IF(AND(R182=1,R181=1),G182-J181)+IF(AND(R182=1,R183=1),K182-J183)+IF(AND(R182=2,R179=2),C182-J179)+IF(AND(R182=2,R180=2),F182-J180)+IF(AND(R182=2,R181=2),G182-J181)+IF(AND(R182=2,R183=2),K182-J183)+IF(AND(R182=3,R179=3),C182-J179)+IF(AND(R182=3,R180=3),F182-J180)+IF(AND(R182=3,R181=3),G182-J181)+IF(AND(R182=3,R183=3),K182-J183)</f>
        <v>0</v>
      </c>
      <c r="V182" s="844">
        <f>10000*R182+S182*100+T182</f>
        <v>0</v>
      </c>
    </row>
    <row r="183" spans="1:22" x14ac:dyDescent="0.2">
      <c r="A183" s="831">
        <v>5</v>
      </c>
      <c r="B183" s="842"/>
      <c r="C183" s="943"/>
      <c r="D183" s="944"/>
      <c r="E183" s="945"/>
      <c r="F183" s="837"/>
      <c r="G183" s="946"/>
      <c r="H183" s="947"/>
      <c r="I183" s="948"/>
      <c r="J183" s="837"/>
      <c r="K183" s="952"/>
      <c r="L183" s="953"/>
      <c r="M183" s="954"/>
      <c r="N183" s="816" t="str">
        <f>(IF(C183&gt;K179,1)+IF(F183&gt;K180,1)+IF(G183&gt;K181,1)+IF(J183&gt;K182,1))&amp;"-"&amp;(IF(C183&lt;K179,1)+IF(F183&lt;K180,1)+IF(G183&lt;K181,1)+IF(J183&lt;K182,1))</f>
        <v>0-0</v>
      </c>
      <c r="O183" s="949" t="str">
        <f t="shared" si="15"/>
        <v/>
      </c>
      <c r="P183" s="950"/>
      <c r="Q183" s="951"/>
      <c r="R183" s="838">
        <f>VALUE(LEFT(N183,1))</f>
        <v>0</v>
      </c>
      <c r="S183" s="841">
        <f>IF(AND(R183=1,R179=1,C183&gt;K179),1)+IF(AND(R183=1,R180=1,F183&gt;K180),1)+IF(AND(R183=1,R181=1,G183&gt;K181),1)+IF(AND(R183=1,R182=1,J183&gt;K182),1)+IF(AND(R183=2,R179=2,C183&gt;K179),1)+IF(AND(R183=2,R180=2,F183&gt;K180),1)+IF(AND(R183=2,R181=2,G183&gt;K181),1)+IF(AND(R183=2,R182=2,J183&gt;K182),1)+IF(AND(R183=3,R179=3,C183&gt;K179),1)+IF(AND(R183=3,R180=3,F183&gt;K180),1)+IF(AND(R183=3,R181=3,G183&gt;K181),1)+IF(AND(R183=3,R182=3,J183&gt;K182),1)</f>
        <v>0</v>
      </c>
      <c r="T183" s="840">
        <f>IF(AND(R183=1,R179=1),C183-K179)+IF(AND(R183=1,R180=1),F183-K180)+IF(AND(R183=1,R181=1),G183-K181)+IF(AND(R183=1,R182=1),J183-K182)+IF(AND(R183=2,R179=2),C183-K179)+IF(AND(R183=2,R180=2),F183-K180)+IF(AND(R183=2,R181=2),G183-K181)+IF(AND(R183=2,R182=2),J183-K182)+IF(AND(R183=3,R179=3),C183-K179)+IF(AND(R183=3,R180=3),F183-K180)+IF(AND(R183=3,R181=3),G183-K181)+IF(AND(R183=3,R182=3),J183-K182)</f>
        <v>0</v>
      </c>
      <c r="V183" s="844">
        <f>10000*R183+S183*100+T183</f>
        <v>0</v>
      </c>
    </row>
    <row r="184" spans="1:22" x14ac:dyDescent="0.2">
      <c r="K184" s="69"/>
    </row>
    <row r="185" spans="1:22" ht="13.5" thickBot="1" x14ac:dyDescent="0.25">
      <c r="K185" s="605" t="s">
        <v>914</v>
      </c>
      <c r="L185" s="69"/>
      <c r="M185" s="425" t="str">
        <f>IFERROR(INDEX(B$179:B$183,MATCH(K185,O$179:O$183,0)),"")</f>
        <v>Angelika Tauk, Hardo Sokk, Toomas Tauk</v>
      </c>
      <c r="N185" s="252"/>
    </row>
    <row r="186" spans="1:22" x14ac:dyDescent="0.2">
      <c r="K186" s="605"/>
      <c r="L186" s="69"/>
      <c r="M186" s="253" t="s">
        <v>544</v>
      </c>
      <c r="N186" s="49"/>
    </row>
    <row r="187" spans="1:22" x14ac:dyDescent="0.2">
      <c r="K187" s="605"/>
      <c r="L187" s="69"/>
      <c r="M187" s="49"/>
      <c r="N187" s="49"/>
    </row>
    <row r="188" spans="1:22" ht="13.5" thickBot="1" x14ac:dyDescent="0.25">
      <c r="K188" s="605" t="s">
        <v>915</v>
      </c>
      <c r="L188" s="69"/>
      <c r="M188" s="425" t="str">
        <f>IFERROR(INDEX(B$179:B$183,MATCH(K188,O$179:O$183,0)),"")</f>
        <v>Henri Mitt, Johannes Neiland, Kenneth Muusikus</v>
      </c>
      <c r="N188" s="252"/>
    </row>
    <row r="189" spans="1:22" x14ac:dyDescent="0.2">
      <c r="K189" s="605"/>
      <c r="L189" s="69"/>
      <c r="M189" s="250" t="s">
        <v>545</v>
      </c>
      <c r="N189" s="238"/>
    </row>
    <row r="190" spans="1:22" x14ac:dyDescent="0.2">
      <c r="K190" s="605"/>
      <c r="L190" s="69"/>
      <c r="M190" s="69"/>
    </row>
    <row r="191" spans="1:22" ht="13.5" thickBot="1" x14ac:dyDescent="0.25">
      <c r="K191" s="605" t="s">
        <v>916</v>
      </c>
      <c r="L191" s="69"/>
      <c r="M191" s="425" t="str">
        <f>IFERROR(INDEX(B$179:B$183,MATCH(K191,O$179:O$183,0)),"")</f>
        <v>Maive Sein, Maris Rõõm, Varje Reede</v>
      </c>
      <c r="N191" s="252"/>
    </row>
    <row r="192" spans="1:22" x14ac:dyDescent="0.2">
      <c r="K192" s="69"/>
      <c r="L192" s="69"/>
      <c r="M192" s="250" t="s">
        <v>546</v>
      </c>
      <c r="N192" s="238"/>
    </row>
    <row r="193" spans="11:13" hidden="1" x14ac:dyDescent="0.2"/>
    <row r="194" spans="11:13" hidden="1" x14ac:dyDescent="0.2"/>
    <row r="195" spans="11:13" hidden="1" x14ac:dyDescent="0.2"/>
    <row r="196" spans="11:13" hidden="1" x14ac:dyDescent="0.2"/>
    <row r="197" spans="11:13" hidden="1" x14ac:dyDescent="0.2"/>
    <row r="198" spans="11:13" hidden="1" x14ac:dyDescent="0.2">
      <c r="K198" s="69"/>
      <c r="L198" s="69"/>
      <c r="M198" s="69"/>
    </row>
    <row r="199" spans="11:13" hidden="1" x14ac:dyDescent="0.2">
      <c r="K199" s="69"/>
      <c r="L199" s="69"/>
      <c r="M199" s="69"/>
    </row>
    <row r="200" spans="11:13" hidden="1" x14ac:dyDescent="0.2">
      <c r="K200" s="69"/>
      <c r="L200" s="69"/>
      <c r="M200" s="69"/>
    </row>
    <row r="201" spans="11:13" hidden="1" x14ac:dyDescent="0.2">
      <c r="K201" s="69"/>
      <c r="L201" s="69"/>
      <c r="M201" s="69"/>
    </row>
    <row r="202" spans="11:13" hidden="1" x14ac:dyDescent="0.2">
      <c r="K202" s="69"/>
      <c r="L202" s="69"/>
      <c r="M202" s="69"/>
    </row>
    <row r="203" spans="11:13" hidden="1" x14ac:dyDescent="0.2">
      <c r="K203" s="69"/>
      <c r="L203" s="69"/>
      <c r="M203" s="69"/>
    </row>
    <row r="204" spans="11:13" hidden="1" x14ac:dyDescent="0.2">
      <c r="K204" s="69"/>
      <c r="L204" s="69"/>
      <c r="M204" s="69"/>
    </row>
    <row r="205" spans="11:13" hidden="1" x14ac:dyDescent="0.2">
      <c r="K205" s="69"/>
      <c r="L205" s="69"/>
      <c r="M205" s="69"/>
    </row>
    <row r="206" spans="11:13" hidden="1" x14ac:dyDescent="0.2">
      <c r="K206" s="69"/>
      <c r="L206" s="69"/>
      <c r="M206" s="69"/>
    </row>
    <row r="207" spans="11:13" hidden="1" x14ac:dyDescent="0.2">
      <c r="K207" s="69"/>
      <c r="L207" s="69"/>
      <c r="M207" s="69"/>
    </row>
    <row r="208" spans="11:13" hidden="1" x14ac:dyDescent="0.2">
      <c r="K208" s="69"/>
      <c r="L208" s="69"/>
      <c r="M208" s="69"/>
    </row>
    <row r="209" spans="11:13" hidden="1" x14ac:dyDescent="0.2">
      <c r="K209" s="69"/>
      <c r="L209" s="69"/>
      <c r="M209" s="69"/>
    </row>
    <row r="210" spans="11:13" hidden="1" x14ac:dyDescent="0.2">
      <c r="K210" s="69"/>
      <c r="L210" s="69"/>
      <c r="M210" s="69"/>
    </row>
    <row r="211" spans="11:13" hidden="1" x14ac:dyDescent="0.2">
      <c r="K211" s="69"/>
      <c r="L211" s="69"/>
      <c r="M211" s="69"/>
    </row>
    <row r="212" spans="11:13" hidden="1" x14ac:dyDescent="0.2">
      <c r="K212" s="69"/>
      <c r="L212" s="69"/>
      <c r="M212" s="69"/>
    </row>
    <row r="213" spans="11:13" hidden="1" x14ac:dyDescent="0.2">
      <c r="K213" s="69"/>
      <c r="L213" s="69"/>
      <c r="M213" s="69"/>
    </row>
    <row r="214" spans="11:13" hidden="1" x14ac:dyDescent="0.2"/>
    <row r="215" spans="11:13" hidden="1" x14ac:dyDescent="0.2"/>
    <row r="216" spans="11:13" hidden="1" x14ac:dyDescent="0.2"/>
    <row r="217" spans="11:13" hidden="1" x14ac:dyDescent="0.2"/>
    <row r="218" spans="11:13" hidden="1" x14ac:dyDescent="0.2"/>
    <row r="219" spans="11:13" hidden="1" x14ac:dyDescent="0.2"/>
    <row r="220" spans="11:13" hidden="1" x14ac:dyDescent="0.2"/>
    <row r="221" spans="11:13" hidden="1" x14ac:dyDescent="0.2"/>
    <row r="222" spans="11:13" hidden="1" x14ac:dyDescent="0.2"/>
    <row r="223" spans="11:13" hidden="1" x14ac:dyDescent="0.2"/>
    <row r="224" spans="1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S298" s="262"/>
      <c r="AT298" s="262"/>
    </row>
    <row r="299" spans="1:46" x14ac:dyDescent="0.2">
      <c r="A299" s="623"/>
      <c r="B299" s="623"/>
      <c r="C299" s="663" t="s">
        <v>220</v>
      </c>
      <c r="D299" s="611"/>
      <c r="E299" s="611"/>
      <c r="AS299" s="262"/>
      <c r="AT299" s="262"/>
    </row>
    <row r="300" spans="1:46" x14ac:dyDescent="0.2">
      <c r="A300" s="624">
        <v>1</v>
      </c>
      <c r="B300" s="680" t="str">
        <f t="shared" ref="B300:B317" si="16">IFERROR(INDEX(M$100:M$298,MATCH(A300&amp;". koht",M$101:M$299,0)),"")</f>
        <v>Margus Berkmann, Meelis Münt, Veiko Proos</v>
      </c>
      <c r="C300" s="664">
        <v>173</v>
      </c>
      <c r="D300" s="74"/>
      <c r="E300" s="74"/>
      <c r="AS300" s="262"/>
      <c r="AT300" s="262"/>
    </row>
    <row r="301" spans="1:46" x14ac:dyDescent="0.2">
      <c r="A301" s="624">
        <v>2</v>
      </c>
      <c r="B301" s="261" t="str">
        <f t="shared" si="16"/>
        <v>Allar Elerand, Andero Kelu, Kaido Kopel</v>
      </c>
      <c r="C301" s="665">
        <v>158</v>
      </c>
      <c r="D301" s="606"/>
      <c r="E301" s="606"/>
      <c r="AS301" s="262"/>
      <c r="AT301" s="262"/>
    </row>
    <row r="302" spans="1:46" x14ac:dyDescent="0.2">
      <c r="A302" s="624">
        <v>3</v>
      </c>
      <c r="B302" s="261" t="str">
        <f t="shared" si="16"/>
        <v>Aivar Sein, Marek Kolk, Toomas Reede</v>
      </c>
      <c r="C302" s="665">
        <v>146</v>
      </c>
      <c r="D302" s="606"/>
      <c r="E302" s="606"/>
      <c r="AS302" s="262"/>
      <c r="AT302" s="262"/>
    </row>
    <row r="303" spans="1:46" x14ac:dyDescent="0.2">
      <c r="A303" s="624">
        <v>4</v>
      </c>
      <c r="B303" s="261" t="str">
        <f t="shared" si="16"/>
        <v>Harry Lusbo, Kaur Kangur, Kevin Kangur</v>
      </c>
      <c r="C303" s="665">
        <v>135</v>
      </c>
      <c r="D303" s="606"/>
      <c r="E303" s="606"/>
      <c r="AS303" s="262"/>
      <c r="AT303" s="262"/>
    </row>
    <row r="304" spans="1:46" x14ac:dyDescent="0.2">
      <c r="A304" s="624">
        <v>5</v>
      </c>
      <c r="B304" s="261" t="str">
        <f t="shared" si="16"/>
        <v>Aimar Poom, Kertu Palm, Valmar Pantšenko</v>
      </c>
      <c r="C304" s="665">
        <v>126</v>
      </c>
      <c r="D304" s="606"/>
      <c r="E304" s="606"/>
      <c r="AS304" s="262"/>
      <c r="AT304" s="262"/>
    </row>
    <row r="305" spans="1:46" x14ac:dyDescent="0.2">
      <c r="A305" s="624">
        <v>6</v>
      </c>
      <c r="B305" s="261" t="str">
        <f t="shared" si="16"/>
        <v>Aigar Lusbo, Jaan Joonas, Toomas Hoole</v>
      </c>
      <c r="C305" s="665">
        <v>119</v>
      </c>
      <c r="D305" s="606"/>
      <c r="E305" s="606"/>
      <c r="AS305" s="262"/>
      <c r="AT305" s="262"/>
    </row>
    <row r="306" spans="1:46" x14ac:dyDescent="0.2">
      <c r="A306" s="624">
        <v>7</v>
      </c>
      <c r="B306" s="261" t="str">
        <f t="shared" si="16"/>
        <v>Ivar Viljaste, Sirje Viljaste, Urmo Auväärt</v>
      </c>
      <c r="C306" s="665">
        <v>111</v>
      </c>
      <c r="D306" s="606"/>
      <c r="E306" s="606"/>
      <c r="AS306" s="262"/>
      <c r="AT306" s="262"/>
    </row>
    <row r="307" spans="1:46" x14ac:dyDescent="0.2">
      <c r="A307" s="624">
        <v>8</v>
      </c>
      <c r="B307" s="261" t="str">
        <f t="shared" si="16"/>
        <v>Kristjan Raudsepp, Mihkel Palk, Ott Karl Kopel</v>
      </c>
      <c r="C307" s="665">
        <v>104</v>
      </c>
      <c r="D307" s="606"/>
      <c r="E307" s="606"/>
      <c r="AS307" s="262"/>
      <c r="AT307" s="262"/>
    </row>
    <row r="308" spans="1:46" x14ac:dyDescent="0.2">
      <c r="A308" s="624">
        <v>9</v>
      </c>
      <c r="B308" s="261" t="str">
        <f t="shared" si="16"/>
        <v>Andrus Tommula, Markus Erik Tommula, Vahur Raudsepp</v>
      </c>
      <c r="C308" s="665">
        <v>96</v>
      </c>
      <c r="D308" s="606"/>
      <c r="E308" s="606"/>
      <c r="AS308" s="262"/>
      <c r="AT308" s="262"/>
    </row>
    <row r="309" spans="1:46" x14ac:dyDescent="0.2">
      <c r="A309" s="624">
        <v>10</v>
      </c>
      <c r="B309" s="261" t="str">
        <f t="shared" si="16"/>
        <v>Katri Aavekukk, Külli Kariste, Marju Velga</v>
      </c>
      <c r="C309" s="665">
        <v>90</v>
      </c>
      <c r="D309" s="606"/>
      <c r="E309" s="606"/>
      <c r="AS309" s="262"/>
      <c r="AT309" s="262"/>
    </row>
    <row r="310" spans="1:46" x14ac:dyDescent="0.2">
      <c r="A310" s="624">
        <v>11</v>
      </c>
      <c r="B310" s="261" t="str">
        <f t="shared" si="16"/>
        <v>Aigi Orro, Elmo Lageda, Kalle Orro</v>
      </c>
      <c r="C310" s="665">
        <v>84</v>
      </c>
      <c r="D310" s="606"/>
      <c r="E310" s="606"/>
      <c r="AS310" s="262"/>
      <c r="AT310" s="262"/>
    </row>
    <row r="311" spans="1:46" x14ac:dyDescent="0.2">
      <c r="A311" s="624">
        <v>12</v>
      </c>
      <c r="B311" s="261" t="str">
        <f t="shared" si="16"/>
        <v>Mati Rõõm, Mihkel Lillemets, Robert Schmidt</v>
      </c>
      <c r="C311" s="666">
        <v>78</v>
      </c>
      <c r="AS311" s="262"/>
      <c r="AT311" s="262"/>
    </row>
    <row r="312" spans="1:46" x14ac:dyDescent="0.2">
      <c r="A312" s="624">
        <v>13</v>
      </c>
      <c r="B312" s="261" t="str">
        <f t="shared" si="16"/>
        <v>Danel Pilv, Mare Kingissepp, Silver Kingissepp</v>
      </c>
      <c r="C312" s="666">
        <v>74</v>
      </c>
      <c r="AS312" s="262"/>
      <c r="AT312" s="262"/>
    </row>
    <row r="313" spans="1:46" x14ac:dyDescent="0.2">
      <c r="A313" s="624">
        <v>14</v>
      </c>
      <c r="B313" s="261" t="str">
        <f t="shared" si="16"/>
        <v>Janek Kiisk, Kalju Olmre, Ruudi Väärtnõu</v>
      </c>
      <c r="C313" s="666">
        <v>69</v>
      </c>
      <c r="AS313" s="262"/>
      <c r="AT313" s="262"/>
    </row>
    <row r="314" spans="1:46" x14ac:dyDescent="0.2">
      <c r="A314" s="624">
        <v>15</v>
      </c>
      <c r="B314" s="261" t="str">
        <f t="shared" si="16"/>
        <v>Egert Kingissepp, Marge Mägi, Piret Kopel</v>
      </c>
      <c r="C314" s="666">
        <v>65</v>
      </c>
      <c r="AS314" s="262"/>
      <c r="AT314" s="262"/>
    </row>
    <row r="315" spans="1:46" x14ac:dyDescent="0.2">
      <c r="A315" s="624">
        <v>16</v>
      </c>
      <c r="B315" s="261" t="str">
        <f t="shared" si="16"/>
        <v>Kevin Sten Liik, Marek Lehis, Margo Peebo</v>
      </c>
      <c r="C315" s="666">
        <v>60</v>
      </c>
      <c r="Z315" s="415"/>
      <c r="AA315" s="415"/>
      <c r="AB315" s="415"/>
      <c r="AC315" s="415"/>
      <c r="AD315" s="415"/>
      <c r="AE315" s="415"/>
      <c r="AS315" s="262"/>
      <c r="AT315" s="262"/>
    </row>
    <row r="316" spans="1:46" x14ac:dyDescent="0.2">
      <c r="A316" s="624">
        <v>17</v>
      </c>
      <c r="B316" s="261" t="str">
        <f t="shared" si="16"/>
        <v>Angelika Tauk, Hardo Sokk, Toomas Tauk</v>
      </c>
      <c r="C316" s="666">
        <v>56</v>
      </c>
      <c r="Z316" s="415"/>
      <c r="AA316" s="415"/>
      <c r="AB316" s="415"/>
      <c r="AC316" s="415"/>
      <c r="AD316" s="415"/>
      <c r="AE316" s="415"/>
      <c r="AS316" s="262"/>
      <c r="AT316" s="262"/>
    </row>
    <row r="317" spans="1:46" x14ac:dyDescent="0.2">
      <c r="A317" s="624">
        <v>18</v>
      </c>
      <c r="B317" s="261" t="str">
        <f t="shared" si="16"/>
        <v>Henri Mitt, Johannes Neiland, Kenneth Muusikus</v>
      </c>
      <c r="C317" s="666">
        <v>51</v>
      </c>
      <c r="Z317" s="415"/>
      <c r="AA317" s="415"/>
      <c r="AB317" s="415"/>
      <c r="AC317" s="415"/>
      <c r="AD317" s="415"/>
      <c r="AE317" s="415"/>
      <c r="AS317" s="262"/>
      <c r="AT317" s="262"/>
    </row>
    <row r="318" spans="1:46" x14ac:dyDescent="0.2">
      <c r="A318" s="624">
        <v>19</v>
      </c>
      <c r="B318" s="261" t="str">
        <f t="shared" ref="B318" si="17">IFERROR(INDEX(M$100:M$298,MATCH(A318&amp;". koht",M$101:M$299,0)),"")</f>
        <v>Maive Sein, Maris Rõõm, Varje Reede</v>
      </c>
      <c r="C318" s="666">
        <v>47</v>
      </c>
      <c r="Z318" s="415"/>
      <c r="AA318" s="415"/>
      <c r="AB318" s="415"/>
      <c r="AC318" s="415"/>
      <c r="AD318" s="415"/>
      <c r="AE318" s="415"/>
      <c r="AS318" s="262"/>
      <c r="AT318" s="262"/>
    </row>
    <row r="319" spans="1:46" hidden="1" x14ac:dyDescent="0.2">
      <c r="C319" s="666">
        <v>42</v>
      </c>
      <c r="Z319" s="415"/>
      <c r="AA319" s="415"/>
      <c r="AB319" s="415"/>
      <c r="AC319" s="415"/>
      <c r="AD319" s="415"/>
      <c r="AE319" s="415"/>
      <c r="AH319" s="262"/>
      <c r="AI319" s="262"/>
      <c r="AJ319" s="262"/>
      <c r="AK319" s="262"/>
      <c r="AL319" s="262"/>
      <c r="AM319" s="262"/>
      <c r="AN319" s="262"/>
      <c r="AO319" s="262"/>
      <c r="AP319" s="262"/>
      <c r="AQ319" s="262"/>
      <c r="AR319" s="262"/>
      <c r="AS319" s="262"/>
      <c r="AT319" s="262"/>
    </row>
    <row r="320" spans="1:46" hidden="1" x14ac:dyDescent="0.2">
      <c r="C320" s="666">
        <v>38</v>
      </c>
      <c r="Z320" s="415"/>
      <c r="AA320" s="415"/>
      <c r="AB320" s="415"/>
      <c r="AC320" s="415"/>
      <c r="AD320" s="415"/>
      <c r="AE320" s="415"/>
      <c r="AH320" s="262"/>
      <c r="AI320" s="262"/>
      <c r="AJ320" s="262"/>
      <c r="AK320" s="262"/>
      <c r="AL320" s="262"/>
      <c r="AM320" s="262"/>
      <c r="AN320" s="262"/>
      <c r="AO320" s="262"/>
      <c r="AP320" s="262"/>
      <c r="AQ320" s="262"/>
      <c r="AR320" s="262"/>
      <c r="AS320" s="262"/>
      <c r="AT320" s="262"/>
    </row>
    <row r="321" spans="3:46" hidden="1" x14ac:dyDescent="0.2">
      <c r="C321" s="666">
        <v>33</v>
      </c>
      <c r="Z321" s="415"/>
      <c r="AA321" s="415"/>
      <c r="AB321" s="415"/>
      <c r="AC321" s="415"/>
      <c r="AD321" s="415"/>
      <c r="AE321" s="415"/>
      <c r="AH321" s="262"/>
      <c r="AI321" s="262"/>
      <c r="AJ321" s="262"/>
      <c r="AK321" s="262"/>
      <c r="AL321" s="262"/>
      <c r="AM321" s="262"/>
      <c r="AN321" s="262"/>
      <c r="AO321" s="262"/>
      <c r="AP321" s="262"/>
      <c r="AQ321" s="262"/>
      <c r="AR321" s="262"/>
      <c r="AS321" s="262"/>
      <c r="AT321" s="262"/>
    </row>
    <row r="322" spans="3:46" hidden="1" x14ac:dyDescent="0.2">
      <c r="C322" s="666">
        <v>29</v>
      </c>
      <c r="Z322" s="415"/>
      <c r="AA322" s="415"/>
      <c r="AB322" s="415"/>
      <c r="AC322" s="415"/>
      <c r="AD322" s="415"/>
      <c r="AE322" s="415"/>
      <c r="AH322" s="262"/>
      <c r="AI322" s="262"/>
      <c r="AJ322" s="262"/>
      <c r="AK322" s="262"/>
      <c r="AL322" s="262"/>
      <c r="AM322" s="262"/>
      <c r="AN322" s="262"/>
      <c r="AO322" s="262"/>
      <c r="AP322" s="262"/>
      <c r="AQ322" s="262"/>
      <c r="AR322" s="262"/>
      <c r="AS322" s="262"/>
      <c r="AT322" s="262"/>
    </row>
    <row r="323" spans="3:46" hidden="1" x14ac:dyDescent="0.2">
      <c r="C323" s="666">
        <v>24</v>
      </c>
      <c r="Z323" s="415"/>
      <c r="AA323" s="415"/>
      <c r="AB323" s="415"/>
      <c r="AC323" s="415"/>
      <c r="AD323" s="415"/>
      <c r="AE323" s="415"/>
      <c r="AH323" s="262"/>
      <c r="AI323" s="262"/>
      <c r="AJ323" s="262"/>
      <c r="AK323" s="262"/>
      <c r="AL323" s="262"/>
      <c r="AM323" s="262"/>
      <c r="AN323" s="262"/>
      <c r="AO323" s="262"/>
      <c r="AP323" s="262"/>
      <c r="AQ323" s="262"/>
      <c r="AR323" s="262"/>
      <c r="AS323" s="262"/>
      <c r="AT323" s="262"/>
    </row>
    <row r="324" spans="3:46" hidden="1" x14ac:dyDescent="0.2">
      <c r="C324" s="666">
        <v>21</v>
      </c>
      <c r="Z324" s="415"/>
      <c r="AA324" s="415"/>
      <c r="AB324" s="415"/>
      <c r="AC324" s="415"/>
      <c r="AD324" s="415"/>
      <c r="AE324" s="415"/>
      <c r="AH324" s="262"/>
      <c r="AI324" s="262"/>
      <c r="AJ324" s="262"/>
      <c r="AK324" s="262"/>
      <c r="AL324" s="262"/>
      <c r="AM324" s="262"/>
      <c r="AN324" s="262"/>
      <c r="AO324" s="262"/>
      <c r="AP324" s="262"/>
      <c r="AQ324" s="262"/>
      <c r="AR324" s="262"/>
      <c r="AS324" s="262"/>
      <c r="AT324" s="262"/>
    </row>
    <row r="325" spans="3:46" hidden="1" x14ac:dyDescent="0.2">
      <c r="C325" s="666">
        <v>18</v>
      </c>
      <c r="Z325" s="415"/>
      <c r="AA325" s="415"/>
      <c r="AB325" s="415"/>
      <c r="AC325" s="415"/>
      <c r="AD325" s="415"/>
      <c r="AE325" s="415"/>
      <c r="AH325" s="262"/>
      <c r="AI325" s="262"/>
      <c r="AJ325" s="262"/>
      <c r="AK325" s="262"/>
      <c r="AL325" s="262"/>
      <c r="AM325" s="262"/>
      <c r="AN325" s="262"/>
      <c r="AO325" s="262"/>
      <c r="AP325" s="262"/>
      <c r="AQ325" s="262"/>
      <c r="AR325" s="262"/>
      <c r="AS325" s="262"/>
      <c r="AT325" s="262"/>
    </row>
    <row r="326" spans="3:46" hidden="1" x14ac:dyDescent="0.2">
      <c r="C326" s="666">
        <v>16</v>
      </c>
      <c r="Z326" s="415"/>
      <c r="AA326" s="415"/>
      <c r="AB326" s="415"/>
      <c r="AC326" s="415"/>
      <c r="AD326" s="415"/>
      <c r="AE326" s="415"/>
      <c r="AR326" s="262"/>
      <c r="AS326" s="262"/>
      <c r="AT326" s="262"/>
    </row>
    <row r="327" spans="3:46" hidden="1" x14ac:dyDescent="0.2">
      <c r="C327" s="666">
        <v>14</v>
      </c>
      <c r="Z327" s="415"/>
      <c r="AA327" s="415"/>
      <c r="AB327" s="415"/>
      <c r="AC327" s="415"/>
      <c r="AD327" s="415"/>
      <c r="AE327" s="415"/>
      <c r="AR327" s="262"/>
      <c r="AS327" s="262"/>
      <c r="AT327" s="262"/>
    </row>
    <row r="328" spans="3:46" hidden="1" x14ac:dyDescent="0.2">
      <c r="C328" s="666">
        <v>12</v>
      </c>
      <c r="Z328" s="415"/>
      <c r="AA328" s="415"/>
      <c r="AB328" s="415"/>
      <c r="AC328" s="415"/>
      <c r="AD328" s="415"/>
      <c r="AE328" s="415"/>
    </row>
    <row r="329" spans="3:46" hidden="1" x14ac:dyDescent="0.2">
      <c r="C329" s="666">
        <v>10</v>
      </c>
      <c r="S329" s="69"/>
      <c r="T329" s="69"/>
      <c r="U329" s="69"/>
      <c r="V329" s="69"/>
      <c r="Z329" s="415"/>
      <c r="AA329" s="415"/>
      <c r="AB329" s="415"/>
      <c r="AC329" s="415"/>
      <c r="AD329" s="415"/>
      <c r="AE329" s="415"/>
    </row>
    <row r="330" spans="3:46" hidden="1" x14ac:dyDescent="0.2">
      <c r="C330" s="666">
        <v>8</v>
      </c>
      <c r="M330" s="69"/>
      <c r="S330" s="69"/>
      <c r="T330" s="69"/>
      <c r="U330" s="69"/>
      <c r="V330" s="69"/>
      <c r="Z330" s="415"/>
      <c r="AA330" s="415"/>
      <c r="AB330" s="415"/>
      <c r="AC330" s="415"/>
      <c r="AD330" s="415"/>
      <c r="AE330" s="415"/>
    </row>
    <row r="331" spans="3:46" hidden="1" x14ac:dyDescent="0.2">
      <c r="C331" s="666">
        <v>6</v>
      </c>
      <c r="M331" s="69"/>
      <c r="S331" s="69"/>
      <c r="T331" s="69"/>
      <c r="U331" s="69"/>
      <c r="V331" s="69"/>
      <c r="Z331" s="415"/>
      <c r="AA331" s="415"/>
      <c r="AB331" s="415"/>
      <c r="AC331" s="415"/>
      <c r="AD331" s="415"/>
      <c r="AE331" s="415"/>
    </row>
    <row r="332" spans="3:46" hidden="1" x14ac:dyDescent="0.2">
      <c r="C332" s="666">
        <v>3</v>
      </c>
      <c r="M332" s="69"/>
      <c r="S332" s="69"/>
      <c r="T332" s="69"/>
      <c r="U332" s="69"/>
      <c r="V332" s="69"/>
      <c r="Z332" s="415"/>
      <c r="AA332" s="415"/>
      <c r="AB332" s="415"/>
      <c r="AC332" s="415"/>
      <c r="AD332" s="415"/>
      <c r="AE332" s="415"/>
    </row>
    <row r="333" spans="3:46" hidden="1" x14ac:dyDescent="0.2">
      <c r="C333" s="666">
        <v>0</v>
      </c>
      <c r="M333" s="69"/>
      <c r="S333" s="69"/>
      <c r="T333" s="69"/>
      <c r="U333" s="69"/>
      <c r="V333" s="69"/>
      <c r="Z333" s="415"/>
      <c r="AA333" s="415"/>
      <c r="AB333" s="415"/>
      <c r="AC333" s="415"/>
      <c r="AD333" s="415"/>
      <c r="AE333" s="415"/>
    </row>
    <row r="334" spans="3:46" x14ac:dyDescent="0.2">
      <c r="M334" s="238"/>
      <c r="N334" s="238"/>
      <c r="O334" s="238"/>
      <c r="P334" s="238"/>
      <c r="Q334" s="238"/>
      <c r="S334" s="69"/>
      <c r="T334" s="69"/>
      <c r="U334" s="69"/>
      <c r="V334" s="69"/>
      <c r="Z334" s="415"/>
      <c r="AA334" s="415"/>
      <c r="AB334" s="415"/>
      <c r="AC334" s="415"/>
      <c r="AD334" s="415"/>
      <c r="AE334" s="415"/>
    </row>
    <row r="335" spans="3:46" x14ac:dyDescent="0.2">
      <c r="S335" s="69"/>
      <c r="T335" s="69"/>
      <c r="U335" s="69"/>
      <c r="V335" s="69"/>
      <c r="Z335" s="415"/>
      <c r="AA335" s="415"/>
      <c r="AB335" s="415"/>
      <c r="AC335" s="415"/>
      <c r="AD335" s="415"/>
      <c r="AE335" s="415"/>
    </row>
    <row r="336" spans="3:46" x14ac:dyDescent="0.2">
      <c r="S336" s="69"/>
      <c r="T336" s="69"/>
      <c r="U336" s="69"/>
      <c r="V336" s="69"/>
      <c r="Z336" s="415"/>
      <c r="AA336" s="415"/>
      <c r="AB336" s="415"/>
      <c r="AC336" s="415"/>
      <c r="AD336" s="415"/>
      <c r="AE336" s="415"/>
    </row>
    <row r="337" spans="19:31" x14ac:dyDescent="0.2">
      <c r="S337" s="69"/>
      <c r="T337" s="69"/>
      <c r="U337" s="69"/>
      <c r="V337" s="69"/>
      <c r="Z337" s="415"/>
      <c r="AA337" s="415"/>
      <c r="AB337" s="415"/>
      <c r="AC337" s="415"/>
      <c r="AD337" s="415"/>
      <c r="AE337" s="415"/>
    </row>
    <row r="338" spans="19:31" x14ac:dyDescent="0.2">
      <c r="Z338" s="415"/>
      <c r="AA338" s="415"/>
      <c r="AB338" s="415"/>
      <c r="AC338" s="415"/>
      <c r="AD338" s="415"/>
      <c r="AE338" s="415"/>
    </row>
  </sheetData>
  <mergeCells count="24">
    <mergeCell ref="C178:E178"/>
    <mergeCell ref="G178:I178"/>
    <mergeCell ref="K178:M178"/>
    <mergeCell ref="O178:Q178"/>
    <mergeCell ref="C179:E179"/>
    <mergeCell ref="G179:I179"/>
    <mergeCell ref="K179:M179"/>
    <mergeCell ref="O179:Q179"/>
    <mergeCell ref="C180:E180"/>
    <mergeCell ref="G180:I180"/>
    <mergeCell ref="K180:M180"/>
    <mergeCell ref="O180:Q180"/>
    <mergeCell ref="C181:E181"/>
    <mergeCell ref="G181:I181"/>
    <mergeCell ref="K181:M181"/>
    <mergeCell ref="O181:Q181"/>
    <mergeCell ref="C182:E182"/>
    <mergeCell ref="G182:I182"/>
    <mergeCell ref="K182:M182"/>
    <mergeCell ref="O182:Q182"/>
    <mergeCell ref="C183:E183"/>
    <mergeCell ref="G183:I183"/>
    <mergeCell ref="K183:M183"/>
    <mergeCell ref="O183:Q183"/>
  </mergeCells>
  <conditionalFormatting sqref="A300:A318">
    <cfRule type="duplicateValues" dxfId="249" priority="130"/>
  </conditionalFormatting>
  <conditionalFormatting sqref="B300:B318">
    <cfRule type="duplicateValues" dxfId="248" priority="107"/>
  </conditionalFormatting>
  <conditionalFormatting sqref="C7:F25">
    <cfRule type="expression" dxfId="247" priority="128">
      <formula>IF($C7&gt;$E7,TRUE)</formula>
    </cfRule>
    <cfRule type="expression" dxfId="246" priority="129">
      <formula>IF($C7&lt;$E7,TRUE)</formula>
    </cfRule>
  </conditionalFormatting>
  <conditionalFormatting sqref="C7:C25">
    <cfRule type="expression" dxfId="245" priority="127">
      <formula>IF($C7&gt;$E7,TRUE)</formula>
    </cfRule>
  </conditionalFormatting>
  <conditionalFormatting sqref="E7:E25">
    <cfRule type="expression" dxfId="244" priority="126">
      <formula>IF($C7&lt;$E7,TRUE)</formula>
    </cfRule>
  </conditionalFormatting>
  <conditionalFormatting sqref="G7:J25">
    <cfRule type="expression" dxfId="243" priority="124">
      <formula>IF($G7&gt;$I7,TRUE)</formula>
    </cfRule>
    <cfRule type="expression" dxfId="242" priority="125">
      <formula>IF($G7&lt;$I7,TRUE)</formula>
    </cfRule>
  </conditionalFormatting>
  <conditionalFormatting sqref="G7:G25">
    <cfRule type="expression" dxfId="241" priority="123">
      <formula>IF($G7&gt;$I7,TRUE)</formula>
    </cfRule>
  </conditionalFormatting>
  <conditionalFormatting sqref="I7:I25">
    <cfRule type="expression" dxfId="240" priority="122">
      <formula>IF($G7&lt;$I7,TRUE)</formula>
    </cfRule>
  </conditionalFormatting>
  <conditionalFormatting sqref="K7:N25">
    <cfRule type="expression" dxfId="239" priority="120">
      <formula>IF($K7&gt;$M7,TRUE)</formula>
    </cfRule>
    <cfRule type="expression" dxfId="238" priority="121">
      <formula>IF($K7&lt;$M7,TRUE)</formula>
    </cfRule>
  </conditionalFormatting>
  <conditionalFormatting sqref="K7:K25">
    <cfRule type="expression" dxfId="237" priority="119">
      <formula>IF($K7&gt;$M7,TRUE)</formula>
    </cfRule>
  </conditionalFormatting>
  <conditionalFormatting sqref="M7:M25">
    <cfRule type="expression" dxfId="236" priority="118">
      <formula>IF($K7&lt;$M7,TRUE)</formula>
    </cfRule>
  </conditionalFormatting>
  <conditionalFormatting sqref="O7:R25">
    <cfRule type="expression" dxfId="235" priority="116">
      <formula>IF($O7&gt;$Q7,TRUE)</formula>
    </cfRule>
    <cfRule type="expression" dxfId="234" priority="117">
      <formula>IF($O7&lt;$Q7,TRUE)</formula>
    </cfRule>
  </conditionalFormatting>
  <conditionalFormatting sqref="O7:O25">
    <cfRule type="expression" dxfId="233" priority="115">
      <formula>IF($O7&gt;$Q7,TRUE)</formula>
    </cfRule>
  </conditionalFormatting>
  <conditionalFormatting sqref="Q7:Q25">
    <cfRule type="expression" dxfId="232" priority="114">
      <formula>IF($O7&lt;$Q7,TRUE)</formula>
    </cfRule>
  </conditionalFormatting>
  <conditionalFormatting sqref="S7:Z25">
    <cfRule type="expression" dxfId="231" priority="112">
      <formula>IF($S7&gt;$U7,TRUE)</formula>
    </cfRule>
    <cfRule type="expression" dxfId="230" priority="113">
      <formula>IF($S7&lt;$U7,TRUE)</formula>
    </cfRule>
  </conditionalFormatting>
  <conditionalFormatting sqref="S7:S25 W7:W25">
    <cfRule type="expression" dxfId="229" priority="111">
      <formula>IF($S7&gt;$U7,TRUE)</formula>
    </cfRule>
  </conditionalFormatting>
  <conditionalFormatting sqref="U7:U25 Y7:Y25">
    <cfRule type="expression" dxfId="228" priority="110">
      <formula>IF($S7&lt;$U7,TRUE)</formula>
    </cfRule>
  </conditionalFormatting>
  <conditionalFormatting sqref="A102:A116">
    <cfRule type="cellIs" dxfId="227" priority="108" operator="equal">
      <formula>"-"</formula>
    </cfRule>
    <cfRule type="duplicateValues" dxfId="226" priority="109"/>
  </conditionalFormatting>
  <conditionalFormatting sqref="K131 K133">
    <cfRule type="containsBlanks" dxfId="225" priority="105">
      <formula>LEN(TRIM(K131))=0</formula>
    </cfRule>
    <cfRule type="aboveAverage" dxfId="224" priority="106"/>
  </conditionalFormatting>
  <conditionalFormatting sqref="G123 G125">
    <cfRule type="containsBlanks" dxfId="223" priority="103">
      <formula>LEN(TRIM(G123))=0</formula>
    </cfRule>
    <cfRule type="aboveAverage" dxfId="222" priority="104"/>
  </conditionalFormatting>
  <conditionalFormatting sqref="K117 K119">
    <cfRule type="aboveAverage" dxfId="221" priority="102"/>
  </conditionalFormatting>
  <conditionalFormatting sqref="K117 K119">
    <cfRule type="containsBlanks" dxfId="220" priority="101">
      <formula>LEN(TRIM(K117))=0</formula>
    </cfRule>
  </conditionalFormatting>
  <conditionalFormatting sqref="G103 G107">
    <cfRule type="containsBlanks" dxfId="219" priority="99">
      <formula>LEN(TRIM(G103))=0</formula>
    </cfRule>
    <cfRule type="aboveAverage" dxfId="218" priority="100"/>
  </conditionalFormatting>
  <conditionalFormatting sqref="G111 G115">
    <cfRule type="containsBlanks" dxfId="217" priority="97">
      <formula>LEN(TRIM(G111))=0</formula>
    </cfRule>
    <cfRule type="aboveAverage" dxfId="216" priority="98"/>
  </conditionalFormatting>
  <conditionalFormatting sqref="K105 K113">
    <cfRule type="containsBlanks" dxfId="215" priority="93">
      <formula>LEN(TRIM(K105))=0</formula>
    </cfRule>
    <cfRule type="aboveAverage" dxfId="214" priority="96"/>
  </conditionalFormatting>
  <conditionalFormatting sqref="A140:A154">
    <cfRule type="cellIs" dxfId="213" priority="94" operator="equal">
      <formula>"-"</formula>
    </cfRule>
    <cfRule type="duplicateValues" dxfId="212" priority="95"/>
  </conditionalFormatting>
  <conditionalFormatting sqref="G127 G129">
    <cfRule type="containsBlanks" dxfId="211" priority="91">
      <formula>LEN(TRIM(G127))=0</formula>
    </cfRule>
    <cfRule type="aboveAverage" dxfId="210" priority="92"/>
  </conditionalFormatting>
  <conditionalFormatting sqref="C114 C116">
    <cfRule type="containsBlanks" dxfId="209" priority="81">
      <formula>LEN(TRIM(C114))=0</formula>
    </cfRule>
    <cfRule type="aboveAverage" dxfId="208" priority="82"/>
  </conditionalFormatting>
  <conditionalFormatting sqref="C110 C112">
    <cfRule type="containsBlanks" dxfId="207" priority="83">
      <formula>LEN(TRIM(C110))=0</formula>
    </cfRule>
    <cfRule type="aboveAverage" dxfId="206" priority="84"/>
  </conditionalFormatting>
  <conditionalFormatting sqref="C106 C108">
    <cfRule type="containsBlanks" dxfId="205" priority="85">
      <formula>LEN(TRIM(C106))=0</formula>
    </cfRule>
    <cfRule type="aboveAverage" dxfId="204" priority="86"/>
  </conditionalFormatting>
  <conditionalFormatting sqref="C102 C104">
    <cfRule type="containsBlanks" dxfId="203" priority="87">
      <formula>LEN(TRIM(C102))=0</formula>
    </cfRule>
    <cfRule type="aboveAverage" dxfId="202" priority="88"/>
  </conditionalFormatting>
  <conditionalFormatting sqref="K124 K128">
    <cfRule type="containsBlanks" dxfId="201" priority="89">
      <formula>LEN(TRIM(K124))=0</formula>
    </cfRule>
    <cfRule type="aboveAverage" dxfId="200" priority="90"/>
  </conditionalFormatting>
  <conditionalFormatting sqref="K169 K171">
    <cfRule type="containsBlanks" dxfId="199" priority="79">
      <formula>LEN(TRIM(K169))=0</formula>
    </cfRule>
    <cfRule type="aboveAverage" dxfId="198" priority="80"/>
  </conditionalFormatting>
  <conditionalFormatting sqref="G161 G163">
    <cfRule type="containsBlanks" dxfId="197" priority="77">
      <formula>LEN(TRIM(G161))=0</formula>
    </cfRule>
    <cfRule type="aboveAverage" dxfId="196" priority="78"/>
  </conditionalFormatting>
  <conditionalFormatting sqref="K155 K157">
    <cfRule type="aboveAverage" dxfId="195" priority="76"/>
  </conditionalFormatting>
  <conditionalFormatting sqref="K155 K157">
    <cfRule type="containsBlanks" dxfId="194" priority="75">
      <formula>LEN(TRIM(K155))=0</formula>
    </cfRule>
  </conditionalFormatting>
  <conditionalFormatting sqref="G141 G145">
    <cfRule type="containsBlanks" dxfId="193" priority="73">
      <formula>LEN(TRIM(G141))=0</formula>
    </cfRule>
    <cfRule type="aboveAverage" dxfId="192" priority="74"/>
  </conditionalFormatting>
  <conditionalFormatting sqref="G149 G153">
    <cfRule type="containsBlanks" dxfId="191" priority="71">
      <formula>LEN(TRIM(G149))=0</formula>
    </cfRule>
    <cfRule type="aboveAverage" dxfId="190" priority="72"/>
  </conditionalFormatting>
  <conditionalFormatting sqref="K143 K151">
    <cfRule type="containsBlanks" dxfId="189" priority="69">
      <formula>LEN(TRIM(K143))=0</formula>
    </cfRule>
    <cfRule type="aboveAverage" dxfId="188" priority="70"/>
  </conditionalFormatting>
  <conditionalFormatting sqref="G165 G167">
    <cfRule type="containsBlanks" dxfId="187" priority="67">
      <formula>LEN(TRIM(G165))=0</formula>
    </cfRule>
    <cfRule type="aboveAverage" dxfId="186" priority="68"/>
  </conditionalFormatting>
  <conditionalFormatting sqref="C152 C154">
    <cfRule type="containsBlanks" dxfId="185" priority="57">
      <formula>LEN(TRIM(C152))=0</formula>
    </cfRule>
    <cfRule type="aboveAverage" dxfId="184" priority="58"/>
  </conditionalFormatting>
  <conditionalFormatting sqref="C148 C150">
    <cfRule type="containsBlanks" dxfId="183" priority="59">
      <formula>LEN(TRIM(C148))=0</formula>
    </cfRule>
    <cfRule type="aboveAverage" dxfId="182" priority="60"/>
  </conditionalFormatting>
  <conditionalFormatting sqref="C144 C146">
    <cfRule type="containsBlanks" dxfId="181" priority="61">
      <formula>LEN(TRIM(C144))=0</formula>
    </cfRule>
    <cfRule type="aboveAverage" dxfId="180" priority="62"/>
  </conditionalFormatting>
  <conditionalFormatting sqref="C140 C142">
    <cfRule type="containsBlanks" dxfId="179" priority="63">
      <formula>LEN(TRIM(C140))=0</formula>
    </cfRule>
    <cfRule type="aboveAverage" dxfId="178" priority="64"/>
  </conditionalFormatting>
  <conditionalFormatting sqref="K162 K166">
    <cfRule type="containsBlanks" dxfId="177" priority="65">
      <formula>LEN(TRIM(K162))=0</formula>
    </cfRule>
    <cfRule type="aboveAverage" dxfId="176" priority="66"/>
  </conditionalFormatting>
  <conditionalFormatting sqref="B300">
    <cfRule type="expression" dxfId="175" priority="54">
      <formula>$A$300=1</formula>
    </cfRule>
  </conditionalFormatting>
  <conditionalFormatting sqref="B301">
    <cfRule type="expression" dxfId="174" priority="53">
      <formula>$A$301=2</formula>
    </cfRule>
  </conditionalFormatting>
  <conditionalFormatting sqref="B302">
    <cfRule type="expression" dxfId="173" priority="52">
      <formula>$A$302=3</formula>
    </cfRule>
  </conditionalFormatting>
  <conditionalFormatting sqref="C7:Z25">
    <cfRule type="containsText" dxfId="172" priority="48" operator="containsText" text="vaba voor">
      <formula>NOT(ISERROR(SEARCH("vaba voor",C7)))</formula>
    </cfRule>
  </conditionalFormatting>
  <conditionalFormatting sqref="O179:O183">
    <cfRule type="expression" dxfId="171" priority="14">
      <formula>FIND(2,O179,1)</formula>
    </cfRule>
    <cfRule type="expression" dxfId="170" priority="15">
      <formula>FIND(1,O179,1)</formula>
    </cfRule>
  </conditionalFormatting>
  <conditionalFormatting sqref="C180:C183">
    <cfRule type="expression" dxfId="169" priority="9">
      <formula>NOT(NOT(ISBLANK(C180))+(C180=(INDIRECT(ADDRESS(ROW()-$A180+C$6,COLUMN()+$A180-C$6)))))</formula>
    </cfRule>
    <cfRule type="expression" dxfId="168" priority="10">
      <formula>IF(C180="",IF(C180&lt;=0,TRUE))</formula>
    </cfRule>
    <cfRule type="expression" dxfId="167" priority="11">
      <formula>IF(C180&gt;13,TRUE)</formula>
    </cfRule>
    <cfRule type="expression" dxfId="166" priority="12">
      <formula>C180&gt;INDIRECT(ADDRESS(ROW()-$A180+C$6,COLUMN()+$A180-C$6))</formula>
    </cfRule>
    <cfRule type="expression" dxfId="165" priority="13">
      <formula>C180=INDIRECT(ADDRESS(ROW()-$A180+C$6,COLUMN()+$A180-C$6))</formula>
    </cfRule>
  </conditionalFormatting>
  <conditionalFormatting sqref="F179:G179 G180">
    <cfRule type="expression" dxfId="164" priority="19">
      <formula>NOT(NOT(ISBLANK(F179))+(F179=(INDIRECT(ADDRESS(ROW()+D$6-$A179,COLUMN()-D$6+$A179)))))</formula>
    </cfRule>
    <cfRule type="expression" dxfId="163" priority="20">
      <formula>IF(F179="",IF(F179&lt;=0,TRUE))</formula>
    </cfRule>
    <cfRule type="expression" dxfId="162" priority="21">
      <formula>IF(F179&gt;13,TRUE)</formula>
    </cfRule>
    <cfRule type="expression" dxfId="161" priority="22">
      <formula>F179&gt;INDIRECT(ADDRESS(ROW()+D$6-$A179,COLUMN()-D$6+$A179))</formula>
    </cfRule>
    <cfRule type="expression" dxfId="160" priority="23">
      <formula>F179=INDIRECT(ADDRESS(ROW()+D$6-$A179,COLUMN()-D$6+$A179))</formula>
    </cfRule>
  </conditionalFormatting>
  <conditionalFormatting sqref="F181 F182:G183">
    <cfRule type="expression" dxfId="159" priority="24">
      <formula>NOT(NOT(ISBLANK(F181))+(F181=(INDIRECT(ADDRESS(ROW()-$A181+D$6,COLUMN()+$A181-D$6)))))</formula>
    </cfRule>
    <cfRule type="expression" dxfId="158" priority="25">
      <formula>IF(F181="",IF(F181&lt;=0,TRUE))</formula>
    </cfRule>
    <cfRule type="expression" dxfId="157" priority="26">
      <formula>IF(F181&gt;13,TRUE)</formula>
    </cfRule>
    <cfRule type="expression" dxfId="156" priority="27">
      <formula>F181&gt;INDIRECT(ADDRESS(ROW()-$A181+D$6,COLUMN()+$A181-D$6))</formula>
    </cfRule>
    <cfRule type="expression" dxfId="155" priority="28">
      <formula>F181=INDIRECT(ADDRESS(ROW()-$A181+D$6,COLUMN()+$A181-D$6))</formula>
    </cfRule>
  </conditionalFormatting>
  <conditionalFormatting sqref="K182 J179:K181">
    <cfRule type="expression" dxfId="154" priority="29">
      <formula>NOT(NOT(ISBLANK(J179))+(J179=(INDIRECT(ADDRESS(ROW()+F$6-$A179,COLUMN()-F$6+$A179)))))</formula>
    </cfRule>
    <cfRule type="expression" dxfId="153" priority="30">
      <formula>IF(J179="",IF(J179&lt;=0,TRUE))</formula>
    </cfRule>
    <cfRule type="expression" dxfId="152" priority="31">
      <formula>IF(J179&gt;13,TRUE)</formula>
    </cfRule>
    <cfRule type="expression" dxfId="151" priority="32">
      <formula>J179&gt;INDIRECT(ADDRESS(ROW()+F$6-$A179,COLUMN()-F$6+$A179))</formula>
    </cfRule>
    <cfRule type="expression" dxfId="150" priority="33">
      <formula>J179=INDIRECT(ADDRESS(ROW()+F$6-$A179,COLUMN()-F$6+$A179))</formula>
    </cfRule>
  </conditionalFormatting>
  <conditionalFormatting sqref="J183">
    <cfRule type="expression" dxfId="149" priority="34">
      <formula>NOT(NOT(ISBLANK(J183))+(J183=(INDIRECT(ADDRESS(ROW()-$A183+F$6,COLUMN()+$A183-F$6)))))</formula>
    </cfRule>
    <cfRule type="expression" dxfId="148" priority="35">
      <formula>IF(J183="",IF(J183&lt;=0,TRUE))</formula>
    </cfRule>
    <cfRule type="expression" dxfId="147" priority="36">
      <formula>IF(J183&gt;13,TRUE)</formula>
    </cfRule>
    <cfRule type="expression" dxfId="146" priority="37">
      <formula>J183&gt;INDIRECT(ADDRESS(ROW()-$A183+F$6,COLUMN()+$A183-F$6))</formula>
    </cfRule>
    <cfRule type="expression" dxfId="145" priority="38">
      <formula>J183=INDIRECT(ADDRESS(ROW()-$A183+F$6,COLUMN()+$A183-F$6))</formula>
    </cfRule>
  </conditionalFormatting>
  <conditionalFormatting sqref="S179:S183">
    <cfRule type="expression" dxfId="144" priority="39">
      <formula>AND(R179=3,IF(COUNTIF(J$7:J$11,"=3")&gt;=2,TRUE))</formula>
    </cfRule>
    <cfRule type="expression" dxfId="143" priority="40">
      <formula>AND(R179=1,IF(COUNTIF(J$7:J$11,"=1")&gt;=2,TRUE))</formula>
    </cfRule>
    <cfRule type="expression" dxfId="142" priority="41">
      <formula>AND(R179=2,IF(COUNTIF(J$7:J$11,"=2")&gt;=2,TRUE))</formula>
    </cfRule>
  </conditionalFormatting>
  <conditionalFormatting sqref="T179:T183">
    <cfRule type="expression" dxfId="141" priority="42">
      <formula>OR(R179=0,R179=4)</formula>
    </cfRule>
    <cfRule type="expression" dxfId="140" priority="43">
      <formula>AND(R179=1,IF(COUNTIF(J$7:J$11,"=1")=1,TRUE))</formula>
    </cfRule>
    <cfRule type="expression" dxfId="139" priority="44">
      <formula>AND(R179=3,IF(COUNTIF(J$7:J$11,"=3")=1,TRUE))</formula>
    </cfRule>
  </conditionalFormatting>
  <conditionalFormatting sqref="N179:N183">
    <cfRule type="expression" dxfId="138" priority="45">
      <formula>AND(R179=1,IF(COUNTIF(J$7:J$11,"=1")&gt;=2,TRUE))</formula>
    </cfRule>
    <cfRule type="expression" dxfId="137" priority="46">
      <formula>AND(R179=3,IF(COUNTIF(J$7:J$11,"=3")&gt;=2,TRUE))</formula>
    </cfRule>
    <cfRule type="expression" dxfId="136" priority="47">
      <formula>AND(R179=2,IF(COUNTIF(J$7:J$11,"=2")&gt;=2,TRUE))</formula>
    </cfRule>
  </conditionalFormatting>
  <conditionalFormatting sqref="AO319:AO324 AQ319:AQ324 AK319:AK324 AI319:AI324 AO7:AO25 AQ7:AQ25 AK7:AK25 AI7:AI25">
    <cfRule type="expression" dxfId="135" priority="5">
      <formula>AND(AJ7="",COUNTIF(AI7,"*,*")=0)</formula>
    </cfRule>
  </conditionalFormatting>
  <conditionalFormatting sqref="AM319:AM324 AM7:AM25">
    <cfRule type="expression" dxfId="134" priority="1">
      <formula>AND(AN7="",FIND(",",AM7))</formula>
    </cfRule>
    <cfRule type="expression" dxfId="133" priority="6">
      <formula>AND(AN7="",COUNTIF(AM7,"*,*")=0)</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3" manualBreakCount="3">
    <brk id="98" max="16383" man="1"/>
    <brk id="136" max="16383" man="1"/>
    <brk id="174"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34"/>
  <sheetViews>
    <sheetView showGridLines="0" showRowColHeaders="0" zoomScaleNormal="100" workbookViewId="0">
      <pane ySplit="2" topLeftCell="A3" activePane="bottomLeft" state="frozen"/>
      <selection activeCell="I1" sqref="I1"/>
      <selection pane="bottomLeft" activeCell="AF1" sqref="AF1"/>
    </sheetView>
  </sheetViews>
  <sheetFormatPr defaultRowHeight="12.75" x14ac:dyDescent="0.2"/>
  <cols>
    <col min="1" max="1" width="5.5703125" style="69" customWidth="1"/>
    <col min="2" max="2" width="40.140625" style="69" bestFit="1" customWidth="1"/>
    <col min="3" max="3" width="4" style="69" customWidth="1"/>
    <col min="4" max="4" width="0.85546875" style="69" customWidth="1"/>
    <col min="5" max="5" width="2.7109375" style="69" customWidth="1"/>
    <col min="6" max="6" width="8.7109375" style="69" customWidth="1"/>
    <col min="7" max="7" width="2.7109375" style="69" customWidth="1"/>
    <col min="8" max="8" width="0.85546875" style="69" customWidth="1"/>
    <col min="9" max="9" width="2.7109375" style="69" customWidth="1"/>
    <col min="10" max="10" width="8.7109375" style="69" customWidth="1"/>
    <col min="11" max="11" width="2.7109375" style="262" customWidth="1"/>
    <col min="12" max="12" width="0.85546875" style="262" customWidth="1"/>
    <col min="13" max="13" width="2.7109375" style="262" customWidth="1"/>
    <col min="14" max="14" width="8.7109375" style="69" customWidth="1"/>
    <col min="15" max="15" width="2.7109375" style="69" customWidth="1"/>
    <col min="16" max="16" width="0.85546875" style="69" customWidth="1"/>
    <col min="17" max="17" width="2.7109375" style="69" customWidth="1"/>
    <col min="18" max="18" width="8.7109375" style="69" customWidth="1"/>
    <col min="19" max="19" width="2.7109375" style="262" hidden="1" customWidth="1"/>
    <col min="20" max="20" width="0.85546875" style="262" hidden="1" customWidth="1"/>
    <col min="21" max="21" width="2.7109375" style="262" hidden="1" customWidth="1"/>
    <col min="22" max="22" width="8.7109375" style="262" hidden="1" customWidth="1"/>
    <col min="23" max="23" width="2.7109375" style="262" hidden="1" customWidth="1"/>
    <col min="24" max="24" width="0.85546875" style="262" hidden="1" customWidth="1"/>
    <col min="25" max="25" width="2.7109375" style="262" hidden="1" customWidth="1"/>
    <col min="26" max="26" width="8.7109375" style="262" hidden="1" customWidth="1"/>
    <col min="27" max="27" width="7.28515625" style="69" bestFit="1" customWidth="1"/>
    <col min="28" max="28" width="5.5703125" style="69" bestFit="1" customWidth="1"/>
    <col min="29" max="29" width="2.7109375" style="69" customWidth="1"/>
    <col min="30" max="30" width="1.5703125" style="69" bestFit="1" customWidth="1"/>
    <col min="31" max="31" width="2.7109375" style="69" customWidth="1"/>
    <col min="32" max="32" width="4.140625" style="69" bestFit="1" customWidth="1"/>
    <col min="33" max="33" width="9.140625" style="415"/>
    <col min="34" max="34" width="9.140625" style="69" hidden="1" customWidth="1"/>
    <col min="35" max="35" width="19.42578125" style="69" hidden="1" customWidth="1"/>
    <col min="36" max="36" width="6" style="69" hidden="1" customWidth="1"/>
    <col min="37" max="37" width="27.42578125" style="69" hidden="1" customWidth="1"/>
    <col min="38" max="38" width="6" style="69" hidden="1" customWidth="1"/>
    <col min="39" max="39" width="17.28515625" style="69" hidden="1" customWidth="1"/>
    <col min="40" max="40" width="6" style="69" hidden="1" customWidth="1"/>
    <col min="41" max="41" width="16.42578125" style="69" hidden="1" customWidth="1"/>
    <col min="42" max="42" width="6" style="69" hidden="1" customWidth="1"/>
    <col min="43" max="16384" width="9.140625" style="69"/>
  </cols>
  <sheetData>
    <row r="1" spans="1:42" x14ac:dyDescent="0.2">
      <c r="A1" s="605" t="str">
        <f>UPPER((Kalend!E29)&amp;" - "&amp;(Kalend!C29)&amp;" - "&amp;(Kalend!D29))</f>
        <v>12 - EESTI REITINGUVÕISTLUS - DUO</v>
      </c>
      <c r="G1" s="607" t="str">
        <f>HYPERLINK("#Kalend!I1","Kalender")</f>
        <v>Kalender</v>
      </c>
      <c r="H1" s="607"/>
      <c r="I1" s="607"/>
      <c r="J1" s="607"/>
      <c r="K1" s="608" t="str">
        <f>HYPERLINK("#V!U1","Üldreiting")</f>
        <v>Üldreiting</v>
      </c>
      <c r="L1" s="66"/>
      <c r="M1" s="609"/>
      <c r="P1" s="66"/>
      <c r="Q1" s="66"/>
      <c r="R1" s="66"/>
      <c r="S1" s="609"/>
      <c r="T1" s="609"/>
      <c r="U1" s="609"/>
      <c r="V1" s="609"/>
      <c r="W1" s="609"/>
      <c r="X1" s="609"/>
      <c r="Y1" s="609"/>
      <c r="Z1" s="609"/>
      <c r="AA1" s="606"/>
      <c r="AB1" s="606"/>
      <c r="AH1" s="683" t="s">
        <v>774</v>
      </c>
      <c r="AI1" s="679"/>
      <c r="AJ1" s="679"/>
      <c r="AK1" s="679"/>
      <c r="AL1" s="679"/>
      <c r="AM1" s="679"/>
      <c r="AN1" s="679"/>
      <c r="AO1" s="679"/>
      <c r="AP1" s="679"/>
    </row>
    <row r="2" spans="1:42" x14ac:dyDescent="0.2">
      <c r="A2" s="67" t="str">
        <f>"Toimumisaeg: "&amp;(Kalend!A29)&amp;" kell "&amp;(Kalend!B29)</f>
        <v>Toimumisaeg: P, 09.09.2018 kell 10:00</v>
      </c>
      <c r="AC2" s="264"/>
    </row>
    <row r="3" spans="1:42" x14ac:dyDescent="0.2">
      <c r="A3" s="67" t="str">
        <f>"Toimumiskoht: "&amp;(Kalend!H29)</f>
        <v>Toimumiskoht: Saku, Teaduse 2</v>
      </c>
      <c r="I3" s="262"/>
      <c r="J3" s="132"/>
      <c r="K3" s="130"/>
      <c r="L3" s="610"/>
      <c r="AH3" s="681" t="s">
        <v>771</v>
      </c>
    </row>
    <row r="4" spans="1:42" x14ac:dyDescent="0.2">
      <c r="A4" s="67" t="str">
        <f>"Korraldaja: "&amp;(Kalend!I29)</f>
        <v>Korraldaja: Saku PK</v>
      </c>
      <c r="I4" s="262"/>
      <c r="J4" s="611"/>
      <c r="L4" s="612"/>
      <c r="AH4" s="667" t="s">
        <v>189</v>
      </c>
      <c r="AI4" s="668"/>
      <c r="AJ4" s="625"/>
      <c r="AK4" s="669"/>
      <c r="AL4" s="625"/>
      <c r="AM4" s="625"/>
      <c r="AN4" s="625"/>
      <c r="AO4" s="625"/>
      <c r="AP4" s="625"/>
    </row>
    <row r="5" spans="1:42" x14ac:dyDescent="0.2">
      <c r="A5" s="67"/>
      <c r="J5" s="132"/>
      <c r="K5" s="130"/>
      <c r="L5" s="610"/>
      <c r="AH5" s="667" t="s">
        <v>764</v>
      </c>
      <c r="AI5" s="670" t="s">
        <v>765</v>
      </c>
      <c r="AJ5" s="670"/>
      <c r="AK5" s="671" t="s">
        <v>766</v>
      </c>
      <c r="AL5" s="670"/>
      <c r="AM5" s="670" t="s">
        <v>767</v>
      </c>
      <c r="AN5" s="670"/>
      <c r="AO5" s="670" t="s">
        <v>768</v>
      </c>
      <c r="AP5" s="672"/>
    </row>
    <row r="6" spans="1:42" x14ac:dyDescent="0.2">
      <c r="A6" s="224" t="s">
        <v>25</v>
      </c>
      <c r="B6" s="224" t="s">
        <v>737</v>
      </c>
      <c r="C6" s="613" t="s">
        <v>514</v>
      </c>
      <c r="D6" s="614"/>
      <c r="E6" s="614"/>
      <c r="F6" s="615"/>
      <c r="G6" s="613" t="s">
        <v>517</v>
      </c>
      <c r="H6" s="614"/>
      <c r="I6" s="614"/>
      <c r="J6" s="615"/>
      <c r="K6" s="613" t="s">
        <v>520</v>
      </c>
      <c r="L6" s="614"/>
      <c r="M6" s="614"/>
      <c r="N6" s="615"/>
      <c r="O6" s="613" t="s">
        <v>523</v>
      </c>
      <c r="P6" s="614"/>
      <c r="Q6" s="614"/>
      <c r="R6" s="615"/>
      <c r="S6" s="613" t="s">
        <v>525</v>
      </c>
      <c r="T6" s="614"/>
      <c r="U6" s="614"/>
      <c r="V6" s="615"/>
      <c r="W6" s="613" t="s">
        <v>664</v>
      </c>
      <c r="X6" s="614"/>
      <c r="Y6" s="614"/>
      <c r="Z6" s="615"/>
      <c r="AA6" s="616" t="s">
        <v>220</v>
      </c>
      <c r="AB6" s="616" t="s">
        <v>565</v>
      </c>
      <c r="AC6" s="616" t="s">
        <v>738</v>
      </c>
      <c r="AD6" s="627"/>
      <c r="AE6" s="628"/>
      <c r="AH6" s="667" t="s">
        <v>769</v>
      </c>
      <c r="AI6" s="668"/>
      <c r="AJ6" s="625"/>
      <c r="AK6" s="668"/>
      <c r="AL6" s="625"/>
      <c r="AM6" s="673"/>
      <c r="AN6" s="673"/>
      <c r="AO6" s="673"/>
      <c r="AP6" s="673"/>
    </row>
    <row r="7" spans="1:42" x14ac:dyDescent="0.2">
      <c r="A7" s="616">
        <v>1</v>
      </c>
      <c r="B7" s="22" t="s">
        <v>920</v>
      </c>
      <c r="C7" s="618">
        <v>13</v>
      </c>
      <c r="D7" s="619" t="s">
        <v>615</v>
      </c>
      <c r="E7" s="620">
        <v>4</v>
      </c>
      <c r="F7" s="621" t="str">
        <f>B30</f>
        <v>Einar Juhkam, Johannes Neiland</v>
      </c>
      <c r="G7" s="618">
        <v>13</v>
      </c>
      <c r="H7" s="619" t="s">
        <v>615</v>
      </c>
      <c r="I7" s="620">
        <v>0</v>
      </c>
      <c r="J7" s="621" t="str">
        <f>B19</f>
        <v>Janek Kiisk, Marko Neemelaik</v>
      </c>
      <c r="K7" s="618">
        <v>13</v>
      </c>
      <c r="L7" s="619" t="s">
        <v>615</v>
      </c>
      <c r="M7" s="620">
        <v>6</v>
      </c>
      <c r="N7" s="621" t="str">
        <f>B15</f>
        <v>Hardo Sokk, Toomas Tauk</v>
      </c>
      <c r="O7" s="618">
        <v>13</v>
      </c>
      <c r="P7" s="619" t="s">
        <v>615</v>
      </c>
      <c r="Q7" s="620">
        <v>12</v>
      </c>
      <c r="R7" s="621" t="str">
        <f>B9</f>
        <v>Arti Lindvest, Jaanus Otsman</v>
      </c>
      <c r="S7" s="618"/>
      <c r="T7" s="619" t="s">
        <v>615</v>
      </c>
      <c r="U7" s="620"/>
      <c r="V7" s="621"/>
      <c r="W7" s="618"/>
      <c r="X7" s="619" t="s">
        <v>615</v>
      </c>
      <c r="Y7" s="620"/>
      <c r="Z7" s="621"/>
      <c r="AA7" s="634">
        <f t="shared" ref="AA7:AA30" si="0">2*(IF(C7&gt;E7,1)+IF(G7&gt;I7,1)+IF(K7&gt;M7,1)+IF(O7&gt;Q7,1)+IF(S7&gt;U7,1)+IF(W7&gt;Y7,1))</f>
        <v>8</v>
      </c>
      <c r="AB7" s="635">
        <v>16</v>
      </c>
      <c r="AC7" s="629">
        <f t="shared" ref="AC7:AC30" si="1">C7+G7+K7+O7+S7+W7</f>
        <v>52</v>
      </c>
      <c r="AD7" s="630" t="s">
        <v>615</v>
      </c>
      <c r="AE7" s="631">
        <f t="shared" ref="AE7:AE30" si="2">E7+I7+M7+Q7+U7+Y7</f>
        <v>22</v>
      </c>
      <c r="AF7" s="804">
        <f t="shared" ref="AF7:AF30" si="3">AC7-AE7</f>
        <v>30</v>
      </c>
      <c r="AG7" s="846"/>
      <c r="AH7" s="672">
        <f t="shared" ref="AH7" ca="1" si="4">SUM(AJ7:AP7)</f>
        <v>1687</v>
      </c>
      <c r="AI7" s="674" t="str">
        <f>IFERROR(LEFT($B7,(FIND(",",$B7,1)-1)),"")</f>
        <v>Kevin Sten Liik</v>
      </c>
      <c r="AJ7" s="675">
        <f ca="1">IFERROR(INDEX(Üldreiting!$M:$M,MATCH(AI7,Üldreiting!$H:$H,0)),"")</f>
        <v>715</v>
      </c>
      <c r="AK7" s="674" t="str">
        <f>IFERROR(MID($B7,FIND(", ",$B7)+2,256),"")</f>
        <v>Ruudi Väärtnõu</v>
      </c>
      <c r="AL7" s="675">
        <f ca="1">IFERROR(INDEX(Üldreiting!$M:$M,MATCH(AK7,Üldreiting!$H:$H,0)),"")</f>
        <v>972</v>
      </c>
      <c r="AM7" s="676" t="str">
        <f>IFERROR(MID($B7,FIND("^",SUBSTITUTE($B7,", ","^",1))+2,FIND("^",SUBSTITUTE($B7,", ","^",2))-FIND("^",SUBSTITUTE($B7,", ","^",1))-2),"")</f>
        <v/>
      </c>
      <c r="AN7" s="675" t="str">
        <f>IFERROR(INDEX(Üldreiting!$M:$M,MATCH(AM7,Üldreiting!$H:$H,0)),"")</f>
        <v/>
      </c>
      <c r="AO7" s="676" t="str">
        <f>IFERROR(MID($B7,FIND(", ",$B7,FIND(", ",$B7,FIND(", ",$B7))+1)+2,700),"")</f>
        <v/>
      </c>
      <c r="AP7" s="675" t="str">
        <f>IFERROR(INDEX(Üldreiting!$M:$M,MATCH(AO7,Üldreiting!$H:$H,0)),"")</f>
        <v/>
      </c>
    </row>
    <row r="8" spans="1:42" x14ac:dyDescent="0.2">
      <c r="A8" s="616">
        <v>2</v>
      </c>
      <c r="B8" s="22" t="s">
        <v>837</v>
      </c>
      <c r="C8" s="618">
        <v>13</v>
      </c>
      <c r="D8" s="619" t="s">
        <v>615</v>
      </c>
      <c r="E8" s="620">
        <v>7</v>
      </c>
      <c r="F8" s="621" t="s">
        <v>825</v>
      </c>
      <c r="G8" s="618">
        <v>13</v>
      </c>
      <c r="H8" s="619" t="s">
        <v>615</v>
      </c>
      <c r="I8" s="620">
        <v>1</v>
      </c>
      <c r="J8" s="621" t="str">
        <f>B16</f>
        <v>Kadri Arunurm, Maris Rõõm</v>
      </c>
      <c r="K8" s="618">
        <v>13</v>
      </c>
      <c r="L8" s="619" t="s">
        <v>615</v>
      </c>
      <c r="M8" s="620">
        <v>2</v>
      </c>
      <c r="N8" s="621" t="str">
        <f>B10</f>
        <v>Kaarel Mikk, Mihkel Filipenko</v>
      </c>
      <c r="O8" s="618">
        <v>13</v>
      </c>
      <c r="P8" s="619" t="s">
        <v>615</v>
      </c>
      <c r="Q8" s="620">
        <v>9</v>
      </c>
      <c r="R8" s="621" t="str">
        <f>B15</f>
        <v>Hardo Sokk, Toomas Tauk</v>
      </c>
      <c r="S8" s="618"/>
      <c r="T8" s="619" t="s">
        <v>615</v>
      </c>
      <c r="U8" s="620"/>
      <c r="V8" s="621"/>
      <c r="W8" s="618"/>
      <c r="X8" s="619" t="s">
        <v>615</v>
      </c>
      <c r="Y8" s="620"/>
      <c r="Z8" s="621"/>
      <c r="AA8" s="634">
        <f t="shared" si="0"/>
        <v>8</v>
      </c>
      <c r="AB8" s="635">
        <v>14</v>
      </c>
      <c r="AC8" s="629">
        <f t="shared" si="1"/>
        <v>52</v>
      </c>
      <c r="AD8" s="630" t="s">
        <v>615</v>
      </c>
      <c r="AE8" s="631">
        <f t="shared" si="2"/>
        <v>19</v>
      </c>
      <c r="AF8" s="804">
        <f t="shared" si="3"/>
        <v>33</v>
      </c>
      <c r="AG8" s="846"/>
      <c r="AH8" s="672">
        <f t="shared" ref="AH8:AH33" ca="1" si="5">SUM(AJ8:AP8)</f>
        <v>576</v>
      </c>
      <c r="AI8" s="674" t="str">
        <f t="shared" ref="AI8:AI71" si="6">IFERROR(LEFT($B8,(FIND(",",$B8,1)-1)),"")</f>
        <v>Tanel Vähk</v>
      </c>
      <c r="AJ8" s="675">
        <f ca="1">IFERROR(INDEX(Üldreiting!$M:$M,MATCH(AI8,Üldreiting!$H:$H,0)),"")</f>
        <v>231</v>
      </c>
      <c r="AK8" s="674" t="str">
        <f t="shared" ref="AK8:AK71" si="7">IFERROR(MID($B8,FIND(", ",$B8)+2,256),"")</f>
        <v>Tõnis Neiland</v>
      </c>
      <c r="AL8" s="675">
        <f ca="1">IFERROR(INDEX(Üldreiting!$M:$M,MATCH(AK8,Üldreiting!$H:$H,0)),"")</f>
        <v>345</v>
      </c>
      <c r="AM8" s="676" t="str">
        <f t="shared" ref="AM8:AM71" si="8">IFERROR(MID($B8,FIND("^",SUBSTITUTE($B8,", ","^",1))+2,FIND("^",SUBSTITUTE($B8,", ","^",2))-FIND("^",SUBSTITUTE($B8,", ","^",1))-2),"")</f>
        <v/>
      </c>
      <c r="AN8" s="675" t="str">
        <f>IFERROR(INDEX(Üldreiting!$M:$M,MATCH(AM8,Üldreiting!$H:$H,0)),"")</f>
        <v/>
      </c>
      <c r="AO8" s="676" t="str">
        <f t="shared" ref="AO8:AO71" si="9">IFERROR(MID($B8,FIND(", ",$B8,FIND(", ",$B8,FIND(", ",$B8))+1)+2,700),"")</f>
        <v/>
      </c>
      <c r="AP8" s="675" t="str">
        <f>IFERROR(INDEX(Üldreiting!$M:$M,MATCH(AO8,Üldreiting!$H:$H,0)),"")</f>
        <v/>
      </c>
    </row>
    <row r="9" spans="1:42" x14ac:dyDescent="0.2">
      <c r="A9" s="616">
        <v>3</v>
      </c>
      <c r="B9" s="617" t="s">
        <v>921</v>
      </c>
      <c r="C9" s="618">
        <v>12</v>
      </c>
      <c r="D9" s="619" t="s">
        <v>615</v>
      </c>
      <c r="E9" s="620">
        <v>5</v>
      </c>
      <c r="F9" s="621" t="str">
        <f>B18</f>
        <v>Jaan Joonas, Toomas Hoole</v>
      </c>
      <c r="G9" s="618">
        <v>12</v>
      </c>
      <c r="H9" s="619" t="s">
        <v>615</v>
      </c>
      <c r="I9" s="620">
        <v>10</v>
      </c>
      <c r="J9" s="621" t="str">
        <f>B27</f>
        <v>Henri Mitt, Kenneth Muusikus</v>
      </c>
      <c r="K9" s="618">
        <v>13</v>
      </c>
      <c r="L9" s="619" t="s">
        <v>615</v>
      </c>
      <c r="M9" s="620">
        <v>8</v>
      </c>
      <c r="N9" s="621" t="str">
        <f>B11</f>
        <v>Margus Berkmann, Meelis Münt</v>
      </c>
      <c r="O9" s="618">
        <v>12</v>
      </c>
      <c r="P9" s="619" t="s">
        <v>615</v>
      </c>
      <c r="Q9" s="620">
        <v>13</v>
      </c>
      <c r="R9" s="621" t="str">
        <f>B7</f>
        <v>Kevin Sten Liik, Ruudi Väärtnõu</v>
      </c>
      <c r="S9" s="618"/>
      <c r="T9" s="619" t="s">
        <v>615</v>
      </c>
      <c r="U9" s="620"/>
      <c r="V9" s="621"/>
      <c r="W9" s="618"/>
      <c r="X9" s="619" t="s">
        <v>615</v>
      </c>
      <c r="Y9" s="620"/>
      <c r="Z9" s="621"/>
      <c r="AA9" s="636">
        <f t="shared" si="0"/>
        <v>6</v>
      </c>
      <c r="AB9" s="637">
        <v>20</v>
      </c>
      <c r="AC9" s="629">
        <f t="shared" si="1"/>
        <v>49</v>
      </c>
      <c r="AD9" s="630" t="s">
        <v>615</v>
      </c>
      <c r="AE9" s="631">
        <f t="shared" si="2"/>
        <v>36</v>
      </c>
      <c r="AF9" s="804">
        <f t="shared" si="3"/>
        <v>13</v>
      </c>
      <c r="AG9" s="846"/>
      <c r="AH9" s="672">
        <f t="shared" ca="1" si="5"/>
        <v>193</v>
      </c>
      <c r="AI9" s="674" t="str">
        <f t="shared" si="6"/>
        <v>Arti Lindvest</v>
      </c>
      <c r="AJ9" s="675">
        <f ca="1">IFERROR(INDEX(Üldreiting!$M:$M,MATCH(AI9,Üldreiting!$H:$H,0)),"")</f>
        <v>118</v>
      </c>
      <c r="AK9" s="674" t="str">
        <f t="shared" si="7"/>
        <v>Jaanus Otsman</v>
      </c>
      <c r="AL9" s="675">
        <f ca="1">IFERROR(INDEX(Üldreiting!$M:$M,MATCH(AK9,Üldreiting!$H:$H,0)),"")</f>
        <v>75</v>
      </c>
      <c r="AM9" s="676" t="str">
        <f t="shared" si="8"/>
        <v/>
      </c>
      <c r="AN9" s="675" t="str">
        <f>IFERROR(INDEX(Üldreiting!$M:$M,MATCH(AM9,Üldreiting!$H:$H,0)),"")</f>
        <v/>
      </c>
      <c r="AO9" s="676" t="str">
        <f t="shared" si="9"/>
        <v/>
      </c>
      <c r="AP9" s="675" t="str">
        <f>IFERROR(INDEX(Üldreiting!$M:$M,MATCH(AO9,Üldreiting!$H:$H,0)),"")</f>
        <v/>
      </c>
    </row>
    <row r="10" spans="1:42" x14ac:dyDescent="0.2">
      <c r="A10" s="616">
        <v>4</v>
      </c>
      <c r="B10" s="617" t="s">
        <v>922</v>
      </c>
      <c r="C10" s="618">
        <v>13</v>
      </c>
      <c r="D10" s="619" t="s">
        <v>615</v>
      </c>
      <c r="E10" s="620">
        <v>4</v>
      </c>
      <c r="F10" s="621" t="str">
        <f>B31</f>
        <v>Egert Kingissepp, Marge Mägi</v>
      </c>
      <c r="G10" s="618">
        <v>13</v>
      </c>
      <c r="H10" s="619" t="s">
        <v>615</v>
      </c>
      <c r="I10" s="620">
        <v>11</v>
      </c>
      <c r="J10" s="621" t="str">
        <f>B21</f>
        <v>Aimar Poom, Marek Kolk, Valmar Pantšenko</v>
      </c>
      <c r="K10" s="618">
        <v>2</v>
      </c>
      <c r="L10" s="619" t="s">
        <v>615</v>
      </c>
      <c r="M10" s="620">
        <v>13</v>
      </c>
      <c r="N10" s="621" t="str">
        <f>B8</f>
        <v>Tanel Vähk, Tõnis Neiland</v>
      </c>
      <c r="O10" s="618">
        <v>13</v>
      </c>
      <c r="P10" s="619" t="s">
        <v>615</v>
      </c>
      <c r="Q10" s="620">
        <v>10</v>
      </c>
      <c r="R10" s="621" t="str">
        <f>B17</f>
        <v>Andero Kelu, Indrek Vaho</v>
      </c>
      <c r="S10" s="618"/>
      <c r="T10" s="619" t="s">
        <v>615</v>
      </c>
      <c r="U10" s="620"/>
      <c r="V10" s="621"/>
      <c r="W10" s="618"/>
      <c r="X10" s="619" t="s">
        <v>615</v>
      </c>
      <c r="Y10" s="620"/>
      <c r="Z10" s="621"/>
      <c r="AA10" s="636">
        <f t="shared" si="0"/>
        <v>6</v>
      </c>
      <c r="AB10" s="637">
        <v>18</v>
      </c>
      <c r="AC10" s="629">
        <f t="shared" si="1"/>
        <v>41</v>
      </c>
      <c r="AD10" s="630" t="s">
        <v>615</v>
      </c>
      <c r="AE10" s="631">
        <f t="shared" si="2"/>
        <v>38</v>
      </c>
      <c r="AF10" s="804">
        <f t="shared" si="3"/>
        <v>3</v>
      </c>
      <c r="AG10" s="846"/>
      <c r="AH10" s="672">
        <f t="shared" ca="1" si="5"/>
        <v>410</v>
      </c>
      <c r="AI10" s="674" t="str">
        <f t="shared" si="6"/>
        <v>Kaarel Mikk</v>
      </c>
      <c r="AJ10" s="675">
        <f ca="1">IFERROR(INDEX(Üldreiting!$M:$M,MATCH(AI10,Üldreiting!$H:$H,0)),"")</f>
        <v>165</v>
      </c>
      <c r="AK10" s="674" t="str">
        <f t="shared" si="7"/>
        <v>Mihkel Filipenko</v>
      </c>
      <c r="AL10" s="675">
        <f ca="1">IFERROR(INDEX(Üldreiting!$M:$M,MATCH(AK10,Üldreiting!$H:$H,0)),"")</f>
        <v>245</v>
      </c>
      <c r="AM10" s="676" t="str">
        <f t="shared" si="8"/>
        <v/>
      </c>
      <c r="AN10" s="675" t="str">
        <f>IFERROR(INDEX(Üldreiting!$M:$M,MATCH(AM10,Üldreiting!$H:$H,0)),"")</f>
        <v/>
      </c>
      <c r="AO10" s="676" t="str">
        <f t="shared" si="9"/>
        <v/>
      </c>
      <c r="AP10" s="675" t="str">
        <f>IFERROR(INDEX(Üldreiting!$M:$M,MATCH(AO10,Üldreiting!$H:$H,0)),"")</f>
        <v/>
      </c>
    </row>
    <row r="11" spans="1:42" x14ac:dyDescent="0.2">
      <c r="A11" s="616">
        <v>5</v>
      </c>
      <c r="B11" s="617" t="s">
        <v>806</v>
      </c>
      <c r="C11" s="618">
        <v>13</v>
      </c>
      <c r="D11" s="619" t="s">
        <v>615</v>
      </c>
      <c r="E11" s="620">
        <v>7</v>
      </c>
      <c r="F11" s="621" t="str">
        <f>B33</f>
        <v>Grettel Kiho, Vahur Raudsepp</v>
      </c>
      <c r="G11" s="618">
        <v>13</v>
      </c>
      <c r="H11" s="619" t="s">
        <v>615</v>
      </c>
      <c r="I11" s="620">
        <v>4</v>
      </c>
      <c r="J11" s="621" t="str">
        <f>B22</f>
        <v>Kertu Palm, Urmo Auväärt</v>
      </c>
      <c r="K11" s="618">
        <v>8</v>
      </c>
      <c r="L11" s="619" t="s">
        <v>615</v>
      </c>
      <c r="M11" s="620">
        <v>13</v>
      </c>
      <c r="N11" s="621" t="str">
        <f>B9</f>
        <v>Arti Lindvest, Jaanus Otsman</v>
      </c>
      <c r="O11" s="618">
        <v>13</v>
      </c>
      <c r="P11" s="619" t="s">
        <v>615</v>
      </c>
      <c r="Q11" s="620">
        <v>0</v>
      </c>
      <c r="R11" s="621" t="str">
        <f>B18</f>
        <v>Jaan Joonas, Toomas Hoole</v>
      </c>
      <c r="S11" s="618"/>
      <c r="T11" s="619" t="s">
        <v>615</v>
      </c>
      <c r="U11" s="620"/>
      <c r="V11" s="621"/>
      <c r="W11" s="618"/>
      <c r="X11" s="619" t="s">
        <v>615</v>
      </c>
      <c r="Y11" s="620"/>
      <c r="Z11" s="621"/>
      <c r="AA11" s="636">
        <f t="shared" si="0"/>
        <v>6</v>
      </c>
      <c r="AB11" s="637">
        <v>14</v>
      </c>
      <c r="AC11" s="638">
        <f t="shared" si="1"/>
        <v>47</v>
      </c>
      <c r="AD11" s="639" t="s">
        <v>615</v>
      </c>
      <c r="AE11" s="640">
        <f t="shared" si="2"/>
        <v>24</v>
      </c>
      <c r="AF11" s="805">
        <f t="shared" si="3"/>
        <v>23</v>
      </c>
      <c r="AG11" s="846"/>
      <c r="AH11" s="672">
        <f t="shared" ca="1" si="5"/>
        <v>1307.5</v>
      </c>
      <c r="AI11" s="674" t="str">
        <f t="shared" si="6"/>
        <v>Margus Berkmann</v>
      </c>
      <c r="AJ11" s="675">
        <f ca="1">IFERROR(INDEX(Üldreiting!$M:$M,MATCH(AI11,Üldreiting!$H:$H,0)),"")</f>
        <v>796.5</v>
      </c>
      <c r="AK11" s="674" t="str">
        <f t="shared" si="7"/>
        <v>Meelis Münt</v>
      </c>
      <c r="AL11" s="675">
        <f ca="1">IFERROR(INDEX(Üldreiting!$M:$M,MATCH(AK11,Üldreiting!$H:$H,0)),"")</f>
        <v>511</v>
      </c>
      <c r="AM11" s="676" t="str">
        <f t="shared" si="8"/>
        <v/>
      </c>
      <c r="AN11" s="675" t="str">
        <f>IFERROR(INDEX(Üldreiting!$M:$M,MATCH(AM11,Üldreiting!$H:$H,0)),"")</f>
        <v/>
      </c>
      <c r="AO11" s="676" t="str">
        <f t="shared" si="9"/>
        <v/>
      </c>
      <c r="AP11" s="675" t="str">
        <f>IFERROR(INDEX(Üldreiting!$M:$M,MATCH(AO11,Üldreiting!$H:$H,0)),"")</f>
        <v/>
      </c>
    </row>
    <row r="12" spans="1:42" x14ac:dyDescent="0.2">
      <c r="A12" s="616">
        <v>6</v>
      </c>
      <c r="B12" s="617" t="s">
        <v>923</v>
      </c>
      <c r="C12" s="618">
        <v>13</v>
      </c>
      <c r="D12" s="619" t="s">
        <v>615</v>
      </c>
      <c r="E12" s="620">
        <v>1</v>
      </c>
      <c r="F12" s="621" t="str">
        <f>B29</f>
        <v>Mare Kingissepp, Silver Kingissepp</v>
      </c>
      <c r="G12" s="618">
        <v>7</v>
      </c>
      <c r="H12" s="619" t="s">
        <v>615</v>
      </c>
      <c r="I12" s="620">
        <v>13</v>
      </c>
      <c r="J12" s="621" t="str">
        <f>B15</f>
        <v>Hardo Sokk, Toomas Tauk</v>
      </c>
      <c r="K12" s="618">
        <v>13</v>
      </c>
      <c r="L12" s="619" t="s">
        <v>615</v>
      </c>
      <c r="M12" s="620">
        <v>7</v>
      </c>
      <c r="N12" s="621" t="str">
        <f>B17</f>
        <v>Andero Kelu, Indrek Vaho</v>
      </c>
      <c r="O12" s="618">
        <v>13</v>
      </c>
      <c r="P12" s="619" t="s">
        <v>615</v>
      </c>
      <c r="Q12" s="620">
        <v>10</v>
      </c>
      <c r="R12" s="621" t="str">
        <f>B16</f>
        <v>Kadri Arunurm, Maris Rõõm</v>
      </c>
      <c r="S12" s="618"/>
      <c r="T12" s="619" t="s">
        <v>615</v>
      </c>
      <c r="U12" s="620"/>
      <c r="V12" s="621"/>
      <c r="W12" s="618"/>
      <c r="X12" s="619" t="s">
        <v>615</v>
      </c>
      <c r="Y12" s="620"/>
      <c r="Z12" s="621"/>
      <c r="AA12" s="636">
        <f t="shared" si="0"/>
        <v>6</v>
      </c>
      <c r="AB12" s="637">
        <v>14</v>
      </c>
      <c r="AC12" s="638">
        <f t="shared" si="1"/>
        <v>46</v>
      </c>
      <c r="AD12" s="639" t="s">
        <v>615</v>
      </c>
      <c r="AE12" s="640">
        <f t="shared" si="2"/>
        <v>31</v>
      </c>
      <c r="AF12" s="805">
        <f t="shared" si="3"/>
        <v>15</v>
      </c>
      <c r="AG12" s="846"/>
      <c r="AH12" s="672">
        <f t="shared" ca="1" si="5"/>
        <v>990.5</v>
      </c>
      <c r="AI12" s="674" t="str">
        <f t="shared" si="6"/>
        <v>Marek Lehis</v>
      </c>
      <c r="AJ12" s="675">
        <f ca="1">IFERROR(INDEX(Üldreiting!$M:$M,MATCH(AI12,Üldreiting!$H:$H,0)),"")</f>
        <v>332.5</v>
      </c>
      <c r="AK12" s="674" t="str">
        <f t="shared" si="7"/>
        <v>Margo Peebo</v>
      </c>
      <c r="AL12" s="675">
        <f ca="1">IFERROR(INDEX(Üldreiting!$M:$M,MATCH(AK12,Üldreiting!$H:$H,0)),"")</f>
        <v>658</v>
      </c>
      <c r="AM12" s="676" t="str">
        <f t="shared" si="8"/>
        <v/>
      </c>
      <c r="AN12" s="675" t="str">
        <f>IFERROR(INDEX(Üldreiting!$M:$M,MATCH(AM12,Üldreiting!$H:$H,0)),"")</f>
        <v/>
      </c>
      <c r="AO12" s="676" t="str">
        <f t="shared" si="9"/>
        <v/>
      </c>
      <c r="AP12" s="675" t="str">
        <f>IFERROR(INDEX(Üldreiting!$M:$M,MATCH(AO12,Üldreiting!$H:$H,0)),"")</f>
        <v/>
      </c>
    </row>
    <row r="13" spans="1:42" x14ac:dyDescent="0.2">
      <c r="A13" s="616">
        <v>7</v>
      </c>
      <c r="B13" s="617" t="s">
        <v>924</v>
      </c>
      <c r="C13" s="618">
        <v>13</v>
      </c>
      <c r="D13" s="619" t="s">
        <v>615</v>
      </c>
      <c r="E13" s="620">
        <v>8</v>
      </c>
      <c r="F13" s="621" t="str">
        <f>B28</f>
        <v>Külli Kariste, Marju Velga</v>
      </c>
      <c r="G13" s="618">
        <v>10</v>
      </c>
      <c r="H13" s="619" t="s">
        <v>615</v>
      </c>
      <c r="I13" s="620">
        <v>13</v>
      </c>
      <c r="J13" s="621" t="str">
        <f>B17</f>
        <v>Andero Kelu, Indrek Vaho</v>
      </c>
      <c r="K13" s="618">
        <v>13</v>
      </c>
      <c r="L13" s="619" t="s">
        <v>615</v>
      </c>
      <c r="M13" s="620">
        <v>0</v>
      </c>
      <c r="N13" s="621" t="str">
        <f>B27</f>
        <v>Henri Mitt, Kenneth Muusikus</v>
      </c>
      <c r="O13" s="618">
        <v>13</v>
      </c>
      <c r="P13" s="619" t="s">
        <v>615</v>
      </c>
      <c r="Q13" s="620">
        <v>0</v>
      </c>
      <c r="R13" s="621" t="str">
        <f>B20</f>
        <v>Aigar Lusbo, Harry Lusbo</v>
      </c>
      <c r="S13" s="618"/>
      <c r="T13" s="619" t="s">
        <v>615</v>
      </c>
      <c r="U13" s="620"/>
      <c r="V13" s="621"/>
      <c r="W13" s="618"/>
      <c r="X13" s="619" t="s">
        <v>615</v>
      </c>
      <c r="Y13" s="620"/>
      <c r="Z13" s="621"/>
      <c r="AA13" s="636">
        <f t="shared" si="0"/>
        <v>6</v>
      </c>
      <c r="AB13" s="637">
        <v>12</v>
      </c>
      <c r="AC13" s="629">
        <f t="shared" si="1"/>
        <v>49</v>
      </c>
      <c r="AD13" s="630" t="s">
        <v>615</v>
      </c>
      <c r="AE13" s="631">
        <f t="shared" si="2"/>
        <v>21</v>
      </c>
      <c r="AF13" s="804">
        <f t="shared" si="3"/>
        <v>28</v>
      </c>
      <c r="AG13" s="846"/>
      <c r="AH13" s="672">
        <f t="shared" ca="1" si="5"/>
        <v>906</v>
      </c>
      <c r="AI13" s="674" t="str">
        <f t="shared" si="6"/>
        <v>Arvi Palla</v>
      </c>
      <c r="AJ13" s="675">
        <f ca="1">IFERROR(INDEX(Üldreiting!$M:$M,MATCH(AI13,Üldreiting!$H:$H,0)),"")</f>
        <v>186</v>
      </c>
      <c r="AK13" s="674" t="str">
        <f t="shared" si="7"/>
        <v>Kaido Kopel</v>
      </c>
      <c r="AL13" s="675">
        <f ca="1">IFERROR(INDEX(Üldreiting!$M:$M,MATCH(AK13,Üldreiting!$H:$H,0)),"")</f>
        <v>720</v>
      </c>
      <c r="AM13" s="676" t="str">
        <f t="shared" si="8"/>
        <v/>
      </c>
      <c r="AN13" s="675" t="str">
        <f>IFERROR(INDEX(Üldreiting!$M:$M,MATCH(AM13,Üldreiting!$H:$H,0)),"")</f>
        <v/>
      </c>
      <c r="AO13" s="676" t="str">
        <f t="shared" si="9"/>
        <v/>
      </c>
      <c r="AP13" s="675" t="str">
        <f>IFERROR(INDEX(Üldreiting!$M:$M,MATCH(AO13,Üldreiting!$H:$H,0)),"")</f>
        <v/>
      </c>
    </row>
    <row r="14" spans="1:42" x14ac:dyDescent="0.2">
      <c r="A14" s="616">
        <v>8</v>
      </c>
      <c r="B14" s="617" t="s">
        <v>808</v>
      </c>
      <c r="C14" s="618">
        <v>6</v>
      </c>
      <c r="D14" s="619" t="s">
        <v>615</v>
      </c>
      <c r="E14" s="620">
        <v>13</v>
      </c>
      <c r="F14" s="621" t="str">
        <f>B27</f>
        <v>Henri Mitt, Kenneth Muusikus</v>
      </c>
      <c r="G14" s="618">
        <v>13</v>
      </c>
      <c r="H14" s="619" t="s">
        <v>615</v>
      </c>
      <c r="I14" s="620">
        <v>9</v>
      </c>
      <c r="J14" s="621" t="str">
        <f>B33</f>
        <v>Grettel Kiho, Vahur Raudsepp</v>
      </c>
      <c r="K14" s="618">
        <v>12</v>
      </c>
      <c r="L14" s="619" t="s">
        <v>615</v>
      </c>
      <c r="M14" s="620">
        <v>10</v>
      </c>
      <c r="N14" s="621" t="str">
        <f>B28</f>
        <v>Külli Kariste, Marju Velga</v>
      </c>
      <c r="O14" s="618">
        <v>13</v>
      </c>
      <c r="P14" s="619" t="s">
        <v>615</v>
      </c>
      <c r="Q14" s="620">
        <v>3</v>
      </c>
      <c r="R14" s="621" t="str">
        <f>B22</f>
        <v>Kertu Palm, Urmo Auväärt</v>
      </c>
      <c r="S14" s="618"/>
      <c r="T14" s="619" t="s">
        <v>615</v>
      </c>
      <c r="U14" s="620"/>
      <c r="V14" s="621"/>
      <c r="W14" s="618"/>
      <c r="X14" s="619" t="s">
        <v>615</v>
      </c>
      <c r="Y14" s="620"/>
      <c r="Z14" s="621"/>
      <c r="AA14" s="636">
        <f t="shared" si="0"/>
        <v>6</v>
      </c>
      <c r="AB14" s="637">
        <v>8</v>
      </c>
      <c r="AC14" s="629">
        <f t="shared" si="1"/>
        <v>44</v>
      </c>
      <c r="AD14" s="630" t="s">
        <v>615</v>
      </c>
      <c r="AE14" s="631">
        <f t="shared" si="2"/>
        <v>35</v>
      </c>
      <c r="AF14" s="804">
        <f t="shared" si="3"/>
        <v>9</v>
      </c>
      <c r="AG14" s="846"/>
      <c r="AH14" s="672">
        <f t="shared" ca="1" si="5"/>
        <v>1615</v>
      </c>
      <c r="AI14" s="674" t="str">
        <f t="shared" si="6"/>
        <v>Katri Aavekukk</v>
      </c>
      <c r="AJ14" s="675">
        <f ca="1">IFERROR(INDEX(Üldreiting!$M:$M,MATCH(AI14,Üldreiting!$H:$H,0)),"")</f>
        <v>1079</v>
      </c>
      <c r="AK14" s="674" t="str">
        <f t="shared" si="7"/>
        <v>Merike Aava</v>
      </c>
      <c r="AL14" s="675">
        <f ca="1">IFERROR(INDEX(Üldreiting!$M:$M,MATCH(AK14,Üldreiting!$H:$H,0)),"")</f>
        <v>536</v>
      </c>
      <c r="AM14" s="676" t="str">
        <f t="shared" si="8"/>
        <v/>
      </c>
      <c r="AN14" s="675" t="str">
        <f>IFERROR(INDEX(Üldreiting!$M:$M,MATCH(AM14,Üldreiting!$H:$H,0)),"")</f>
        <v/>
      </c>
      <c r="AO14" s="676" t="str">
        <f t="shared" si="9"/>
        <v/>
      </c>
      <c r="AP14" s="675" t="str">
        <f>IFERROR(INDEX(Üldreiting!$M:$M,MATCH(AO14,Üldreiting!$H:$H,0)),"")</f>
        <v/>
      </c>
    </row>
    <row r="15" spans="1:42" x14ac:dyDescent="0.2">
      <c r="A15" s="616">
        <v>9</v>
      </c>
      <c r="B15" s="617" t="s">
        <v>811</v>
      </c>
      <c r="C15" s="618">
        <v>13</v>
      </c>
      <c r="D15" s="619" t="s">
        <v>615</v>
      </c>
      <c r="E15" s="620">
        <v>0</v>
      </c>
      <c r="F15" s="621" t="str">
        <f>B25</f>
        <v>Aivar Sein, Maive Sein, Varje Reede</v>
      </c>
      <c r="G15" s="618">
        <v>13</v>
      </c>
      <c r="H15" s="619" t="s">
        <v>615</v>
      </c>
      <c r="I15" s="620">
        <v>7</v>
      </c>
      <c r="J15" s="621" t="str">
        <f>B12</f>
        <v>Marek Lehis, Margo Peebo</v>
      </c>
      <c r="K15" s="618">
        <v>6</v>
      </c>
      <c r="L15" s="619" t="s">
        <v>615</v>
      </c>
      <c r="M15" s="620">
        <v>13</v>
      </c>
      <c r="N15" s="621" t="str">
        <f>B7</f>
        <v>Kevin Sten Liik, Ruudi Väärtnõu</v>
      </c>
      <c r="O15" s="618">
        <v>9</v>
      </c>
      <c r="P15" s="619" t="s">
        <v>615</v>
      </c>
      <c r="Q15" s="620">
        <v>13</v>
      </c>
      <c r="R15" s="621" t="str">
        <f>B8</f>
        <v>Tanel Vähk, Tõnis Neiland</v>
      </c>
      <c r="S15" s="618"/>
      <c r="T15" s="619" t="s">
        <v>615</v>
      </c>
      <c r="U15" s="620"/>
      <c r="V15" s="621"/>
      <c r="W15" s="618"/>
      <c r="X15" s="619" t="s">
        <v>615</v>
      </c>
      <c r="Y15" s="620"/>
      <c r="Z15" s="621"/>
      <c r="AA15" s="634">
        <f t="shared" si="0"/>
        <v>4</v>
      </c>
      <c r="AB15" s="635">
        <v>26</v>
      </c>
      <c r="AC15" s="629">
        <f t="shared" si="1"/>
        <v>41</v>
      </c>
      <c r="AD15" s="630" t="s">
        <v>615</v>
      </c>
      <c r="AE15" s="631">
        <f t="shared" si="2"/>
        <v>33</v>
      </c>
      <c r="AF15" s="804">
        <f t="shared" si="3"/>
        <v>8</v>
      </c>
      <c r="AG15" s="846"/>
      <c r="AH15" s="672">
        <f t="shared" ca="1" si="5"/>
        <v>827</v>
      </c>
      <c r="AI15" s="674" t="str">
        <f t="shared" si="6"/>
        <v>Hardo Sokk</v>
      </c>
      <c r="AJ15" s="675">
        <f ca="1">IFERROR(INDEX(Üldreiting!$M:$M,MATCH(AI15,Üldreiting!$H:$H,0)),"")</f>
        <v>510</v>
      </c>
      <c r="AK15" s="674" t="str">
        <f t="shared" si="7"/>
        <v>Toomas Tauk</v>
      </c>
      <c r="AL15" s="675">
        <f ca="1">IFERROR(INDEX(Üldreiting!$M:$M,MATCH(AK15,Üldreiting!$H:$H,0)),"")</f>
        <v>317</v>
      </c>
      <c r="AM15" s="676" t="str">
        <f t="shared" si="8"/>
        <v/>
      </c>
      <c r="AN15" s="675" t="str">
        <f>IFERROR(INDEX(Üldreiting!$M:$M,MATCH(AM15,Üldreiting!$H:$H,0)),"")</f>
        <v/>
      </c>
      <c r="AO15" s="676" t="str">
        <f t="shared" si="9"/>
        <v/>
      </c>
      <c r="AP15" s="675" t="str">
        <f>IFERROR(INDEX(Üldreiting!$M:$M,MATCH(AO15,Üldreiting!$H:$H,0)),"")</f>
        <v/>
      </c>
    </row>
    <row r="16" spans="1:42" x14ac:dyDescent="0.2">
      <c r="A16" s="616">
        <v>10</v>
      </c>
      <c r="B16" s="22" t="s">
        <v>925</v>
      </c>
      <c r="C16" s="618">
        <v>13</v>
      </c>
      <c r="D16" s="619" t="s">
        <v>615</v>
      </c>
      <c r="E16" s="620">
        <v>12</v>
      </c>
      <c r="F16" s="621" t="str">
        <f>B20</f>
        <v>Aigar Lusbo, Harry Lusbo</v>
      </c>
      <c r="G16" s="618">
        <v>1</v>
      </c>
      <c r="H16" s="619" t="s">
        <v>615</v>
      </c>
      <c r="I16" s="620">
        <v>13</v>
      </c>
      <c r="J16" s="621" t="str">
        <f>B8</f>
        <v>Tanel Vähk, Tõnis Neiland</v>
      </c>
      <c r="K16" s="618">
        <v>13</v>
      </c>
      <c r="L16" s="619" t="s">
        <v>615</v>
      </c>
      <c r="M16" s="620">
        <v>1</v>
      </c>
      <c r="N16" s="621" t="str">
        <f>B21</f>
        <v>Aimar Poom, Marek Kolk, Valmar Pantšenko</v>
      </c>
      <c r="O16" s="618">
        <v>10</v>
      </c>
      <c r="P16" s="619" t="s">
        <v>615</v>
      </c>
      <c r="Q16" s="620">
        <v>13</v>
      </c>
      <c r="R16" s="621" t="str">
        <f>B12</f>
        <v>Marek Lehis, Margo Peebo</v>
      </c>
      <c r="S16" s="618"/>
      <c r="T16" s="619" t="s">
        <v>615</v>
      </c>
      <c r="U16" s="620"/>
      <c r="V16" s="621"/>
      <c r="W16" s="618"/>
      <c r="X16" s="619" t="s">
        <v>615</v>
      </c>
      <c r="Y16" s="620"/>
      <c r="Z16" s="621"/>
      <c r="AA16" s="634">
        <f t="shared" si="0"/>
        <v>4</v>
      </c>
      <c r="AB16" s="635">
        <v>22</v>
      </c>
      <c r="AC16" s="800">
        <f t="shared" si="1"/>
        <v>37</v>
      </c>
      <c r="AD16" s="801" t="s">
        <v>615</v>
      </c>
      <c r="AE16" s="802">
        <f t="shared" si="2"/>
        <v>39</v>
      </c>
      <c r="AF16" s="806">
        <f t="shared" si="3"/>
        <v>-2</v>
      </c>
      <c r="AG16" s="846"/>
      <c r="AH16" s="672">
        <f t="shared" ca="1" si="5"/>
        <v>1051</v>
      </c>
      <c r="AI16" s="674" t="str">
        <f t="shared" si="6"/>
        <v>Kadri Arunurm</v>
      </c>
      <c r="AJ16" s="675">
        <f ca="1">IFERROR(INDEX(Üldreiting!$M:$M,MATCH(AI16,Üldreiting!$H:$H,0)),"")</f>
        <v>509</v>
      </c>
      <c r="AK16" s="674" t="str">
        <f t="shared" si="7"/>
        <v>Maris Rõõm</v>
      </c>
      <c r="AL16" s="675">
        <f ca="1">IFERROR(INDEX(Üldreiting!$M:$M,MATCH(AK16,Üldreiting!$H:$H,0)),"")</f>
        <v>542</v>
      </c>
      <c r="AM16" s="676" t="str">
        <f t="shared" si="8"/>
        <v/>
      </c>
      <c r="AN16" s="675" t="str">
        <f>IFERROR(INDEX(Üldreiting!$M:$M,MATCH(AM16,Üldreiting!$H:$H,0)),"")</f>
        <v/>
      </c>
      <c r="AO16" s="676" t="str">
        <f t="shared" si="9"/>
        <v/>
      </c>
      <c r="AP16" s="675" t="str">
        <f>IFERROR(INDEX(Üldreiting!$M:$M,MATCH(AO16,Üldreiting!$H:$H,0)),"")</f>
        <v/>
      </c>
    </row>
    <row r="17" spans="1:42" x14ac:dyDescent="0.2">
      <c r="A17" s="616">
        <v>11</v>
      </c>
      <c r="B17" s="234" t="s">
        <v>926</v>
      </c>
      <c r="C17" s="618">
        <v>13</v>
      </c>
      <c r="D17" s="619" t="s">
        <v>615</v>
      </c>
      <c r="E17" s="620">
        <v>10</v>
      </c>
      <c r="F17" s="621" t="str">
        <f>B23</f>
        <v>Aigi Orro, Kalle Orro</v>
      </c>
      <c r="G17" s="618">
        <v>13</v>
      </c>
      <c r="H17" s="619" t="s">
        <v>615</v>
      </c>
      <c r="I17" s="620">
        <v>10</v>
      </c>
      <c r="J17" s="621" t="str">
        <f>B13</f>
        <v>Arvi Palla, Kaido Kopel</v>
      </c>
      <c r="K17" s="618">
        <v>7</v>
      </c>
      <c r="L17" s="619" t="s">
        <v>615</v>
      </c>
      <c r="M17" s="620">
        <v>13</v>
      </c>
      <c r="N17" s="621" t="str">
        <f>B12</f>
        <v>Marek Lehis, Margo Peebo</v>
      </c>
      <c r="O17" s="618">
        <v>10</v>
      </c>
      <c r="P17" s="619" t="s">
        <v>615</v>
      </c>
      <c r="Q17" s="620">
        <v>13</v>
      </c>
      <c r="R17" s="621" t="str">
        <f>B10</f>
        <v>Kaarel Mikk, Mihkel Filipenko</v>
      </c>
      <c r="S17" s="618"/>
      <c r="T17" s="619" t="s">
        <v>615</v>
      </c>
      <c r="U17" s="620"/>
      <c r="V17" s="621"/>
      <c r="W17" s="618"/>
      <c r="X17" s="619" t="s">
        <v>615</v>
      </c>
      <c r="Y17" s="620"/>
      <c r="Z17" s="621"/>
      <c r="AA17" s="634">
        <f t="shared" si="0"/>
        <v>4</v>
      </c>
      <c r="AB17" s="635">
        <v>22</v>
      </c>
      <c r="AC17" s="800">
        <f t="shared" si="1"/>
        <v>43</v>
      </c>
      <c r="AD17" s="801" t="s">
        <v>615</v>
      </c>
      <c r="AE17" s="802">
        <f t="shared" si="2"/>
        <v>46</v>
      </c>
      <c r="AF17" s="806">
        <f t="shared" si="3"/>
        <v>-3</v>
      </c>
      <c r="AG17" s="846"/>
      <c r="AH17" s="672">
        <f t="shared" ca="1" si="5"/>
        <v>875</v>
      </c>
      <c r="AI17" s="674" t="str">
        <f t="shared" si="6"/>
        <v>Andero Kelu</v>
      </c>
      <c r="AJ17" s="675">
        <f ca="1">IFERROR(INDEX(Üldreiting!$M:$M,MATCH(AI17,Üldreiting!$H:$H,0)),"")</f>
        <v>775</v>
      </c>
      <c r="AK17" s="674" t="str">
        <f t="shared" si="7"/>
        <v>Indrek Vaho</v>
      </c>
      <c r="AL17" s="675">
        <f ca="1">IFERROR(INDEX(Üldreiting!$M:$M,MATCH(AK17,Üldreiting!$H:$H,0)),"")</f>
        <v>100</v>
      </c>
      <c r="AM17" s="676" t="str">
        <f t="shared" si="8"/>
        <v/>
      </c>
      <c r="AN17" s="675" t="str">
        <f>IFERROR(INDEX(Üldreiting!$M:$M,MATCH(AM17,Üldreiting!$H:$H,0)),"")</f>
        <v/>
      </c>
      <c r="AO17" s="676" t="str">
        <f t="shared" si="9"/>
        <v/>
      </c>
      <c r="AP17" s="675" t="str">
        <f>IFERROR(INDEX(Üldreiting!$M:$M,MATCH(AO17,Üldreiting!$H:$H,0)),"")</f>
        <v/>
      </c>
    </row>
    <row r="18" spans="1:42" x14ac:dyDescent="0.2">
      <c r="A18" s="616">
        <v>12</v>
      </c>
      <c r="B18" s="22" t="s">
        <v>616</v>
      </c>
      <c r="C18" s="618">
        <v>5</v>
      </c>
      <c r="D18" s="619" t="s">
        <v>615</v>
      </c>
      <c r="E18" s="620">
        <v>12</v>
      </c>
      <c r="F18" s="621" t="str">
        <f>B9</f>
        <v>Arti Lindvest, Jaanus Otsman</v>
      </c>
      <c r="G18" s="618">
        <v>11</v>
      </c>
      <c r="H18" s="619" t="s">
        <v>615</v>
      </c>
      <c r="I18" s="620">
        <v>5</v>
      </c>
      <c r="J18" s="621" t="str">
        <f>B24</f>
        <v>Angelika Tauk, Triin Gretel Tauk</v>
      </c>
      <c r="K18" s="618">
        <v>10</v>
      </c>
      <c r="L18" s="619" t="s">
        <v>615</v>
      </c>
      <c r="M18" s="620">
        <v>8</v>
      </c>
      <c r="N18" s="621" t="str">
        <f>B19</f>
        <v>Janek Kiisk, Marko Neemelaik</v>
      </c>
      <c r="O18" s="618">
        <v>0</v>
      </c>
      <c r="P18" s="619" t="s">
        <v>615</v>
      </c>
      <c r="Q18" s="620">
        <v>13</v>
      </c>
      <c r="R18" s="621" t="str">
        <f>B11</f>
        <v>Margus Berkmann, Meelis Münt</v>
      </c>
      <c r="S18" s="618"/>
      <c r="T18" s="619" t="s">
        <v>615</v>
      </c>
      <c r="U18" s="620"/>
      <c r="V18" s="621"/>
      <c r="W18" s="618"/>
      <c r="X18" s="619" t="s">
        <v>615</v>
      </c>
      <c r="Y18" s="620"/>
      <c r="Z18" s="621"/>
      <c r="AA18" s="634">
        <f t="shared" si="0"/>
        <v>4</v>
      </c>
      <c r="AB18" s="635">
        <v>20</v>
      </c>
      <c r="AC18" s="629">
        <f t="shared" si="1"/>
        <v>26</v>
      </c>
      <c r="AD18" s="630" t="s">
        <v>615</v>
      </c>
      <c r="AE18" s="631">
        <f t="shared" si="2"/>
        <v>38</v>
      </c>
      <c r="AF18" s="804">
        <f t="shared" si="3"/>
        <v>-12</v>
      </c>
      <c r="AG18" s="846"/>
      <c r="AH18" s="672">
        <f t="shared" ca="1" si="5"/>
        <v>1080</v>
      </c>
      <c r="AI18" s="674" t="str">
        <f t="shared" si="6"/>
        <v>Jaan Joonas</v>
      </c>
      <c r="AJ18" s="675">
        <f ca="1">IFERROR(INDEX(Üldreiting!$M:$M,MATCH(AI18,Üldreiting!$H:$H,0)),"")</f>
        <v>612</v>
      </c>
      <c r="AK18" s="674" t="str">
        <f t="shared" si="7"/>
        <v>Toomas Hoole</v>
      </c>
      <c r="AL18" s="675">
        <f ca="1">IFERROR(INDEX(Üldreiting!$M:$M,MATCH(AK18,Üldreiting!$H:$H,0)),"")</f>
        <v>468</v>
      </c>
      <c r="AM18" s="676" t="str">
        <f t="shared" si="8"/>
        <v/>
      </c>
      <c r="AN18" s="675" t="str">
        <f>IFERROR(INDEX(Üldreiting!$M:$M,MATCH(AM18,Üldreiting!$H:$H,0)),"")</f>
        <v/>
      </c>
      <c r="AO18" s="676" t="str">
        <f t="shared" si="9"/>
        <v/>
      </c>
      <c r="AP18" s="675" t="str">
        <f>IFERROR(INDEX(Üldreiting!$M:$M,MATCH(AO18,Üldreiting!$H:$H,0)),"")</f>
        <v/>
      </c>
    </row>
    <row r="19" spans="1:42" x14ac:dyDescent="0.2">
      <c r="A19" s="616">
        <v>13</v>
      </c>
      <c r="B19" s="52" t="s">
        <v>927</v>
      </c>
      <c r="C19" s="618">
        <v>13</v>
      </c>
      <c r="D19" s="619" t="s">
        <v>615</v>
      </c>
      <c r="E19" s="620">
        <v>2</v>
      </c>
      <c r="F19" s="621" t="str">
        <f>B26</f>
        <v>Markus Erik Tommula, Ott Karl Kopel</v>
      </c>
      <c r="G19" s="618">
        <v>0</v>
      </c>
      <c r="H19" s="619" t="s">
        <v>615</v>
      </c>
      <c r="I19" s="620">
        <v>13</v>
      </c>
      <c r="J19" s="621" t="str">
        <f>B7</f>
        <v>Kevin Sten Liik, Ruudi Väärtnõu</v>
      </c>
      <c r="K19" s="618">
        <v>8</v>
      </c>
      <c r="L19" s="619" t="s">
        <v>615</v>
      </c>
      <c r="M19" s="620">
        <v>10</v>
      </c>
      <c r="N19" s="621" t="str">
        <f>B18</f>
        <v>Jaan Joonas, Toomas Hoole</v>
      </c>
      <c r="O19" s="618">
        <v>13</v>
      </c>
      <c r="P19" s="619" t="s">
        <v>615</v>
      </c>
      <c r="Q19" s="620">
        <v>4</v>
      </c>
      <c r="R19" s="621" t="str">
        <f>B27</f>
        <v>Henri Mitt, Kenneth Muusikus</v>
      </c>
      <c r="S19" s="618"/>
      <c r="T19" s="619" t="s">
        <v>615</v>
      </c>
      <c r="U19" s="620"/>
      <c r="V19" s="621"/>
      <c r="W19" s="618"/>
      <c r="X19" s="619" t="s">
        <v>615</v>
      </c>
      <c r="Y19" s="620"/>
      <c r="Z19" s="621"/>
      <c r="AA19" s="634">
        <f t="shared" si="0"/>
        <v>4</v>
      </c>
      <c r="AB19" s="635">
        <v>18</v>
      </c>
      <c r="AC19" s="638">
        <f t="shared" si="1"/>
        <v>34</v>
      </c>
      <c r="AD19" s="639" t="s">
        <v>615</v>
      </c>
      <c r="AE19" s="640">
        <f t="shared" si="2"/>
        <v>29</v>
      </c>
      <c r="AF19" s="805">
        <f t="shared" si="3"/>
        <v>5</v>
      </c>
      <c r="AG19" s="846"/>
      <c r="AH19" s="672">
        <f t="shared" ca="1" si="5"/>
        <v>912.5</v>
      </c>
      <c r="AI19" s="674" t="str">
        <f t="shared" si="6"/>
        <v>Janek Kiisk</v>
      </c>
      <c r="AJ19" s="675">
        <f ca="1">IFERROR(INDEX(Üldreiting!$M:$M,MATCH(AI19,Üldreiting!$H:$H,0)),"")</f>
        <v>863.5</v>
      </c>
      <c r="AK19" s="674" t="str">
        <f t="shared" si="7"/>
        <v>Marko Neemelaik</v>
      </c>
      <c r="AL19" s="675">
        <f ca="1">IFERROR(INDEX(Üldreiting!$M:$M,MATCH(AK19,Üldreiting!$H:$H,0)),"")</f>
        <v>49</v>
      </c>
      <c r="AM19" s="676" t="str">
        <f t="shared" si="8"/>
        <v/>
      </c>
      <c r="AN19" s="675" t="str">
        <f>IFERROR(INDEX(Üldreiting!$M:$M,MATCH(AM19,Üldreiting!$H:$H,0)),"")</f>
        <v/>
      </c>
      <c r="AO19" s="676" t="str">
        <f t="shared" si="9"/>
        <v/>
      </c>
      <c r="AP19" s="675" t="str">
        <f>IFERROR(INDEX(Üldreiting!$M:$M,MATCH(AO19,Üldreiting!$H:$H,0)),"")</f>
        <v/>
      </c>
    </row>
    <row r="20" spans="1:42" x14ac:dyDescent="0.2">
      <c r="A20" s="616">
        <v>14</v>
      </c>
      <c r="B20" s="22" t="s">
        <v>928</v>
      </c>
      <c r="C20" s="618">
        <v>12</v>
      </c>
      <c r="D20" s="619" t="s">
        <v>615</v>
      </c>
      <c r="E20" s="620">
        <v>13</v>
      </c>
      <c r="F20" s="621" t="str">
        <f>B16</f>
        <v>Kadri Arunurm, Maris Rõõm</v>
      </c>
      <c r="G20" s="618">
        <v>11</v>
      </c>
      <c r="H20" s="619" t="s">
        <v>615</v>
      </c>
      <c r="I20" s="620">
        <v>9</v>
      </c>
      <c r="J20" s="621" t="str">
        <f>B23</f>
        <v>Aigi Orro, Kalle Orro</v>
      </c>
      <c r="K20" s="618">
        <v>10</v>
      </c>
      <c r="L20" s="619" t="s">
        <v>615</v>
      </c>
      <c r="M20" s="620">
        <v>9</v>
      </c>
      <c r="N20" s="621" t="str">
        <f>B25</f>
        <v>Aivar Sein, Maive Sein, Varje Reede</v>
      </c>
      <c r="O20" s="618">
        <v>0</v>
      </c>
      <c r="P20" s="619" t="s">
        <v>615</v>
      </c>
      <c r="Q20" s="620">
        <v>13</v>
      </c>
      <c r="R20" s="621" t="str">
        <f>B13</f>
        <v>Arvi Palla, Kaido Kopel</v>
      </c>
      <c r="S20" s="618"/>
      <c r="T20" s="619" t="s">
        <v>615</v>
      </c>
      <c r="U20" s="620"/>
      <c r="V20" s="621"/>
      <c r="W20" s="618"/>
      <c r="X20" s="619" t="s">
        <v>615</v>
      </c>
      <c r="Y20" s="620"/>
      <c r="Z20" s="621"/>
      <c r="AA20" s="634">
        <f t="shared" si="0"/>
        <v>4</v>
      </c>
      <c r="AB20" s="635">
        <v>18</v>
      </c>
      <c r="AC20" s="638">
        <f t="shared" si="1"/>
        <v>33</v>
      </c>
      <c r="AD20" s="639" t="s">
        <v>615</v>
      </c>
      <c r="AE20" s="640">
        <f t="shared" si="2"/>
        <v>44</v>
      </c>
      <c r="AF20" s="805">
        <f t="shared" si="3"/>
        <v>-11</v>
      </c>
      <c r="AG20" s="846"/>
      <c r="AH20" s="672">
        <f t="shared" ca="1" si="5"/>
        <v>438</v>
      </c>
      <c r="AI20" s="674" t="str">
        <f t="shared" si="6"/>
        <v>Aigar Lusbo</v>
      </c>
      <c r="AJ20" s="675">
        <f ca="1">IFERROR(INDEX(Üldreiting!$M:$M,MATCH(AI20,Üldreiting!$H:$H,0)),"")</f>
        <v>250</v>
      </c>
      <c r="AK20" s="674" t="str">
        <f t="shared" si="7"/>
        <v>Harry Lusbo</v>
      </c>
      <c r="AL20" s="675">
        <f ca="1">IFERROR(INDEX(Üldreiting!$M:$M,MATCH(AK20,Üldreiting!$H:$H,0)),"")</f>
        <v>188</v>
      </c>
      <c r="AM20" s="676" t="str">
        <f t="shared" si="8"/>
        <v/>
      </c>
      <c r="AN20" s="675" t="str">
        <f>IFERROR(INDEX(Üldreiting!$M:$M,MATCH(AM20,Üldreiting!$H:$H,0)),"")</f>
        <v/>
      </c>
      <c r="AO20" s="676" t="str">
        <f t="shared" si="9"/>
        <v/>
      </c>
      <c r="AP20" s="675" t="str">
        <f>IFERROR(INDEX(Üldreiting!$M:$M,MATCH(AO20,Üldreiting!$H:$H,0)),"")</f>
        <v/>
      </c>
    </row>
    <row r="21" spans="1:42" x14ac:dyDescent="0.2">
      <c r="A21" s="616">
        <v>15</v>
      </c>
      <c r="B21" s="22" t="s">
        <v>929</v>
      </c>
      <c r="C21" s="618">
        <v>13</v>
      </c>
      <c r="D21" s="619" t="s">
        <v>615</v>
      </c>
      <c r="E21" s="620">
        <v>5</v>
      </c>
      <c r="F21" s="621" t="str">
        <f>B24</f>
        <v>Angelika Tauk, Triin Gretel Tauk</v>
      </c>
      <c r="G21" s="618">
        <v>11</v>
      </c>
      <c r="H21" s="619" t="s">
        <v>615</v>
      </c>
      <c r="I21" s="620">
        <v>13</v>
      </c>
      <c r="J21" s="621" t="str">
        <f>B10</f>
        <v>Kaarel Mikk, Mihkel Filipenko</v>
      </c>
      <c r="K21" s="618">
        <v>1</v>
      </c>
      <c r="L21" s="619" t="s">
        <v>615</v>
      </c>
      <c r="M21" s="620">
        <v>13</v>
      </c>
      <c r="N21" s="621" t="str">
        <f>B16</f>
        <v>Kadri Arunurm, Maris Rõõm</v>
      </c>
      <c r="O21" s="618">
        <v>13</v>
      </c>
      <c r="P21" s="619" t="s">
        <v>615</v>
      </c>
      <c r="Q21" s="620">
        <v>12</v>
      </c>
      <c r="R21" s="621" t="str">
        <f>B28</f>
        <v>Külli Kariste, Marju Velga</v>
      </c>
      <c r="S21" s="618"/>
      <c r="T21" s="619" t="s">
        <v>615</v>
      </c>
      <c r="U21" s="620"/>
      <c r="V21" s="621"/>
      <c r="W21" s="618"/>
      <c r="X21" s="619" t="s">
        <v>615</v>
      </c>
      <c r="Y21" s="620"/>
      <c r="Z21" s="621"/>
      <c r="AA21" s="634">
        <f t="shared" si="0"/>
        <v>4</v>
      </c>
      <c r="AB21" s="635">
        <v>16</v>
      </c>
      <c r="AC21" s="800">
        <f t="shared" si="1"/>
        <v>38</v>
      </c>
      <c r="AD21" s="801" t="s">
        <v>615</v>
      </c>
      <c r="AE21" s="802">
        <f t="shared" si="2"/>
        <v>43</v>
      </c>
      <c r="AF21" s="806">
        <f t="shared" si="3"/>
        <v>-5</v>
      </c>
      <c r="AG21" s="846"/>
      <c r="AH21" s="672">
        <f t="shared" ca="1" si="5"/>
        <v>2362</v>
      </c>
      <c r="AI21" s="674" t="str">
        <f t="shared" si="6"/>
        <v>Aimar Poom</v>
      </c>
      <c r="AJ21" s="675">
        <f ca="1">IFERROR(INDEX(Üldreiting!$M:$M,MATCH(AI21,Üldreiting!$H:$H,0)),"")</f>
        <v>701</v>
      </c>
      <c r="AK21" s="674" t="str">
        <f t="shared" si="7"/>
        <v>Marek Kolk, Valmar Pantšenko</v>
      </c>
      <c r="AL21" s="675" t="str">
        <f>IFERROR(INDEX(Üldreiting!$M:$M,MATCH(AK21,Üldreiting!$H:$H,0)),"")</f>
        <v/>
      </c>
      <c r="AM21" s="676" t="str">
        <f t="shared" si="8"/>
        <v>Marek Kolk</v>
      </c>
      <c r="AN21" s="675">
        <f ca="1">IFERROR(INDEX(Üldreiting!$M:$M,MATCH(AM21,Üldreiting!$H:$H,0)),"")</f>
        <v>1081</v>
      </c>
      <c r="AO21" s="676" t="str">
        <f t="shared" si="9"/>
        <v>Valmar Pantšenko</v>
      </c>
      <c r="AP21" s="675">
        <f ca="1">IFERROR(INDEX(Üldreiting!$M:$M,MATCH(AO21,Üldreiting!$H:$H,0)),"")</f>
        <v>580</v>
      </c>
    </row>
    <row r="22" spans="1:42" x14ac:dyDescent="0.2">
      <c r="A22" s="616">
        <v>16</v>
      </c>
      <c r="B22" s="799" t="s">
        <v>930</v>
      </c>
      <c r="C22" s="618">
        <v>13</v>
      </c>
      <c r="D22" s="619" t="s">
        <v>615</v>
      </c>
      <c r="E22" s="620">
        <v>7</v>
      </c>
      <c r="F22" s="621" t="str">
        <f>B32</f>
        <v>Marina Vallik, Uku Kollom</v>
      </c>
      <c r="G22" s="618">
        <v>4</v>
      </c>
      <c r="H22" s="619" t="s">
        <v>615</v>
      </c>
      <c r="I22" s="620">
        <v>13</v>
      </c>
      <c r="J22" s="621" t="str">
        <f>B11</f>
        <v>Margus Berkmann, Meelis Münt</v>
      </c>
      <c r="K22" s="618">
        <v>13</v>
      </c>
      <c r="L22" s="619" t="s">
        <v>615</v>
      </c>
      <c r="M22" s="620">
        <v>7</v>
      </c>
      <c r="N22" s="621" t="str">
        <f>B30</f>
        <v>Einar Juhkam, Johannes Neiland</v>
      </c>
      <c r="O22" s="618">
        <v>3</v>
      </c>
      <c r="P22" s="619" t="s">
        <v>615</v>
      </c>
      <c r="Q22" s="620">
        <v>13</v>
      </c>
      <c r="R22" s="621" t="str">
        <f>B14</f>
        <v>Katri Aavekukk, Merike Aava</v>
      </c>
      <c r="S22" s="618"/>
      <c r="T22" s="619" t="s">
        <v>615</v>
      </c>
      <c r="U22" s="620"/>
      <c r="V22" s="621"/>
      <c r="W22" s="618"/>
      <c r="X22" s="619" t="s">
        <v>615</v>
      </c>
      <c r="Y22" s="620"/>
      <c r="Z22" s="621"/>
      <c r="AA22" s="634">
        <f t="shared" si="0"/>
        <v>4</v>
      </c>
      <c r="AB22" s="635">
        <v>16</v>
      </c>
      <c r="AC22" s="800">
        <f t="shared" si="1"/>
        <v>33</v>
      </c>
      <c r="AD22" s="801" t="s">
        <v>615</v>
      </c>
      <c r="AE22" s="802">
        <f t="shared" si="2"/>
        <v>40</v>
      </c>
      <c r="AF22" s="806">
        <f t="shared" si="3"/>
        <v>-7</v>
      </c>
      <c r="AG22" s="846"/>
      <c r="AH22" s="672">
        <f t="shared" ca="1" si="5"/>
        <v>1763</v>
      </c>
      <c r="AI22" s="674" t="str">
        <f t="shared" si="6"/>
        <v>Kertu Palm</v>
      </c>
      <c r="AJ22" s="675">
        <f ca="1">IFERROR(INDEX(Üldreiting!$M:$M,MATCH(AI22,Üldreiting!$H:$H,0)),"")</f>
        <v>627</v>
      </c>
      <c r="AK22" s="674" t="str">
        <f t="shared" si="7"/>
        <v>Urmo Auväärt</v>
      </c>
      <c r="AL22" s="675">
        <f ca="1">IFERROR(INDEX(Üldreiting!$M:$M,MATCH(AK22,Üldreiting!$H:$H,0)),"")</f>
        <v>1136</v>
      </c>
      <c r="AM22" s="676" t="str">
        <f t="shared" si="8"/>
        <v/>
      </c>
      <c r="AN22" s="675" t="str">
        <f>IFERROR(INDEX(Üldreiting!$M:$M,MATCH(AM22,Üldreiting!$H:$H,0)),"")</f>
        <v/>
      </c>
      <c r="AO22" s="676" t="str">
        <f t="shared" si="9"/>
        <v/>
      </c>
      <c r="AP22" s="675" t="str">
        <f>IFERROR(INDEX(Üldreiting!$M:$M,MATCH(AO22,Üldreiting!$H:$H,0)),"")</f>
        <v/>
      </c>
    </row>
    <row r="23" spans="1:42" x14ac:dyDescent="0.2">
      <c r="A23" s="616">
        <v>17</v>
      </c>
      <c r="B23" s="799" t="s">
        <v>548</v>
      </c>
      <c r="C23" s="618">
        <v>10</v>
      </c>
      <c r="D23" s="619" t="s">
        <v>615</v>
      </c>
      <c r="E23" s="620">
        <v>13</v>
      </c>
      <c r="F23" s="621" t="str">
        <f>B17</f>
        <v>Andero Kelu, Indrek Vaho</v>
      </c>
      <c r="G23" s="618">
        <v>9</v>
      </c>
      <c r="H23" s="619" t="s">
        <v>615</v>
      </c>
      <c r="I23" s="620">
        <v>11</v>
      </c>
      <c r="J23" s="621" t="str">
        <f>B20</f>
        <v>Aigar Lusbo, Harry Lusbo</v>
      </c>
      <c r="K23" s="618">
        <v>13</v>
      </c>
      <c r="L23" s="619" t="s">
        <v>615</v>
      </c>
      <c r="M23" s="620">
        <v>7</v>
      </c>
      <c r="N23" s="621" t="str">
        <f>B29</f>
        <v>Mare Kingissepp, Silver Kingissepp</v>
      </c>
      <c r="O23" s="618">
        <v>13</v>
      </c>
      <c r="P23" s="619" t="s">
        <v>615</v>
      </c>
      <c r="Q23" s="620">
        <v>4</v>
      </c>
      <c r="R23" s="621" t="str">
        <f>B30</f>
        <v>Einar Juhkam, Johannes Neiland</v>
      </c>
      <c r="S23" s="618"/>
      <c r="T23" s="619" t="s">
        <v>615</v>
      </c>
      <c r="U23" s="620"/>
      <c r="V23" s="621"/>
      <c r="W23" s="618"/>
      <c r="X23" s="619" t="s">
        <v>615</v>
      </c>
      <c r="Y23" s="620"/>
      <c r="Z23" s="621"/>
      <c r="AA23" s="634">
        <f t="shared" si="0"/>
        <v>4</v>
      </c>
      <c r="AB23" s="635">
        <v>12</v>
      </c>
      <c r="AC23" s="629">
        <f t="shared" si="1"/>
        <v>45</v>
      </c>
      <c r="AD23" s="630" t="s">
        <v>615</v>
      </c>
      <c r="AE23" s="631">
        <f t="shared" si="2"/>
        <v>35</v>
      </c>
      <c r="AF23" s="804">
        <f t="shared" si="3"/>
        <v>10</v>
      </c>
      <c r="AG23" s="846"/>
      <c r="AH23" s="672">
        <f t="shared" ca="1" si="5"/>
        <v>1837</v>
      </c>
      <c r="AI23" s="674" t="str">
        <f t="shared" si="6"/>
        <v>Aigi Orro</v>
      </c>
      <c r="AJ23" s="675">
        <f ca="1">IFERROR(INDEX(Üldreiting!$M:$M,MATCH(AI23,Üldreiting!$H:$H,0)),"")</f>
        <v>918.5</v>
      </c>
      <c r="AK23" s="674" t="str">
        <f t="shared" si="7"/>
        <v>Kalle Orro</v>
      </c>
      <c r="AL23" s="675">
        <f ca="1">IFERROR(INDEX(Üldreiting!$M:$M,MATCH(AK23,Üldreiting!$H:$H,0)),"")</f>
        <v>918.5</v>
      </c>
      <c r="AM23" s="676" t="str">
        <f t="shared" si="8"/>
        <v/>
      </c>
      <c r="AN23" s="675" t="str">
        <f>IFERROR(INDEX(Üldreiting!$M:$M,MATCH(AM23,Üldreiting!$H:$H,0)),"")</f>
        <v/>
      </c>
      <c r="AO23" s="676" t="str">
        <f t="shared" si="9"/>
        <v/>
      </c>
      <c r="AP23" s="675" t="str">
        <f>IFERROR(INDEX(Üldreiting!$M:$M,MATCH(AO23,Üldreiting!$H:$H,0)),"")</f>
        <v/>
      </c>
    </row>
    <row r="24" spans="1:42" x14ac:dyDescent="0.2">
      <c r="A24" s="616">
        <v>18</v>
      </c>
      <c r="B24" s="799" t="s">
        <v>931</v>
      </c>
      <c r="C24" s="618">
        <v>5</v>
      </c>
      <c r="D24" s="619" t="s">
        <v>615</v>
      </c>
      <c r="E24" s="620">
        <v>13</v>
      </c>
      <c r="F24" s="621" t="str">
        <f>B21</f>
        <v>Aimar Poom, Marek Kolk, Valmar Pantšenko</v>
      </c>
      <c r="G24" s="618">
        <v>5</v>
      </c>
      <c r="H24" s="619" t="s">
        <v>615</v>
      </c>
      <c r="I24" s="620">
        <v>11</v>
      </c>
      <c r="J24" s="621" t="str">
        <f>B18</f>
        <v>Jaan Joonas, Toomas Hoole</v>
      </c>
      <c r="K24" s="618">
        <v>13</v>
      </c>
      <c r="L24" s="619" t="s">
        <v>615</v>
      </c>
      <c r="M24" s="620">
        <v>7</v>
      </c>
      <c r="N24" s="621" t="s">
        <v>825</v>
      </c>
      <c r="O24" s="618">
        <v>11</v>
      </c>
      <c r="P24" s="619" t="s">
        <v>615</v>
      </c>
      <c r="Q24" s="620">
        <v>7</v>
      </c>
      <c r="R24" s="621" t="str">
        <f>B31</f>
        <v>Egert Kingissepp, Marge Mägi</v>
      </c>
      <c r="S24" s="618"/>
      <c r="T24" s="619" t="s">
        <v>615</v>
      </c>
      <c r="U24" s="620"/>
      <c r="V24" s="621"/>
      <c r="W24" s="618"/>
      <c r="X24" s="619" t="s">
        <v>615</v>
      </c>
      <c r="Y24" s="620"/>
      <c r="Z24" s="621"/>
      <c r="AA24" s="634">
        <f t="shared" si="0"/>
        <v>4</v>
      </c>
      <c r="AB24" s="635">
        <v>10</v>
      </c>
      <c r="AC24" s="638">
        <f t="shared" si="1"/>
        <v>34</v>
      </c>
      <c r="AD24" s="639" t="s">
        <v>615</v>
      </c>
      <c r="AE24" s="640">
        <f t="shared" si="2"/>
        <v>38</v>
      </c>
      <c r="AF24" s="805">
        <f t="shared" si="3"/>
        <v>-4</v>
      </c>
      <c r="AG24" s="846"/>
      <c r="AH24" s="672">
        <f t="shared" ca="1" si="5"/>
        <v>319</v>
      </c>
      <c r="AI24" s="674" t="str">
        <f t="shared" si="6"/>
        <v>Angelika Tauk</v>
      </c>
      <c r="AJ24" s="675">
        <f ca="1">IFERROR(INDEX(Üldreiting!$M:$M,MATCH(AI24,Üldreiting!$H:$H,0)),"")</f>
        <v>159</v>
      </c>
      <c r="AK24" s="674" t="str">
        <f t="shared" si="7"/>
        <v>Triin Gretel Tauk</v>
      </c>
      <c r="AL24" s="675">
        <f ca="1">IFERROR(INDEX(Üldreiting!$M:$M,MATCH(AK24,Üldreiting!$H:$H,0)),"")</f>
        <v>160</v>
      </c>
      <c r="AM24" s="676" t="str">
        <f t="shared" si="8"/>
        <v/>
      </c>
      <c r="AN24" s="675" t="str">
        <f>IFERROR(INDEX(Üldreiting!$M:$M,MATCH(AM24,Üldreiting!$H:$H,0)),"")</f>
        <v/>
      </c>
      <c r="AO24" s="676" t="str">
        <f t="shared" si="9"/>
        <v/>
      </c>
      <c r="AP24" s="675" t="str">
        <f>IFERROR(INDEX(Üldreiting!$M:$M,MATCH(AO24,Üldreiting!$H:$H,0)),"")</f>
        <v/>
      </c>
    </row>
    <row r="25" spans="1:42" x14ac:dyDescent="0.2">
      <c r="A25" s="616">
        <v>19</v>
      </c>
      <c r="B25" s="799" t="s">
        <v>653</v>
      </c>
      <c r="C25" s="618">
        <v>0</v>
      </c>
      <c r="D25" s="619" t="s">
        <v>615</v>
      </c>
      <c r="E25" s="620">
        <v>13</v>
      </c>
      <c r="F25" s="621" t="str">
        <f>B15</f>
        <v>Hardo Sokk, Toomas Tauk</v>
      </c>
      <c r="G25" s="618">
        <v>13</v>
      </c>
      <c r="H25" s="619" t="s">
        <v>615</v>
      </c>
      <c r="I25" s="620">
        <v>7</v>
      </c>
      <c r="J25" s="621" t="s">
        <v>825</v>
      </c>
      <c r="K25" s="618">
        <v>9</v>
      </c>
      <c r="L25" s="619" t="s">
        <v>615</v>
      </c>
      <c r="M25" s="620">
        <v>10</v>
      </c>
      <c r="N25" s="621" t="str">
        <f>B20</f>
        <v>Aigar Lusbo, Harry Lusbo</v>
      </c>
      <c r="O25" s="618">
        <v>13</v>
      </c>
      <c r="P25" s="619" t="s">
        <v>615</v>
      </c>
      <c r="Q25" s="620">
        <v>12</v>
      </c>
      <c r="R25" s="621" t="str">
        <f>B29</f>
        <v>Mare Kingissepp, Silver Kingissepp</v>
      </c>
      <c r="S25" s="618"/>
      <c r="T25" s="619" t="s">
        <v>615</v>
      </c>
      <c r="U25" s="620"/>
      <c r="V25" s="621"/>
      <c r="W25" s="618"/>
      <c r="X25" s="619" t="s">
        <v>615</v>
      </c>
      <c r="Y25" s="620"/>
      <c r="Z25" s="621"/>
      <c r="AA25" s="634">
        <f t="shared" si="0"/>
        <v>4</v>
      </c>
      <c r="AB25" s="635">
        <v>10</v>
      </c>
      <c r="AC25" s="638">
        <f t="shared" si="1"/>
        <v>35</v>
      </c>
      <c r="AD25" s="639" t="s">
        <v>615</v>
      </c>
      <c r="AE25" s="640">
        <f t="shared" si="2"/>
        <v>42</v>
      </c>
      <c r="AF25" s="805">
        <f t="shared" si="3"/>
        <v>-7</v>
      </c>
      <c r="AG25" s="846"/>
      <c r="AH25" s="672">
        <f t="shared" ca="1" si="5"/>
        <v>2172</v>
      </c>
      <c r="AI25" s="674" t="str">
        <f t="shared" si="6"/>
        <v>Aivar Sein</v>
      </c>
      <c r="AJ25" s="675">
        <f ca="1">IFERROR(INDEX(Üldreiting!$M:$M,MATCH(AI25,Üldreiting!$H:$H,0)),"")</f>
        <v>546</v>
      </c>
      <c r="AK25" s="674" t="str">
        <f t="shared" si="7"/>
        <v>Maive Sein, Varje Reede</v>
      </c>
      <c r="AL25" s="675" t="str">
        <f>IFERROR(INDEX(Üldreiting!$M:$M,MATCH(AK25,Üldreiting!$H:$H,0)),"")</f>
        <v/>
      </c>
      <c r="AM25" s="676" t="str">
        <f t="shared" si="8"/>
        <v>Maive Sein</v>
      </c>
      <c r="AN25" s="675">
        <f ca="1">IFERROR(INDEX(Üldreiting!$M:$M,MATCH(AM25,Üldreiting!$H:$H,0)),"")</f>
        <v>785</v>
      </c>
      <c r="AO25" s="676" t="str">
        <f t="shared" si="9"/>
        <v>Varje Reede</v>
      </c>
      <c r="AP25" s="675">
        <f ca="1">IFERROR(INDEX(Üldreiting!$M:$M,MATCH(AO25,Üldreiting!$H:$H,0)),"")</f>
        <v>841</v>
      </c>
    </row>
    <row r="26" spans="1:42" x14ac:dyDescent="0.2">
      <c r="A26" s="616">
        <v>20</v>
      </c>
      <c r="B26" s="22" t="s">
        <v>932</v>
      </c>
      <c r="C26" s="618">
        <v>2</v>
      </c>
      <c r="D26" s="619" t="s">
        <v>615</v>
      </c>
      <c r="E26" s="620">
        <v>13</v>
      </c>
      <c r="F26" s="621" t="str">
        <f>B19</f>
        <v>Janek Kiisk, Marko Neemelaik</v>
      </c>
      <c r="G26" s="618">
        <v>11</v>
      </c>
      <c r="H26" s="619" t="s">
        <v>615</v>
      </c>
      <c r="I26" s="620">
        <v>13</v>
      </c>
      <c r="J26" s="621" t="str">
        <f>B29</f>
        <v>Mare Kingissepp, Silver Kingissepp</v>
      </c>
      <c r="K26" s="618">
        <v>13</v>
      </c>
      <c r="L26" s="619" t="s">
        <v>615</v>
      </c>
      <c r="M26" s="620">
        <v>7</v>
      </c>
      <c r="N26" s="621" t="str">
        <f>B32</f>
        <v>Marina Vallik, Uku Kollom</v>
      </c>
      <c r="O26" s="618">
        <v>13</v>
      </c>
      <c r="P26" s="619" t="s">
        <v>615</v>
      </c>
      <c r="Q26" s="620">
        <v>5</v>
      </c>
      <c r="R26" s="621" t="str">
        <f>B33</f>
        <v>Grettel Kiho, Vahur Raudsepp</v>
      </c>
      <c r="S26" s="618"/>
      <c r="T26" s="619" t="s">
        <v>615</v>
      </c>
      <c r="U26" s="620"/>
      <c r="V26" s="621"/>
      <c r="W26" s="618"/>
      <c r="X26" s="619" t="s">
        <v>615</v>
      </c>
      <c r="Y26" s="620"/>
      <c r="Z26" s="621"/>
      <c r="AA26" s="634">
        <f t="shared" si="0"/>
        <v>4</v>
      </c>
      <c r="AB26" s="635">
        <v>8</v>
      </c>
      <c r="AC26" s="629">
        <f t="shared" si="1"/>
        <v>39</v>
      </c>
      <c r="AD26" s="630" t="s">
        <v>615</v>
      </c>
      <c r="AE26" s="631">
        <f t="shared" si="2"/>
        <v>38</v>
      </c>
      <c r="AF26" s="804">
        <f t="shared" si="3"/>
        <v>1</v>
      </c>
      <c r="AG26" s="846"/>
      <c r="AH26" s="672">
        <f t="shared" ca="1" si="5"/>
        <v>245</v>
      </c>
      <c r="AI26" s="674" t="str">
        <f t="shared" si="6"/>
        <v>Markus Erik Tommula</v>
      </c>
      <c r="AJ26" s="675">
        <f ca="1">IFERROR(INDEX(Üldreiting!$M:$M,MATCH(AI26,Üldreiting!$H:$H,0)),"")</f>
        <v>118</v>
      </c>
      <c r="AK26" s="674" t="str">
        <f t="shared" si="7"/>
        <v>Ott Karl Kopel</v>
      </c>
      <c r="AL26" s="675">
        <f ca="1">IFERROR(INDEX(Üldreiting!$M:$M,MATCH(AK26,Üldreiting!$H:$H,0)),"")</f>
        <v>127</v>
      </c>
      <c r="AM26" s="676" t="str">
        <f t="shared" si="8"/>
        <v/>
      </c>
      <c r="AN26" s="675" t="str">
        <f>IFERROR(INDEX(Üldreiting!$M:$M,MATCH(AM26,Üldreiting!$H:$H,0)),"")</f>
        <v/>
      </c>
      <c r="AO26" s="676" t="str">
        <f t="shared" si="9"/>
        <v/>
      </c>
      <c r="AP26" s="675" t="str">
        <f>IFERROR(INDEX(Üldreiting!$M:$M,MATCH(AO26,Üldreiting!$H:$H,0)),"")</f>
        <v/>
      </c>
    </row>
    <row r="27" spans="1:42" x14ac:dyDescent="0.2">
      <c r="A27" s="616">
        <v>21</v>
      </c>
      <c r="B27" s="799" t="s">
        <v>933</v>
      </c>
      <c r="C27" s="618">
        <v>13</v>
      </c>
      <c r="D27" s="619" t="s">
        <v>615</v>
      </c>
      <c r="E27" s="620">
        <v>6</v>
      </c>
      <c r="F27" s="621" t="str">
        <f>B14</f>
        <v>Katri Aavekukk, Merike Aava</v>
      </c>
      <c r="G27" s="618">
        <v>10</v>
      </c>
      <c r="H27" s="619" t="s">
        <v>615</v>
      </c>
      <c r="I27" s="620">
        <v>12</v>
      </c>
      <c r="J27" s="621" t="str">
        <f>B9</f>
        <v>Arti Lindvest, Jaanus Otsman</v>
      </c>
      <c r="K27" s="618">
        <v>0</v>
      </c>
      <c r="L27" s="619" t="s">
        <v>615</v>
      </c>
      <c r="M27" s="620">
        <v>13</v>
      </c>
      <c r="N27" s="621" t="str">
        <f>B13</f>
        <v>Arvi Palla, Kaido Kopel</v>
      </c>
      <c r="O27" s="618">
        <v>4</v>
      </c>
      <c r="P27" s="619" t="s">
        <v>615</v>
      </c>
      <c r="Q27" s="620">
        <v>13</v>
      </c>
      <c r="R27" s="621" t="str">
        <f>B19</f>
        <v>Janek Kiisk, Marko Neemelaik</v>
      </c>
      <c r="S27" s="618"/>
      <c r="T27" s="619" t="s">
        <v>615</v>
      </c>
      <c r="U27" s="620"/>
      <c r="V27" s="621"/>
      <c r="W27" s="618"/>
      <c r="X27" s="619" t="s">
        <v>615</v>
      </c>
      <c r="Y27" s="620"/>
      <c r="Z27" s="621"/>
      <c r="AA27" s="636">
        <f t="shared" si="0"/>
        <v>2</v>
      </c>
      <c r="AB27" s="637">
        <v>22</v>
      </c>
      <c r="AC27" s="629">
        <f t="shared" si="1"/>
        <v>27</v>
      </c>
      <c r="AD27" s="630" t="s">
        <v>615</v>
      </c>
      <c r="AE27" s="631">
        <f t="shared" si="2"/>
        <v>44</v>
      </c>
      <c r="AF27" s="804">
        <f t="shared" si="3"/>
        <v>-17</v>
      </c>
      <c r="AG27" s="846"/>
      <c r="AH27" s="672">
        <f t="shared" ca="1" si="5"/>
        <v>782</v>
      </c>
      <c r="AI27" s="674" t="str">
        <f t="shared" si="6"/>
        <v>Henri Mitt</v>
      </c>
      <c r="AJ27" s="675">
        <f ca="1">IFERROR(INDEX(Üldreiting!$M:$M,MATCH(AI27,Üldreiting!$H:$H,0)),"")</f>
        <v>227</v>
      </c>
      <c r="AK27" s="674" t="str">
        <f t="shared" si="7"/>
        <v>Kenneth Muusikus</v>
      </c>
      <c r="AL27" s="675">
        <f ca="1">IFERROR(INDEX(Üldreiting!$M:$M,MATCH(AK27,Üldreiting!$H:$H,0)),"")</f>
        <v>555</v>
      </c>
      <c r="AM27" s="676" t="str">
        <f t="shared" si="8"/>
        <v/>
      </c>
      <c r="AN27" s="675" t="str">
        <f>IFERROR(INDEX(Üldreiting!$M:$M,MATCH(AM27,Üldreiting!$H:$H,0)),"")</f>
        <v/>
      </c>
      <c r="AO27" s="676" t="str">
        <f t="shared" si="9"/>
        <v/>
      </c>
      <c r="AP27" s="675" t="str">
        <f>IFERROR(INDEX(Üldreiting!$M:$M,MATCH(AO27,Üldreiting!$H:$H,0)),"")</f>
        <v/>
      </c>
    </row>
    <row r="28" spans="1:42" x14ac:dyDescent="0.2">
      <c r="A28" s="616">
        <v>22</v>
      </c>
      <c r="B28" s="22" t="s">
        <v>819</v>
      </c>
      <c r="C28" s="618">
        <v>8</v>
      </c>
      <c r="D28" s="619" t="s">
        <v>615</v>
      </c>
      <c r="E28" s="620">
        <v>13</v>
      </c>
      <c r="F28" s="621" t="str">
        <f>B13</f>
        <v>Arvi Palla, Kaido Kopel</v>
      </c>
      <c r="G28" s="618">
        <v>13</v>
      </c>
      <c r="H28" s="619" t="s">
        <v>615</v>
      </c>
      <c r="I28" s="620">
        <v>7</v>
      </c>
      <c r="J28" s="621" t="str">
        <f>B32</f>
        <v>Marina Vallik, Uku Kollom</v>
      </c>
      <c r="K28" s="618">
        <v>10</v>
      </c>
      <c r="L28" s="619" t="s">
        <v>615</v>
      </c>
      <c r="M28" s="620">
        <v>12</v>
      </c>
      <c r="N28" s="621" t="str">
        <f>B14</f>
        <v>Katri Aavekukk, Merike Aava</v>
      </c>
      <c r="O28" s="618">
        <v>12</v>
      </c>
      <c r="P28" s="619" t="s">
        <v>615</v>
      </c>
      <c r="Q28" s="620">
        <v>13</v>
      </c>
      <c r="R28" s="621" t="str">
        <f>B21</f>
        <v>Aimar Poom, Marek Kolk, Valmar Pantšenko</v>
      </c>
      <c r="S28" s="618"/>
      <c r="T28" s="619" t="s">
        <v>615</v>
      </c>
      <c r="U28" s="620"/>
      <c r="V28" s="621"/>
      <c r="W28" s="618"/>
      <c r="X28" s="619" t="s">
        <v>615</v>
      </c>
      <c r="Y28" s="620"/>
      <c r="Z28" s="621"/>
      <c r="AA28" s="636">
        <f t="shared" si="0"/>
        <v>2</v>
      </c>
      <c r="AB28" s="637">
        <v>18</v>
      </c>
      <c r="AC28" s="638">
        <f t="shared" si="1"/>
        <v>43</v>
      </c>
      <c r="AD28" s="639" t="s">
        <v>615</v>
      </c>
      <c r="AE28" s="640">
        <f t="shared" si="2"/>
        <v>45</v>
      </c>
      <c r="AF28" s="805">
        <f t="shared" si="3"/>
        <v>-2</v>
      </c>
      <c r="AG28" s="846"/>
      <c r="AH28" s="672">
        <f t="shared" ca="1" si="5"/>
        <v>1046</v>
      </c>
      <c r="AI28" s="674" t="str">
        <f t="shared" si="6"/>
        <v>Külli Kariste</v>
      </c>
      <c r="AJ28" s="675">
        <f ca="1">IFERROR(INDEX(Üldreiting!$M:$M,MATCH(AI28,Üldreiting!$H:$H,0)),"")</f>
        <v>593</v>
      </c>
      <c r="AK28" s="674" t="str">
        <f t="shared" si="7"/>
        <v>Marju Velga</v>
      </c>
      <c r="AL28" s="675">
        <f ca="1">IFERROR(INDEX(Üldreiting!$M:$M,MATCH(AK28,Üldreiting!$H:$H,0)),"")</f>
        <v>453</v>
      </c>
      <c r="AM28" s="676" t="str">
        <f t="shared" si="8"/>
        <v/>
      </c>
      <c r="AN28" s="675" t="str">
        <f>IFERROR(INDEX(Üldreiting!$M:$M,MATCH(AM28,Üldreiting!$H:$H,0)),"")</f>
        <v/>
      </c>
      <c r="AO28" s="676" t="str">
        <f t="shared" si="9"/>
        <v/>
      </c>
      <c r="AP28" s="675" t="str">
        <f>IFERROR(INDEX(Üldreiting!$M:$M,MATCH(AO28,Üldreiting!$H:$H,0)),"")</f>
        <v/>
      </c>
    </row>
    <row r="29" spans="1:42" x14ac:dyDescent="0.2">
      <c r="A29" s="616">
        <v>23</v>
      </c>
      <c r="B29" s="22" t="s">
        <v>842</v>
      </c>
      <c r="C29" s="618">
        <v>1</v>
      </c>
      <c r="D29" s="619" t="s">
        <v>615</v>
      </c>
      <c r="E29" s="620">
        <v>13</v>
      </c>
      <c r="F29" s="621" t="str">
        <f>B12</f>
        <v>Marek Lehis, Margo Peebo</v>
      </c>
      <c r="G29" s="618">
        <v>13</v>
      </c>
      <c r="H29" s="619" t="s">
        <v>615</v>
      </c>
      <c r="I29" s="620">
        <v>11</v>
      </c>
      <c r="J29" s="621" t="str">
        <f>B26</f>
        <v>Markus Erik Tommula, Ott Karl Kopel</v>
      </c>
      <c r="K29" s="618">
        <v>7</v>
      </c>
      <c r="L29" s="619" t="s">
        <v>615</v>
      </c>
      <c r="M29" s="620">
        <v>13</v>
      </c>
      <c r="N29" s="621" t="str">
        <f>B23</f>
        <v>Aigi Orro, Kalle Orro</v>
      </c>
      <c r="O29" s="618">
        <v>12</v>
      </c>
      <c r="P29" s="619" t="s">
        <v>615</v>
      </c>
      <c r="Q29" s="620">
        <v>13</v>
      </c>
      <c r="R29" s="621" t="str">
        <f>B25</f>
        <v>Aivar Sein, Maive Sein, Varje Reede</v>
      </c>
      <c r="S29" s="618"/>
      <c r="T29" s="619" t="s">
        <v>615</v>
      </c>
      <c r="U29" s="620"/>
      <c r="V29" s="621"/>
      <c r="W29" s="618"/>
      <c r="X29" s="619" t="s">
        <v>615</v>
      </c>
      <c r="Y29" s="620"/>
      <c r="Z29" s="621"/>
      <c r="AA29" s="636">
        <f t="shared" si="0"/>
        <v>2</v>
      </c>
      <c r="AB29" s="637">
        <v>18</v>
      </c>
      <c r="AC29" s="638">
        <f t="shared" si="1"/>
        <v>33</v>
      </c>
      <c r="AD29" s="639" t="s">
        <v>615</v>
      </c>
      <c r="AE29" s="640">
        <f t="shared" si="2"/>
        <v>50</v>
      </c>
      <c r="AF29" s="805">
        <f t="shared" si="3"/>
        <v>-17</v>
      </c>
      <c r="AG29" s="846"/>
      <c r="AH29" s="672">
        <f t="shared" ca="1" si="5"/>
        <v>1552</v>
      </c>
      <c r="AI29" s="674" t="str">
        <f t="shared" si="6"/>
        <v>Mare Kingissepp</v>
      </c>
      <c r="AJ29" s="675">
        <f ca="1">IFERROR(INDEX(Üldreiting!$M:$M,MATCH(AI29,Üldreiting!$H:$H,0)),"")</f>
        <v>726</v>
      </c>
      <c r="AK29" s="674" t="str">
        <f t="shared" si="7"/>
        <v>Silver Kingissepp</v>
      </c>
      <c r="AL29" s="675">
        <f ca="1">IFERROR(INDEX(Üldreiting!$M:$M,MATCH(AK29,Üldreiting!$H:$H,0)),"")</f>
        <v>826</v>
      </c>
      <c r="AM29" s="676" t="str">
        <f t="shared" si="8"/>
        <v/>
      </c>
      <c r="AN29" s="675" t="str">
        <f>IFERROR(INDEX(Üldreiting!$M:$M,MATCH(AM29,Üldreiting!$H:$H,0)),"")</f>
        <v/>
      </c>
      <c r="AO29" s="676" t="str">
        <f t="shared" si="9"/>
        <v/>
      </c>
      <c r="AP29" s="675" t="str">
        <f>IFERROR(INDEX(Üldreiting!$M:$M,MATCH(AO29,Üldreiting!$H:$H,0)),"")</f>
        <v/>
      </c>
    </row>
    <row r="30" spans="1:42" x14ac:dyDescent="0.2">
      <c r="A30" s="616">
        <v>24</v>
      </c>
      <c r="B30" s="22" t="s">
        <v>934</v>
      </c>
      <c r="C30" s="618">
        <v>4</v>
      </c>
      <c r="D30" s="619" t="s">
        <v>615</v>
      </c>
      <c r="E30" s="620">
        <v>13</v>
      </c>
      <c r="F30" s="621" t="str">
        <f>B7</f>
        <v>Kevin Sten Liik, Ruudi Väärtnõu</v>
      </c>
      <c r="G30" s="618">
        <v>13</v>
      </c>
      <c r="H30" s="619" t="s">
        <v>615</v>
      </c>
      <c r="I30" s="620">
        <v>12</v>
      </c>
      <c r="J30" s="621" t="str">
        <f>B31</f>
        <v>Egert Kingissepp, Marge Mägi</v>
      </c>
      <c r="K30" s="618">
        <v>7</v>
      </c>
      <c r="L30" s="619" t="s">
        <v>615</v>
      </c>
      <c r="M30" s="620">
        <v>13</v>
      </c>
      <c r="N30" s="621" t="str">
        <f>B22</f>
        <v>Kertu Palm, Urmo Auväärt</v>
      </c>
      <c r="O30" s="618">
        <v>4</v>
      </c>
      <c r="P30" s="619" t="s">
        <v>615</v>
      </c>
      <c r="Q30" s="620">
        <v>13</v>
      </c>
      <c r="R30" s="621" t="str">
        <f>B23</f>
        <v>Aigi Orro, Kalle Orro</v>
      </c>
      <c r="S30" s="618"/>
      <c r="T30" s="619" t="s">
        <v>615</v>
      </c>
      <c r="U30" s="620"/>
      <c r="V30" s="621"/>
      <c r="W30" s="618"/>
      <c r="X30" s="619" t="s">
        <v>615</v>
      </c>
      <c r="Y30" s="620"/>
      <c r="Z30" s="621"/>
      <c r="AA30" s="636">
        <f t="shared" si="0"/>
        <v>2</v>
      </c>
      <c r="AB30" s="637">
        <v>18</v>
      </c>
      <c r="AC30" s="629">
        <f t="shared" si="1"/>
        <v>28</v>
      </c>
      <c r="AD30" s="630" t="s">
        <v>615</v>
      </c>
      <c r="AE30" s="631">
        <f t="shared" si="2"/>
        <v>51</v>
      </c>
      <c r="AF30" s="804">
        <f t="shared" si="3"/>
        <v>-23</v>
      </c>
      <c r="AG30" s="846"/>
      <c r="AH30" s="672">
        <f t="shared" ca="1" si="5"/>
        <v>416</v>
      </c>
      <c r="AI30" s="674" t="str">
        <f t="shared" si="6"/>
        <v>Einar Juhkam</v>
      </c>
      <c r="AJ30" s="675">
        <f ca="1">IFERROR(INDEX(Üldreiting!$M:$M,MATCH(AI30,Üldreiting!$H:$H,0)),"")</f>
        <v>19</v>
      </c>
      <c r="AK30" s="674" t="str">
        <f t="shared" si="7"/>
        <v>Johannes Neiland</v>
      </c>
      <c r="AL30" s="675">
        <f ca="1">IFERROR(INDEX(Üldreiting!$M:$M,MATCH(AK30,Üldreiting!$H:$H,0)),"")</f>
        <v>397</v>
      </c>
      <c r="AM30" s="676" t="str">
        <f t="shared" si="8"/>
        <v/>
      </c>
      <c r="AN30" s="675" t="str">
        <f>IFERROR(INDEX(Üldreiting!$M:$M,MATCH(AM30,Üldreiting!$H:$H,0)),"")</f>
        <v/>
      </c>
      <c r="AO30" s="676" t="str">
        <f t="shared" si="9"/>
        <v/>
      </c>
      <c r="AP30" s="675" t="str">
        <f>IFERROR(INDEX(Üldreiting!$M:$M,MATCH(AO30,Üldreiting!$H:$H,0)),"")</f>
        <v/>
      </c>
    </row>
    <row r="31" spans="1:42" x14ac:dyDescent="0.2">
      <c r="A31" s="616">
        <v>25</v>
      </c>
      <c r="B31" s="799" t="s">
        <v>935</v>
      </c>
      <c r="C31" s="618">
        <v>4</v>
      </c>
      <c r="D31" s="619" t="s">
        <v>615</v>
      </c>
      <c r="E31" s="620">
        <v>13</v>
      </c>
      <c r="F31" s="621" t="str">
        <f>B10</f>
        <v>Kaarel Mikk, Mihkel Filipenko</v>
      </c>
      <c r="G31" s="618">
        <v>12</v>
      </c>
      <c r="H31" s="619" t="s">
        <v>615</v>
      </c>
      <c r="I31" s="620">
        <v>13</v>
      </c>
      <c r="J31" s="621" t="str">
        <f>B30</f>
        <v>Einar Juhkam, Johannes Neiland</v>
      </c>
      <c r="K31" s="618">
        <v>13</v>
      </c>
      <c r="L31" s="619" t="s">
        <v>615</v>
      </c>
      <c r="M31" s="620">
        <v>5</v>
      </c>
      <c r="N31" s="621" t="str">
        <f>B33</f>
        <v>Grettel Kiho, Vahur Raudsepp</v>
      </c>
      <c r="O31" s="618">
        <v>7</v>
      </c>
      <c r="P31" s="619" t="s">
        <v>615</v>
      </c>
      <c r="Q31" s="620">
        <v>11</v>
      </c>
      <c r="R31" s="621" t="str">
        <f>B24</f>
        <v>Angelika Tauk, Triin Gretel Tauk</v>
      </c>
      <c r="S31" s="618"/>
      <c r="T31" s="619" t="s">
        <v>615</v>
      </c>
      <c r="U31" s="620"/>
      <c r="V31" s="621"/>
      <c r="W31" s="618"/>
      <c r="X31" s="619" t="s">
        <v>615</v>
      </c>
      <c r="Y31" s="620"/>
      <c r="Z31" s="621"/>
      <c r="AA31" s="636">
        <f t="shared" ref="AA31:AA33" si="10">2*(IF(C31&gt;E31,1)+IF(G31&gt;I31,1)+IF(K31&gt;M31,1)+IF(O31&gt;Q31,1)+IF(S31&gt;U31,1)+IF(W31&gt;Y31,1))</f>
        <v>2</v>
      </c>
      <c r="AB31" s="637">
        <v>12</v>
      </c>
      <c r="AC31" s="629">
        <f t="shared" ref="AC31:AC33" si="11">C31+G31+K31+O31+S31+W31</f>
        <v>36</v>
      </c>
      <c r="AD31" s="630" t="s">
        <v>615</v>
      </c>
      <c r="AE31" s="631">
        <f t="shared" ref="AE31:AE33" si="12">E31+I31+M31+Q31+U31+Y31</f>
        <v>42</v>
      </c>
      <c r="AF31" s="804">
        <f t="shared" ref="AF31:AF33" si="13">AC31-AE31</f>
        <v>-6</v>
      </c>
      <c r="AG31" s="846"/>
      <c r="AH31" s="672">
        <f t="shared" ca="1" si="5"/>
        <v>1131</v>
      </c>
      <c r="AI31" s="674" t="str">
        <f t="shared" si="6"/>
        <v>Egert Kingissepp</v>
      </c>
      <c r="AJ31" s="675">
        <f ca="1">IFERROR(INDEX(Üldreiting!$M:$M,MATCH(AI31,Üldreiting!$H:$H,0)),"")</f>
        <v>386</v>
      </c>
      <c r="AK31" s="674" t="str">
        <f t="shared" si="7"/>
        <v>Marge Mägi</v>
      </c>
      <c r="AL31" s="675">
        <f ca="1">IFERROR(INDEX(Üldreiting!$M:$M,MATCH(AK31,Üldreiting!$H:$H,0)),"")</f>
        <v>745</v>
      </c>
      <c r="AM31" s="676" t="str">
        <f t="shared" si="8"/>
        <v/>
      </c>
      <c r="AN31" s="675" t="str">
        <f>IFERROR(INDEX(Üldreiting!$M:$M,MATCH(AM31,Üldreiting!$H:$H,0)),"")</f>
        <v/>
      </c>
      <c r="AO31" s="676" t="str">
        <f t="shared" si="9"/>
        <v/>
      </c>
      <c r="AP31" s="675" t="str">
        <f>IFERROR(INDEX(Üldreiting!$M:$M,MATCH(AO31,Üldreiting!$H:$H,0)),"")</f>
        <v/>
      </c>
    </row>
    <row r="32" spans="1:42" x14ac:dyDescent="0.2">
      <c r="A32" s="616">
        <v>26</v>
      </c>
      <c r="B32" s="799" t="s">
        <v>936</v>
      </c>
      <c r="C32" s="618">
        <v>7</v>
      </c>
      <c r="D32" s="619" t="s">
        <v>615</v>
      </c>
      <c r="E32" s="620">
        <v>13</v>
      </c>
      <c r="F32" s="621" t="str">
        <f>B22</f>
        <v>Kertu Palm, Urmo Auväärt</v>
      </c>
      <c r="G32" s="618">
        <v>7</v>
      </c>
      <c r="H32" s="619" t="s">
        <v>615</v>
      </c>
      <c r="I32" s="620">
        <v>13</v>
      </c>
      <c r="J32" s="621" t="str">
        <f>B28</f>
        <v>Külli Kariste, Marju Velga</v>
      </c>
      <c r="K32" s="618">
        <v>7</v>
      </c>
      <c r="L32" s="619" t="s">
        <v>615</v>
      </c>
      <c r="M32" s="620">
        <v>13</v>
      </c>
      <c r="N32" s="621" t="str">
        <f>B26</f>
        <v>Markus Erik Tommula, Ott Karl Kopel</v>
      </c>
      <c r="O32" s="618">
        <v>13</v>
      </c>
      <c r="P32" s="619" t="s">
        <v>615</v>
      </c>
      <c r="Q32" s="620">
        <v>7</v>
      </c>
      <c r="R32" s="621" t="s">
        <v>825</v>
      </c>
      <c r="S32" s="618"/>
      <c r="T32" s="619" t="s">
        <v>615</v>
      </c>
      <c r="U32" s="620"/>
      <c r="V32" s="621"/>
      <c r="W32" s="618"/>
      <c r="X32" s="619" t="s">
        <v>615</v>
      </c>
      <c r="Y32" s="620"/>
      <c r="Z32" s="621"/>
      <c r="AA32" s="636">
        <f t="shared" si="10"/>
        <v>2</v>
      </c>
      <c r="AB32" s="637">
        <v>10</v>
      </c>
      <c r="AC32" s="629">
        <f t="shared" si="11"/>
        <v>34</v>
      </c>
      <c r="AD32" s="630" t="s">
        <v>615</v>
      </c>
      <c r="AE32" s="631">
        <f t="shared" si="12"/>
        <v>46</v>
      </c>
      <c r="AF32" s="804">
        <f t="shared" si="13"/>
        <v>-12</v>
      </c>
      <c r="AG32" s="846"/>
      <c r="AH32" s="672">
        <f t="shared" ca="1" si="5"/>
        <v>341</v>
      </c>
      <c r="AI32" s="674" t="str">
        <f t="shared" si="6"/>
        <v>Marina Vallik</v>
      </c>
      <c r="AJ32" s="675">
        <f ca="1">IFERROR(INDEX(Üldreiting!$M:$M,MATCH(AI32,Üldreiting!$H:$H,0)),"")</f>
        <v>208</v>
      </c>
      <c r="AK32" s="674" t="str">
        <f t="shared" si="7"/>
        <v>Uku Kollom</v>
      </c>
      <c r="AL32" s="675">
        <f ca="1">IFERROR(INDEX(Üldreiting!$M:$M,MATCH(AK32,Üldreiting!$H:$H,0)),"")</f>
        <v>133</v>
      </c>
      <c r="AM32" s="676" t="str">
        <f t="shared" si="8"/>
        <v/>
      </c>
      <c r="AN32" s="675" t="str">
        <f>IFERROR(INDEX(Üldreiting!$M:$M,MATCH(AM32,Üldreiting!$H:$H,0)),"")</f>
        <v/>
      </c>
      <c r="AO32" s="676" t="str">
        <f t="shared" si="9"/>
        <v/>
      </c>
      <c r="AP32" s="675" t="str">
        <f>IFERROR(INDEX(Üldreiting!$M:$M,MATCH(AO32,Üldreiting!$H:$H,0)),"")</f>
        <v/>
      </c>
    </row>
    <row r="33" spans="1:42" x14ac:dyDescent="0.2">
      <c r="A33" s="616">
        <v>27</v>
      </c>
      <c r="B33" s="799" t="s">
        <v>937</v>
      </c>
      <c r="C33" s="618">
        <v>7</v>
      </c>
      <c r="D33" s="619" t="s">
        <v>615</v>
      </c>
      <c r="E33" s="620">
        <v>13</v>
      </c>
      <c r="F33" s="621" t="str">
        <f>B11</f>
        <v>Margus Berkmann, Meelis Münt</v>
      </c>
      <c r="G33" s="618">
        <v>9</v>
      </c>
      <c r="H33" s="619" t="s">
        <v>615</v>
      </c>
      <c r="I33" s="620">
        <v>13</v>
      </c>
      <c r="J33" s="621" t="str">
        <f>B14</f>
        <v>Katri Aavekukk, Merike Aava</v>
      </c>
      <c r="K33" s="618">
        <v>5</v>
      </c>
      <c r="L33" s="619" t="s">
        <v>615</v>
      </c>
      <c r="M33" s="620">
        <v>13</v>
      </c>
      <c r="N33" s="621" t="str">
        <f>B31</f>
        <v>Egert Kingissepp, Marge Mägi</v>
      </c>
      <c r="O33" s="618">
        <v>5</v>
      </c>
      <c r="P33" s="619" t="s">
        <v>615</v>
      </c>
      <c r="Q33" s="620">
        <v>13</v>
      </c>
      <c r="R33" s="621" t="str">
        <f>B26</f>
        <v>Markus Erik Tommula, Ott Karl Kopel</v>
      </c>
      <c r="S33" s="618"/>
      <c r="T33" s="619" t="s">
        <v>615</v>
      </c>
      <c r="U33" s="620"/>
      <c r="V33" s="621"/>
      <c r="W33" s="618"/>
      <c r="X33" s="619" t="s">
        <v>615</v>
      </c>
      <c r="Y33" s="620"/>
      <c r="Z33" s="621"/>
      <c r="AA33" s="622">
        <f t="shared" si="10"/>
        <v>0</v>
      </c>
      <c r="AB33" s="626">
        <v>18</v>
      </c>
      <c r="AC33" s="629">
        <f t="shared" si="11"/>
        <v>26</v>
      </c>
      <c r="AD33" s="630" t="s">
        <v>615</v>
      </c>
      <c r="AE33" s="631">
        <f t="shared" si="12"/>
        <v>52</v>
      </c>
      <c r="AF33" s="804">
        <f t="shared" si="13"/>
        <v>-26</v>
      </c>
      <c r="AG33" s="846"/>
      <c r="AH33" s="672">
        <f t="shared" ca="1" si="5"/>
        <v>177</v>
      </c>
      <c r="AI33" s="674" t="str">
        <f t="shared" si="6"/>
        <v>Grettel Kiho</v>
      </c>
      <c r="AJ33" s="675">
        <f ca="1">IFERROR(INDEX(Üldreiting!$M:$M,MATCH(AI33,Üldreiting!$H:$H,0)),"")</f>
        <v>10</v>
      </c>
      <c r="AK33" s="674" t="str">
        <f t="shared" si="7"/>
        <v>Vahur Raudsepp</v>
      </c>
      <c r="AL33" s="675">
        <f ca="1">IFERROR(INDEX(Üldreiting!$M:$M,MATCH(AK33,Üldreiting!$H:$H,0)),"")</f>
        <v>167</v>
      </c>
      <c r="AM33" s="676" t="str">
        <f t="shared" si="8"/>
        <v/>
      </c>
      <c r="AN33" s="675" t="str">
        <f>IFERROR(INDEX(Üldreiting!$M:$M,MATCH(AM33,Üldreiting!$H:$H,0)),"")</f>
        <v/>
      </c>
      <c r="AO33" s="676" t="str">
        <f t="shared" si="9"/>
        <v/>
      </c>
      <c r="AP33" s="675" t="str">
        <f>IFERROR(INDEX(Üldreiting!$M:$M,MATCH(AO33,Üldreiting!$H:$H,0)),"")</f>
        <v/>
      </c>
    </row>
    <row r="34" spans="1:42" hidden="1" x14ac:dyDescent="0.2">
      <c r="A34" s="606"/>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I34" s="674" t="str">
        <f t="shared" si="6"/>
        <v/>
      </c>
      <c r="AJ34" s="675" t="str">
        <f>IFERROR(INDEX(Üldreiting!$M:$M,MATCH(AI34,Üldreiting!$H:$H,0)),"")</f>
        <v/>
      </c>
      <c r="AK34" s="674" t="str">
        <f t="shared" si="7"/>
        <v/>
      </c>
      <c r="AL34" s="675" t="str">
        <f>IFERROR(INDEX(Üldreiting!$M:$M,MATCH(AK34,Üldreiting!$H:$H,0)),"")</f>
        <v/>
      </c>
      <c r="AM34" s="676" t="str">
        <f t="shared" si="8"/>
        <v/>
      </c>
      <c r="AN34" s="675" t="str">
        <f>IFERROR(INDEX(Üldreiting!$M:$M,MATCH(AM34,Üldreiting!$H:$H,0)),"")</f>
        <v/>
      </c>
      <c r="AO34" s="676" t="str">
        <f t="shared" si="9"/>
        <v/>
      </c>
      <c r="AP34" s="675" t="str">
        <f>IFERROR(INDEX(Üldreiting!$M:$M,MATCH(AO34,Üldreiting!$H:$H,0)),"")</f>
        <v/>
      </c>
    </row>
    <row r="35" spans="1:42" hidden="1" x14ac:dyDescent="0.2">
      <c r="A35" s="606"/>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I35" s="674" t="str">
        <f t="shared" si="6"/>
        <v/>
      </c>
      <c r="AJ35" s="675" t="str">
        <f>IFERROR(INDEX(Üldreiting!$M:$M,MATCH(AI35,Üldreiting!$H:$H,0)),"")</f>
        <v/>
      </c>
      <c r="AK35" s="674" t="str">
        <f t="shared" si="7"/>
        <v/>
      </c>
      <c r="AL35" s="675" t="str">
        <f>IFERROR(INDEX(Üldreiting!$M:$M,MATCH(AK35,Üldreiting!$H:$H,0)),"")</f>
        <v/>
      </c>
      <c r="AM35" s="676" t="str">
        <f t="shared" si="8"/>
        <v/>
      </c>
      <c r="AN35" s="675" t="str">
        <f>IFERROR(INDEX(Üldreiting!$M:$M,MATCH(AM35,Üldreiting!$H:$H,0)),"")</f>
        <v/>
      </c>
      <c r="AO35" s="676" t="str">
        <f t="shared" si="9"/>
        <v/>
      </c>
      <c r="AP35" s="675" t="str">
        <f>IFERROR(INDEX(Üldreiting!$M:$M,MATCH(AO35,Üldreiting!$H:$H,0)),"")</f>
        <v/>
      </c>
    </row>
    <row r="36" spans="1:42" hidden="1" x14ac:dyDescent="0.2">
      <c r="A36" s="60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I36" s="674" t="str">
        <f t="shared" si="6"/>
        <v/>
      </c>
      <c r="AJ36" s="675" t="str">
        <f>IFERROR(INDEX(Üldreiting!$M:$M,MATCH(AI36,Üldreiting!$H:$H,0)),"")</f>
        <v/>
      </c>
      <c r="AK36" s="674" t="str">
        <f t="shared" si="7"/>
        <v/>
      </c>
      <c r="AL36" s="675" t="str">
        <f>IFERROR(INDEX(Üldreiting!$M:$M,MATCH(AK36,Üldreiting!$H:$H,0)),"")</f>
        <v/>
      </c>
      <c r="AM36" s="676" t="str">
        <f t="shared" si="8"/>
        <v/>
      </c>
      <c r="AN36" s="675" t="str">
        <f>IFERROR(INDEX(Üldreiting!$M:$M,MATCH(AM36,Üldreiting!$H:$H,0)),"")</f>
        <v/>
      </c>
      <c r="AO36" s="676" t="str">
        <f t="shared" si="9"/>
        <v/>
      </c>
      <c r="AP36" s="675" t="str">
        <f>IFERROR(INDEX(Üldreiting!$M:$M,MATCH(AO36,Üldreiting!$H:$H,0)),"")</f>
        <v/>
      </c>
    </row>
    <row r="37" spans="1:42" hidden="1" x14ac:dyDescent="0.2">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I37" s="674" t="str">
        <f t="shared" si="6"/>
        <v/>
      </c>
      <c r="AJ37" s="675" t="str">
        <f>IFERROR(INDEX(Üldreiting!$M:$M,MATCH(AI37,Üldreiting!$H:$H,0)),"")</f>
        <v/>
      </c>
      <c r="AK37" s="674" t="str">
        <f t="shared" si="7"/>
        <v/>
      </c>
      <c r="AL37" s="675" t="str">
        <f>IFERROR(INDEX(Üldreiting!$M:$M,MATCH(AK37,Üldreiting!$H:$H,0)),"")</f>
        <v/>
      </c>
      <c r="AM37" s="676" t="str">
        <f t="shared" si="8"/>
        <v/>
      </c>
      <c r="AN37" s="675" t="str">
        <f>IFERROR(INDEX(Üldreiting!$M:$M,MATCH(AM37,Üldreiting!$H:$H,0)),"")</f>
        <v/>
      </c>
      <c r="AO37" s="676" t="str">
        <f t="shared" si="9"/>
        <v/>
      </c>
      <c r="AP37" s="675" t="str">
        <f>IFERROR(INDEX(Üldreiting!$M:$M,MATCH(AO37,Üldreiting!$H:$H,0)),"")</f>
        <v/>
      </c>
    </row>
    <row r="38" spans="1:42" hidden="1" x14ac:dyDescent="0.2">
      <c r="A38" s="606"/>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I38" s="674" t="str">
        <f t="shared" si="6"/>
        <v/>
      </c>
      <c r="AJ38" s="675" t="str">
        <f>IFERROR(INDEX(Üldreiting!$M:$M,MATCH(AI38,Üldreiting!$H:$H,0)),"")</f>
        <v/>
      </c>
      <c r="AK38" s="674" t="str">
        <f t="shared" si="7"/>
        <v/>
      </c>
      <c r="AL38" s="675" t="str">
        <f>IFERROR(INDEX(Üldreiting!$M:$M,MATCH(AK38,Üldreiting!$H:$H,0)),"")</f>
        <v/>
      </c>
      <c r="AM38" s="676" t="str">
        <f t="shared" si="8"/>
        <v/>
      </c>
      <c r="AN38" s="675" t="str">
        <f>IFERROR(INDEX(Üldreiting!$M:$M,MATCH(AM38,Üldreiting!$H:$H,0)),"")</f>
        <v/>
      </c>
      <c r="AO38" s="676" t="str">
        <f t="shared" si="9"/>
        <v/>
      </c>
      <c r="AP38" s="675" t="str">
        <f>IFERROR(INDEX(Üldreiting!$M:$M,MATCH(AO38,Üldreiting!$H:$H,0)),"")</f>
        <v/>
      </c>
    </row>
    <row r="39" spans="1:42" hidden="1" x14ac:dyDescent="0.2">
      <c r="A39" s="606"/>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I39" s="674" t="str">
        <f t="shared" si="6"/>
        <v/>
      </c>
      <c r="AJ39" s="675" t="str">
        <f>IFERROR(INDEX(Üldreiting!$M:$M,MATCH(AI39,Üldreiting!$H:$H,0)),"")</f>
        <v/>
      </c>
      <c r="AK39" s="674" t="str">
        <f t="shared" si="7"/>
        <v/>
      </c>
      <c r="AL39" s="675" t="str">
        <f>IFERROR(INDEX(Üldreiting!$M:$M,MATCH(AK39,Üldreiting!$H:$H,0)),"")</f>
        <v/>
      </c>
      <c r="AM39" s="676" t="str">
        <f t="shared" si="8"/>
        <v/>
      </c>
      <c r="AN39" s="675" t="str">
        <f>IFERROR(INDEX(Üldreiting!$M:$M,MATCH(AM39,Üldreiting!$H:$H,0)),"")</f>
        <v/>
      </c>
      <c r="AO39" s="676" t="str">
        <f t="shared" si="9"/>
        <v/>
      </c>
      <c r="AP39" s="675" t="str">
        <f>IFERROR(INDEX(Üldreiting!$M:$M,MATCH(AO39,Üldreiting!$H:$H,0)),"")</f>
        <v/>
      </c>
    </row>
    <row r="40" spans="1:42" hidden="1" x14ac:dyDescent="0.2">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I40" s="674" t="str">
        <f t="shared" si="6"/>
        <v/>
      </c>
      <c r="AJ40" s="675" t="str">
        <f>IFERROR(INDEX(Üldreiting!$M:$M,MATCH(AI40,Üldreiting!$H:$H,0)),"")</f>
        <v/>
      </c>
      <c r="AK40" s="674" t="str">
        <f t="shared" si="7"/>
        <v/>
      </c>
      <c r="AL40" s="675" t="str">
        <f>IFERROR(INDEX(Üldreiting!$M:$M,MATCH(AK40,Üldreiting!$H:$H,0)),"")</f>
        <v/>
      </c>
      <c r="AM40" s="676" t="str">
        <f t="shared" si="8"/>
        <v/>
      </c>
      <c r="AN40" s="675" t="str">
        <f>IFERROR(INDEX(Üldreiting!$M:$M,MATCH(AM40,Üldreiting!$H:$H,0)),"")</f>
        <v/>
      </c>
      <c r="AO40" s="676" t="str">
        <f t="shared" si="9"/>
        <v/>
      </c>
      <c r="AP40" s="675" t="str">
        <f>IFERROR(INDEX(Üldreiting!$M:$M,MATCH(AO40,Üldreiting!$H:$H,0)),"")</f>
        <v/>
      </c>
    </row>
    <row r="41" spans="1:42" hidden="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I41" s="674" t="str">
        <f t="shared" si="6"/>
        <v/>
      </c>
      <c r="AJ41" s="675" t="str">
        <f>IFERROR(INDEX(Üldreiting!$M:$M,MATCH(AI41,Üldreiting!$H:$H,0)),"")</f>
        <v/>
      </c>
      <c r="AK41" s="674" t="str">
        <f t="shared" si="7"/>
        <v/>
      </c>
      <c r="AL41" s="675" t="str">
        <f>IFERROR(INDEX(Üldreiting!$M:$M,MATCH(AK41,Üldreiting!$H:$H,0)),"")</f>
        <v/>
      </c>
      <c r="AM41" s="676" t="str">
        <f t="shared" si="8"/>
        <v/>
      </c>
      <c r="AN41" s="675" t="str">
        <f>IFERROR(INDEX(Üldreiting!$M:$M,MATCH(AM41,Üldreiting!$H:$H,0)),"")</f>
        <v/>
      </c>
      <c r="AO41" s="676" t="str">
        <f t="shared" si="9"/>
        <v/>
      </c>
      <c r="AP41" s="675" t="str">
        <f>IFERROR(INDEX(Üldreiting!$M:$M,MATCH(AO41,Üldreiting!$H:$H,0)),"")</f>
        <v/>
      </c>
    </row>
    <row r="42" spans="1:42" hidden="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I42" s="674" t="str">
        <f t="shared" si="6"/>
        <v/>
      </c>
      <c r="AJ42" s="675" t="str">
        <f>IFERROR(INDEX(Üldreiting!$M:$M,MATCH(AI42,Üldreiting!$H:$H,0)),"")</f>
        <v/>
      </c>
      <c r="AK42" s="674" t="str">
        <f t="shared" si="7"/>
        <v/>
      </c>
      <c r="AL42" s="675" t="str">
        <f>IFERROR(INDEX(Üldreiting!$M:$M,MATCH(AK42,Üldreiting!$H:$H,0)),"")</f>
        <v/>
      </c>
      <c r="AM42" s="676" t="str">
        <f t="shared" si="8"/>
        <v/>
      </c>
      <c r="AN42" s="675" t="str">
        <f>IFERROR(INDEX(Üldreiting!$M:$M,MATCH(AM42,Üldreiting!$H:$H,0)),"")</f>
        <v/>
      </c>
      <c r="AO42" s="676" t="str">
        <f t="shared" si="9"/>
        <v/>
      </c>
      <c r="AP42" s="675" t="str">
        <f>IFERROR(INDEX(Üldreiting!$M:$M,MATCH(AO42,Üldreiting!$H:$H,0)),"")</f>
        <v/>
      </c>
    </row>
    <row r="43" spans="1:42" hidden="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I43" s="674" t="str">
        <f t="shared" si="6"/>
        <v/>
      </c>
      <c r="AJ43" s="675" t="str">
        <f>IFERROR(INDEX(Üldreiting!$M:$M,MATCH(AI43,Üldreiting!$H:$H,0)),"")</f>
        <v/>
      </c>
      <c r="AK43" s="674" t="str">
        <f t="shared" si="7"/>
        <v/>
      </c>
      <c r="AL43" s="675" t="str">
        <f>IFERROR(INDEX(Üldreiting!$M:$M,MATCH(AK43,Üldreiting!$H:$H,0)),"")</f>
        <v/>
      </c>
      <c r="AM43" s="676" t="str">
        <f t="shared" si="8"/>
        <v/>
      </c>
      <c r="AN43" s="675" t="str">
        <f>IFERROR(INDEX(Üldreiting!$M:$M,MATCH(AM43,Üldreiting!$H:$H,0)),"")</f>
        <v/>
      </c>
      <c r="AO43" s="676" t="str">
        <f t="shared" si="9"/>
        <v/>
      </c>
      <c r="AP43" s="675" t="str">
        <f>IFERROR(INDEX(Üldreiting!$M:$M,MATCH(AO43,Üldreiting!$H:$H,0)),"")</f>
        <v/>
      </c>
    </row>
    <row r="44" spans="1:42" hidden="1" x14ac:dyDescent="0.2">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I44" s="674" t="str">
        <f t="shared" si="6"/>
        <v/>
      </c>
      <c r="AJ44" s="675" t="str">
        <f>IFERROR(INDEX(Üldreiting!$M:$M,MATCH(AI44,Üldreiting!$H:$H,0)),"")</f>
        <v/>
      </c>
      <c r="AK44" s="674" t="str">
        <f t="shared" si="7"/>
        <v/>
      </c>
      <c r="AL44" s="675" t="str">
        <f>IFERROR(INDEX(Üldreiting!$M:$M,MATCH(AK44,Üldreiting!$H:$H,0)),"")</f>
        <v/>
      </c>
      <c r="AM44" s="676" t="str">
        <f t="shared" si="8"/>
        <v/>
      </c>
      <c r="AN44" s="675" t="str">
        <f>IFERROR(INDEX(Üldreiting!$M:$M,MATCH(AM44,Üldreiting!$H:$H,0)),"")</f>
        <v/>
      </c>
      <c r="AO44" s="676" t="str">
        <f t="shared" si="9"/>
        <v/>
      </c>
      <c r="AP44" s="675" t="str">
        <f>IFERROR(INDEX(Üldreiting!$M:$M,MATCH(AO44,Üldreiting!$H:$H,0)),"")</f>
        <v/>
      </c>
    </row>
    <row r="45" spans="1:42" hidden="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I45" s="674" t="str">
        <f t="shared" si="6"/>
        <v/>
      </c>
      <c r="AJ45" s="675" t="str">
        <f>IFERROR(INDEX(Üldreiting!$M:$M,MATCH(AI45,Üldreiting!$H:$H,0)),"")</f>
        <v/>
      </c>
      <c r="AK45" s="674" t="str">
        <f t="shared" si="7"/>
        <v/>
      </c>
      <c r="AL45" s="675" t="str">
        <f>IFERROR(INDEX(Üldreiting!$M:$M,MATCH(AK45,Üldreiting!$H:$H,0)),"")</f>
        <v/>
      </c>
      <c r="AM45" s="676" t="str">
        <f t="shared" si="8"/>
        <v/>
      </c>
      <c r="AN45" s="675" t="str">
        <f>IFERROR(INDEX(Üldreiting!$M:$M,MATCH(AM45,Üldreiting!$H:$H,0)),"")</f>
        <v/>
      </c>
      <c r="AO45" s="676" t="str">
        <f t="shared" si="9"/>
        <v/>
      </c>
      <c r="AP45" s="675" t="str">
        <f>IFERROR(INDEX(Üldreiting!$M:$M,MATCH(AO45,Üldreiting!$H:$H,0)),"")</f>
        <v/>
      </c>
    </row>
    <row r="46" spans="1:42" hidden="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I46" s="674" t="str">
        <f t="shared" si="6"/>
        <v/>
      </c>
      <c r="AJ46" s="675" t="str">
        <f>IFERROR(INDEX(Üldreiting!$M:$M,MATCH(AI46,Üldreiting!$H:$H,0)),"")</f>
        <v/>
      </c>
      <c r="AK46" s="674" t="str">
        <f t="shared" si="7"/>
        <v/>
      </c>
      <c r="AL46" s="675" t="str">
        <f>IFERROR(INDEX(Üldreiting!$M:$M,MATCH(AK46,Üldreiting!$H:$H,0)),"")</f>
        <v/>
      </c>
      <c r="AM46" s="676" t="str">
        <f t="shared" si="8"/>
        <v/>
      </c>
      <c r="AN46" s="675" t="str">
        <f>IFERROR(INDEX(Üldreiting!$M:$M,MATCH(AM46,Üldreiting!$H:$H,0)),"")</f>
        <v/>
      </c>
      <c r="AO46" s="676" t="str">
        <f t="shared" si="9"/>
        <v/>
      </c>
      <c r="AP46" s="675" t="str">
        <f>IFERROR(INDEX(Üldreiting!$M:$M,MATCH(AO46,Üldreiting!$H:$H,0)),"")</f>
        <v/>
      </c>
    </row>
    <row r="47" spans="1:42" hidden="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I47" s="674" t="str">
        <f t="shared" si="6"/>
        <v/>
      </c>
      <c r="AJ47" s="675" t="str">
        <f>IFERROR(INDEX(Üldreiting!$M:$M,MATCH(AI47,Üldreiting!$H:$H,0)),"")</f>
        <v/>
      </c>
      <c r="AK47" s="674" t="str">
        <f t="shared" si="7"/>
        <v/>
      </c>
      <c r="AL47" s="675" t="str">
        <f>IFERROR(INDEX(Üldreiting!$M:$M,MATCH(AK47,Üldreiting!$H:$H,0)),"")</f>
        <v/>
      </c>
      <c r="AM47" s="676" t="str">
        <f t="shared" si="8"/>
        <v/>
      </c>
      <c r="AN47" s="675" t="str">
        <f>IFERROR(INDEX(Üldreiting!$M:$M,MATCH(AM47,Üldreiting!$H:$H,0)),"")</f>
        <v/>
      </c>
      <c r="AO47" s="676" t="str">
        <f t="shared" si="9"/>
        <v/>
      </c>
      <c r="AP47" s="675" t="str">
        <f>IFERROR(INDEX(Üldreiting!$M:$M,MATCH(AO47,Üldreiting!$H:$H,0)),"")</f>
        <v/>
      </c>
    </row>
    <row r="48" spans="1:42" hidden="1" x14ac:dyDescent="0.2">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I48" s="674" t="str">
        <f t="shared" si="6"/>
        <v/>
      </c>
      <c r="AJ48" s="675" t="str">
        <f>IFERROR(INDEX(Üldreiting!$M:$M,MATCH(AI48,Üldreiting!$H:$H,0)),"")</f>
        <v/>
      </c>
      <c r="AK48" s="674" t="str">
        <f t="shared" si="7"/>
        <v/>
      </c>
      <c r="AL48" s="675" t="str">
        <f>IFERROR(INDEX(Üldreiting!$M:$M,MATCH(AK48,Üldreiting!$H:$H,0)),"")</f>
        <v/>
      </c>
      <c r="AM48" s="676" t="str">
        <f t="shared" si="8"/>
        <v/>
      </c>
      <c r="AN48" s="675" t="str">
        <f>IFERROR(INDEX(Üldreiting!$M:$M,MATCH(AM48,Üldreiting!$H:$H,0)),"")</f>
        <v/>
      </c>
      <c r="AO48" s="676" t="str">
        <f t="shared" si="9"/>
        <v/>
      </c>
      <c r="AP48" s="675" t="str">
        <f>IFERROR(INDEX(Üldreiting!$M:$M,MATCH(AO48,Üldreiting!$H:$H,0)),"")</f>
        <v/>
      </c>
    </row>
    <row r="49" spans="1:42" hidden="1" x14ac:dyDescent="0.2">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I49" s="674" t="str">
        <f t="shared" si="6"/>
        <v/>
      </c>
      <c r="AJ49" s="675" t="str">
        <f>IFERROR(INDEX(Üldreiting!$M:$M,MATCH(AI49,Üldreiting!$H:$H,0)),"")</f>
        <v/>
      </c>
      <c r="AK49" s="674" t="str">
        <f t="shared" si="7"/>
        <v/>
      </c>
      <c r="AL49" s="675" t="str">
        <f>IFERROR(INDEX(Üldreiting!$M:$M,MATCH(AK49,Üldreiting!$H:$H,0)),"")</f>
        <v/>
      </c>
      <c r="AM49" s="676" t="str">
        <f t="shared" si="8"/>
        <v/>
      </c>
      <c r="AN49" s="675" t="str">
        <f>IFERROR(INDEX(Üldreiting!$M:$M,MATCH(AM49,Üldreiting!$H:$H,0)),"")</f>
        <v/>
      </c>
      <c r="AO49" s="676" t="str">
        <f t="shared" si="9"/>
        <v/>
      </c>
      <c r="AP49" s="675" t="str">
        <f>IFERROR(INDEX(Üldreiting!$M:$M,MATCH(AO49,Üldreiting!$H:$H,0)),"")</f>
        <v/>
      </c>
    </row>
    <row r="50" spans="1:42" hidden="1" x14ac:dyDescent="0.2">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I50" s="674" t="str">
        <f t="shared" si="6"/>
        <v/>
      </c>
      <c r="AJ50" s="675" t="str">
        <f>IFERROR(INDEX(Üldreiting!$M:$M,MATCH(AI50,Üldreiting!$H:$H,0)),"")</f>
        <v/>
      </c>
      <c r="AK50" s="674" t="str">
        <f t="shared" si="7"/>
        <v/>
      </c>
      <c r="AL50" s="675" t="str">
        <f>IFERROR(INDEX(Üldreiting!$M:$M,MATCH(AK50,Üldreiting!$H:$H,0)),"")</f>
        <v/>
      </c>
      <c r="AM50" s="676" t="str">
        <f t="shared" si="8"/>
        <v/>
      </c>
      <c r="AN50" s="675" t="str">
        <f>IFERROR(INDEX(Üldreiting!$M:$M,MATCH(AM50,Üldreiting!$H:$H,0)),"")</f>
        <v/>
      </c>
      <c r="AO50" s="676" t="str">
        <f t="shared" si="9"/>
        <v/>
      </c>
      <c r="AP50" s="675" t="str">
        <f>IFERROR(INDEX(Üldreiting!$M:$M,MATCH(AO50,Üldreiting!$H:$H,0)),"")</f>
        <v/>
      </c>
    </row>
    <row r="51" spans="1:42" hidden="1" x14ac:dyDescent="0.2">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I51" s="674" t="str">
        <f t="shared" si="6"/>
        <v/>
      </c>
      <c r="AJ51" s="675" t="str">
        <f>IFERROR(INDEX(Üldreiting!$M:$M,MATCH(AI51,Üldreiting!$H:$H,0)),"")</f>
        <v/>
      </c>
      <c r="AK51" s="674" t="str">
        <f t="shared" si="7"/>
        <v/>
      </c>
      <c r="AL51" s="675" t="str">
        <f>IFERROR(INDEX(Üldreiting!$M:$M,MATCH(AK51,Üldreiting!$H:$H,0)),"")</f>
        <v/>
      </c>
      <c r="AM51" s="676" t="str">
        <f t="shared" si="8"/>
        <v/>
      </c>
      <c r="AN51" s="675" t="str">
        <f>IFERROR(INDEX(Üldreiting!$M:$M,MATCH(AM51,Üldreiting!$H:$H,0)),"")</f>
        <v/>
      </c>
      <c r="AO51" s="676" t="str">
        <f t="shared" si="9"/>
        <v/>
      </c>
      <c r="AP51" s="675" t="str">
        <f>IFERROR(INDEX(Üldreiting!$M:$M,MATCH(AO51,Üldreiting!$H:$H,0)),"")</f>
        <v/>
      </c>
    </row>
    <row r="52" spans="1:42" hidden="1" x14ac:dyDescent="0.2">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I52" s="674" t="str">
        <f t="shared" si="6"/>
        <v/>
      </c>
      <c r="AJ52" s="675" t="str">
        <f>IFERROR(INDEX(Üldreiting!$M:$M,MATCH(AI52,Üldreiting!$H:$H,0)),"")</f>
        <v/>
      </c>
      <c r="AK52" s="674" t="str">
        <f t="shared" si="7"/>
        <v/>
      </c>
      <c r="AL52" s="675" t="str">
        <f>IFERROR(INDEX(Üldreiting!$M:$M,MATCH(AK52,Üldreiting!$H:$H,0)),"")</f>
        <v/>
      </c>
      <c r="AM52" s="676" t="str">
        <f t="shared" si="8"/>
        <v/>
      </c>
      <c r="AN52" s="675" t="str">
        <f>IFERROR(INDEX(Üldreiting!$M:$M,MATCH(AM52,Üldreiting!$H:$H,0)),"")</f>
        <v/>
      </c>
      <c r="AO52" s="676" t="str">
        <f t="shared" si="9"/>
        <v/>
      </c>
      <c r="AP52" s="675" t="str">
        <f>IFERROR(INDEX(Üldreiting!$M:$M,MATCH(AO52,Üldreiting!$H:$H,0)),"")</f>
        <v/>
      </c>
    </row>
    <row r="53" spans="1:42" hidden="1" x14ac:dyDescent="0.2">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I53" s="674" t="str">
        <f t="shared" si="6"/>
        <v/>
      </c>
      <c r="AJ53" s="675" t="str">
        <f>IFERROR(INDEX(Üldreiting!$M:$M,MATCH(AI53,Üldreiting!$H:$H,0)),"")</f>
        <v/>
      </c>
      <c r="AK53" s="674" t="str">
        <f t="shared" si="7"/>
        <v/>
      </c>
      <c r="AL53" s="675" t="str">
        <f>IFERROR(INDEX(Üldreiting!$M:$M,MATCH(AK53,Üldreiting!$H:$H,0)),"")</f>
        <v/>
      </c>
      <c r="AM53" s="676" t="str">
        <f t="shared" si="8"/>
        <v/>
      </c>
      <c r="AN53" s="675" t="str">
        <f>IFERROR(INDEX(Üldreiting!$M:$M,MATCH(AM53,Üldreiting!$H:$H,0)),"")</f>
        <v/>
      </c>
      <c r="AO53" s="676" t="str">
        <f t="shared" si="9"/>
        <v/>
      </c>
      <c r="AP53" s="675" t="str">
        <f>IFERROR(INDEX(Üldreiting!$M:$M,MATCH(AO53,Üldreiting!$H:$H,0)),"")</f>
        <v/>
      </c>
    </row>
    <row r="54" spans="1:42" hidden="1" x14ac:dyDescent="0.2">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I54" s="674" t="str">
        <f t="shared" si="6"/>
        <v/>
      </c>
      <c r="AJ54" s="675" t="str">
        <f>IFERROR(INDEX(Üldreiting!$M:$M,MATCH(AI54,Üldreiting!$H:$H,0)),"")</f>
        <v/>
      </c>
      <c r="AK54" s="674" t="str">
        <f t="shared" si="7"/>
        <v/>
      </c>
      <c r="AL54" s="675" t="str">
        <f>IFERROR(INDEX(Üldreiting!$M:$M,MATCH(AK54,Üldreiting!$H:$H,0)),"")</f>
        <v/>
      </c>
      <c r="AM54" s="676" t="str">
        <f t="shared" si="8"/>
        <v/>
      </c>
      <c r="AN54" s="675" t="str">
        <f>IFERROR(INDEX(Üldreiting!$M:$M,MATCH(AM54,Üldreiting!$H:$H,0)),"")</f>
        <v/>
      </c>
      <c r="AO54" s="676" t="str">
        <f t="shared" si="9"/>
        <v/>
      </c>
      <c r="AP54" s="675" t="str">
        <f>IFERROR(INDEX(Üldreiting!$M:$M,MATCH(AO54,Üldreiting!$H:$H,0)),"")</f>
        <v/>
      </c>
    </row>
    <row r="55" spans="1:42" hidden="1" x14ac:dyDescent="0.2">
      <c r="A55" s="606"/>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I55" s="674" t="str">
        <f t="shared" si="6"/>
        <v/>
      </c>
      <c r="AJ55" s="675" t="str">
        <f>IFERROR(INDEX(Üldreiting!$M:$M,MATCH(AI55,Üldreiting!$H:$H,0)),"")</f>
        <v/>
      </c>
      <c r="AK55" s="674" t="str">
        <f t="shared" si="7"/>
        <v/>
      </c>
      <c r="AL55" s="675" t="str">
        <f>IFERROR(INDEX(Üldreiting!$M:$M,MATCH(AK55,Üldreiting!$H:$H,0)),"")</f>
        <v/>
      </c>
      <c r="AM55" s="676" t="str">
        <f t="shared" si="8"/>
        <v/>
      </c>
      <c r="AN55" s="675" t="str">
        <f>IFERROR(INDEX(Üldreiting!$M:$M,MATCH(AM55,Üldreiting!$H:$H,0)),"")</f>
        <v/>
      </c>
      <c r="AO55" s="676" t="str">
        <f t="shared" si="9"/>
        <v/>
      </c>
      <c r="AP55" s="675" t="str">
        <f>IFERROR(INDEX(Üldreiting!$M:$M,MATCH(AO55,Üldreiting!$H:$H,0)),"")</f>
        <v/>
      </c>
    </row>
    <row r="56" spans="1:42" hidden="1" x14ac:dyDescent="0.2">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I56" s="674" t="str">
        <f t="shared" si="6"/>
        <v/>
      </c>
      <c r="AJ56" s="675" t="str">
        <f>IFERROR(INDEX(Üldreiting!$M:$M,MATCH(AI56,Üldreiting!$H:$H,0)),"")</f>
        <v/>
      </c>
      <c r="AK56" s="674" t="str">
        <f t="shared" si="7"/>
        <v/>
      </c>
      <c r="AL56" s="675" t="str">
        <f>IFERROR(INDEX(Üldreiting!$M:$M,MATCH(AK56,Üldreiting!$H:$H,0)),"")</f>
        <v/>
      </c>
      <c r="AM56" s="676" t="str">
        <f t="shared" si="8"/>
        <v/>
      </c>
      <c r="AN56" s="675" t="str">
        <f>IFERROR(INDEX(Üldreiting!$M:$M,MATCH(AM56,Üldreiting!$H:$H,0)),"")</f>
        <v/>
      </c>
      <c r="AO56" s="676" t="str">
        <f t="shared" si="9"/>
        <v/>
      </c>
      <c r="AP56" s="675" t="str">
        <f>IFERROR(INDEX(Üldreiting!$M:$M,MATCH(AO56,Üldreiting!$H:$H,0)),"")</f>
        <v/>
      </c>
    </row>
    <row r="57" spans="1:42" hidden="1" x14ac:dyDescent="0.2">
      <c r="A57" s="606"/>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I57" s="674" t="str">
        <f t="shared" si="6"/>
        <v/>
      </c>
      <c r="AJ57" s="675" t="str">
        <f>IFERROR(INDEX(Üldreiting!$M:$M,MATCH(AI57,Üldreiting!$H:$H,0)),"")</f>
        <v/>
      </c>
      <c r="AK57" s="674" t="str">
        <f t="shared" si="7"/>
        <v/>
      </c>
      <c r="AL57" s="675" t="str">
        <f>IFERROR(INDEX(Üldreiting!$M:$M,MATCH(AK57,Üldreiting!$H:$H,0)),"")</f>
        <v/>
      </c>
      <c r="AM57" s="676" t="str">
        <f t="shared" si="8"/>
        <v/>
      </c>
      <c r="AN57" s="675" t="str">
        <f>IFERROR(INDEX(Üldreiting!$M:$M,MATCH(AM57,Üldreiting!$H:$H,0)),"")</f>
        <v/>
      </c>
      <c r="AO57" s="676" t="str">
        <f t="shared" si="9"/>
        <v/>
      </c>
      <c r="AP57" s="675" t="str">
        <f>IFERROR(INDEX(Üldreiting!$M:$M,MATCH(AO57,Üldreiting!$H:$H,0)),"")</f>
        <v/>
      </c>
    </row>
    <row r="58" spans="1:42" hidden="1" x14ac:dyDescent="0.2">
      <c r="A58" s="606"/>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I58" s="674" t="str">
        <f t="shared" si="6"/>
        <v/>
      </c>
      <c r="AJ58" s="675" t="str">
        <f>IFERROR(INDEX(Üldreiting!$M:$M,MATCH(AI58,Üldreiting!$H:$H,0)),"")</f>
        <v/>
      </c>
      <c r="AK58" s="674" t="str">
        <f t="shared" si="7"/>
        <v/>
      </c>
      <c r="AL58" s="675" t="str">
        <f>IFERROR(INDEX(Üldreiting!$M:$M,MATCH(AK58,Üldreiting!$H:$H,0)),"")</f>
        <v/>
      </c>
      <c r="AM58" s="676" t="str">
        <f t="shared" si="8"/>
        <v/>
      </c>
      <c r="AN58" s="675" t="str">
        <f>IFERROR(INDEX(Üldreiting!$M:$M,MATCH(AM58,Üldreiting!$H:$H,0)),"")</f>
        <v/>
      </c>
      <c r="AO58" s="676" t="str">
        <f t="shared" si="9"/>
        <v/>
      </c>
      <c r="AP58" s="675" t="str">
        <f>IFERROR(INDEX(Üldreiting!$M:$M,MATCH(AO58,Üldreiting!$H:$H,0)),"")</f>
        <v/>
      </c>
    </row>
    <row r="59" spans="1:42" hidden="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I59" s="674" t="str">
        <f t="shared" si="6"/>
        <v/>
      </c>
      <c r="AJ59" s="675" t="str">
        <f>IFERROR(INDEX(Üldreiting!$M:$M,MATCH(AI59,Üldreiting!$H:$H,0)),"")</f>
        <v/>
      </c>
      <c r="AK59" s="674" t="str">
        <f t="shared" si="7"/>
        <v/>
      </c>
      <c r="AL59" s="675" t="str">
        <f>IFERROR(INDEX(Üldreiting!$M:$M,MATCH(AK59,Üldreiting!$H:$H,0)),"")</f>
        <v/>
      </c>
      <c r="AM59" s="676" t="str">
        <f t="shared" si="8"/>
        <v/>
      </c>
      <c r="AN59" s="675" t="str">
        <f>IFERROR(INDEX(Üldreiting!$M:$M,MATCH(AM59,Üldreiting!$H:$H,0)),"")</f>
        <v/>
      </c>
      <c r="AO59" s="676" t="str">
        <f t="shared" si="9"/>
        <v/>
      </c>
      <c r="AP59" s="675" t="str">
        <f>IFERROR(INDEX(Üldreiting!$M:$M,MATCH(AO59,Üldreiting!$H:$H,0)),"")</f>
        <v/>
      </c>
    </row>
    <row r="60" spans="1:42" hidden="1" x14ac:dyDescent="0.2">
      <c r="A60" s="606"/>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I60" s="674" t="str">
        <f t="shared" si="6"/>
        <v/>
      </c>
      <c r="AJ60" s="675" t="str">
        <f>IFERROR(INDEX(Üldreiting!$M:$M,MATCH(AI60,Üldreiting!$H:$H,0)),"")</f>
        <v/>
      </c>
      <c r="AK60" s="674" t="str">
        <f t="shared" si="7"/>
        <v/>
      </c>
      <c r="AL60" s="675" t="str">
        <f>IFERROR(INDEX(Üldreiting!$M:$M,MATCH(AK60,Üldreiting!$H:$H,0)),"")</f>
        <v/>
      </c>
      <c r="AM60" s="676" t="str">
        <f t="shared" si="8"/>
        <v/>
      </c>
      <c r="AN60" s="675" t="str">
        <f>IFERROR(INDEX(Üldreiting!$M:$M,MATCH(AM60,Üldreiting!$H:$H,0)),"")</f>
        <v/>
      </c>
      <c r="AO60" s="676" t="str">
        <f t="shared" si="9"/>
        <v/>
      </c>
      <c r="AP60" s="675" t="str">
        <f>IFERROR(INDEX(Üldreiting!$M:$M,MATCH(AO60,Üldreiting!$H:$H,0)),"")</f>
        <v/>
      </c>
    </row>
    <row r="61" spans="1:42" hidden="1" x14ac:dyDescent="0.2">
      <c r="A61" s="606"/>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I61" s="674" t="str">
        <f t="shared" si="6"/>
        <v/>
      </c>
      <c r="AJ61" s="675" t="str">
        <f>IFERROR(INDEX(Üldreiting!$M:$M,MATCH(AI61,Üldreiting!$H:$H,0)),"")</f>
        <v/>
      </c>
      <c r="AK61" s="674" t="str">
        <f t="shared" si="7"/>
        <v/>
      </c>
      <c r="AL61" s="675" t="str">
        <f>IFERROR(INDEX(Üldreiting!$M:$M,MATCH(AK61,Üldreiting!$H:$H,0)),"")</f>
        <v/>
      </c>
      <c r="AM61" s="676" t="str">
        <f t="shared" si="8"/>
        <v/>
      </c>
      <c r="AN61" s="675" t="str">
        <f>IFERROR(INDEX(Üldreiting!$M:$M,MATCH(AM61,Üldreiting!$H:$H,0)),"")</f>
        <v/>
      </c>
      <c r="AO61" s="676" t="str">
        <f t="shared" si="9"/>
        <v/>
      </c>
      <c r="AP61" s="675" t="str">
        <f>IFERROR(INDEX(Üldreiting!$M:$M,MATCH(AO61,Üldreiting!$H:$H,0)),"")</f>
        <v/>
      </c>
    </row>
    <row r="62" spans="1:42" hidden="1" x14ac:dyDescent="0.2">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I62" s="674" t="str">
        <f t="shared" si="6"/>
        <v/>
      </c>
      <c r="AJ62" s="675" t="str">
        <f>IFERROR(INDEX(Üldreiting!$M:$M,MATCH(AI62,Üldreiting!$H:$H,0)),"")</f>
        <v/>
      </c>
      <c r="AK62" s="674" t="str">
        <f t="shared" si="7"/>
        <v/>
      </c>
      <c r="AL62" s="675" t="str">
        <f>IFERROR(INDEX(Üldreiting!$M:$M,MATCH(AK62,Üldreiting!$H:$H,0)),"")</f>
        <v/>
      </c>
      <c r="AM62" s="676" t="str">
        <f t="shared" si="8"/>
        <v/>
      </c>
      <c r="AN62" s="675" t="str">
        <f>IFERROR(INDEX(Üldreiting!$M:$M,MATCH(AM62,Üldreiting!$H:$H,0)),"")</f>
        <v/>
      </c>
      <c r="AO62" s="676" t="str">
        <f t="shared" si="9"/>
        <v/>
      </c>
      <c r="AP62" s="675" t="str">
        <f>IFERROR(INDEX(Üldreiting!$M:$M,MATCH(AO62,Üldreiting!$H:$H,0)),"")</f>
        <v/>
      </c>
    </row>
    <row r="63" spans="1:42" hidden="1" x14ac:dyDescent="0.2">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I63" s="674" t="str">
        <f t="shared" si="6"/>
        <v/>
      </c>
      <c r="AJ63" s="675" t="str">
        <f>IFERROR(INDEX(Üldreiting!$M:$M,MATCH(AI63,Üldreiting!$H:$H,0)),"")</f>
        <v/>
      </c>
      <c r="AK63" s="674" t="str">
        <f t="shared" si="7"/>
        <v/>
      </c>
      <c r="AL63" s="675" t="str">
        <f>IFERROR(INDEX(Üldreiting!$M:$M,MATCH(AK63,Üldreiting!$H:$H,0)),"")</f>
        <v/>
      </c>
      <c r="AM63" s="676" t="str">
        <f t="shared" si="8"/>
        <v/>
      </c>
      <c r="AN63" s="675" t="str">
        <f>IFERROR(INDEX(Üldreiting!$M:$M,MATCH(AM63,Üldreiting!$H:$H,0)),"")</f>
        <v/>
      </c>
      <c r="AO63" s="676" t="str">
        <f t="shared" si="9"/>
        <v/>
      </c>
      <c r="AP63" s="675" t="str">
        <f>IFERROR(INDEX(Üldreiting!$M:$M,MATCH(AO63,Üldreiting!$H:$H,0)),"")</f>
        <v/>
      </c>
    </row>
    <row r="64" spans="1:42" hidden="1" x14ac:dyDescent="0.2">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I64" s="674" t="str">
        <f t="shared" si="6"/>
        <v/>
      </c>
      <c r="AJ64" s="675" t="str">
        <f>IFERROR(INDEX(Üldreiting!$M:$M,MATCH(AI64,Üldreiting!$H:$H,0)),"")</f>
        <v/>
      </c>
      <c r="AK64" s="674" t="str">
        <f t="shared" si="7"/>
        <v/>
      </c>
      <c r="AL64" s="675" t="str">
        <f>IFERROR(INDEX(Üldreiting!$M:$M,MATCH(AK64,Üldreiting!$H:$H,0)),"")</f>
        <v/>
      </c>
      <c r="AM64" s="676" t="str">
        <f t="shared" si="8"/>
        <v/>
      </c>
      <c r="AN64" s="675" t="str">
        <f>IFERROR(INDEX(Üldreiting!$M:$M,MATCH(AM64,Üldreiting!$H:$H,0)),"")</f>
        <v/>
      </c>
      <c r="AO64" s="676" t="str">
        <f t="shared" si="9"/>
        <v/>
      </c>
      <c r="AP64" s="675" t="str">
        <f>IFERROR(INDEX(Üldreiting!$M:$M,MATCH(AO64,Üldreiting!$H:$H,0)),"")</f>
        <v/>
      </c>
    </row>
    <row r="65" spans="1:42" hidden="1" x14ac:dyDescent="0.2">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I65" s="674" t="str">
        <f t="shared" si="6"/>
        <v/>
      </c>
      <c r="AJ65" s="675" t="str">
        <f>IFERROR(INDEX(Üldreiting!$M:$M,MATCH(AI65,Üldreiting!$H:$H,0)),"")</f>
        <v/>
      </c>
      <c r="AK65" s="674" t="str">
        <f t="shared" si="7"/>
        <v/>
      </c>
      <c r="AL65" s="675" t="str">
        <f>IFERROR(INDEX(Üldreiting!$M:$M,MATCH(AK65,Üldreiting!$H:$H,0)),"")</f>
        <v/>
      </c>
      <c r="AM65" s="676" t="str">
        <f t="shared" si="8"/>
        <v/>
      </c>
      <c r="AN65" s="675" t="str">
        <f>IFERROR(INDEX(Üldreiting!$M:$M,MATCH(AM65,Üldreiting!$H:$H,0)),"")</f>
        <v/>
      </c>
      <c r="AO65" s="676" t="str">
        <f t="shared" si="9"/>
        <v/>
      </c>
      <c r="AP65" s="675" t="str">
        <f>IFERROR(INDEX(Üldreiting!$M:$M,MATCH(AO65,Üldreiting!$H:$H,0)),"")</f>
        <v/>
      </c>
    </row>
    <row r="66" spans="1:42" hidden="1" x14ac:dyDescent="0.2">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I66" s="674" t="str">
        <f t="shared" si="6"/>
        <v/>
      </c>
      <c r="AJ66" s="675" t="str">
        <f>IFERROR(INDEX(Üldreiting!$M:$M,MATCH(AI66,Üldreiting!$H:$H,0)),"")</f>
        <v/>
      </c>
      <c r="AK66" s="674" t="str">
        <f t="shared" si="7"/>
        <v/>
      </c>
      <c r="AL66" s="675" t="str">
        <f>IFERROR(INDEX(Üldreiting!$M:$M,MATCH(AK66,Üldreiting!$H:$H,0)),"")</f>
        <v/>
      </c>
      <c r="AM66" s="676" t="str">
        <f t="shared" si="8"/>
        <v/>
      </c>
      <c r="AN66" s="675" t="str">
        <f>IFERROR(INDEX(Üldreiting!$M:$M,MATCH(AM66,Üldreiting!$H:$H,0)),"")</f>
        <v/>
      </c>
      <c r="AO66" s="676" t="str">
        <f t="shared" si="9"/>
        <v/>
      </c>
      <c r="AP66" s="675" t="str">
        <f>IFERROR(INDEX(Üldreiting!$M:$M,MATCH(AO66,Üldreiting!$H:$H,0)),"")</f>
        <v/>
      </c>
    </row>
    <row r="67" spans="1:42" hidden="1" x14ac:dyDescent="0.2">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I67" s="674" t="str">
        <f t="shared" si="6"/>
        <v/>
      </c>
      <c r="AJ67" s="675" t="str">
        <f>IFERROR(INDEX(Üldreiting!$M:$M,MATCH(AI67,Üldreiting!$H:$H,0)),"")</f>
        <v/>
      </c>
      <c r="AK67" s="674" t="str">
        <f t="shared" si="7"/>
        <v/>
      </c>
      <c r="AL67" s="675" t="str">
        <f>IFERROR(INDEX(Üldreiting!$M:$M,MATCH(AK67,Üldreiting!$H:$H,0)),"")</f>
        <v/>
      </c>
      <c r="AM67" s="676" t="str">
        <f t="shared" si="8"/>
        <v/>
      </c>
      <c r="AN67" s="675" t="str">
        <f>IFERROR(INDEX(Üldreiting!$M:$M,MATCH(AM67,Üldreiting!$H:$H,0)),"")</f>
        <v/>
      </c>
      <c r="AO67" s="676" t="str">
        <f t="shared" si="9"/>
        <v/>
      </c>
      <c r="AP67" s="675" t="str">
        <f>IFERROR(INDEX(Üldreiting!$M:$M,MATCH(AO67,Üldreiting!$H:$H,0)),"")</f>
        <v/>
      </c>
    </row>
    <row r="68" spans="1:42" hidden="1" x14ac:dyDescent="0.2">
      <c r="A68" s="606"/>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I68" s="674" t="str">
        <f t="shared" si="6"/>
        <v/>
      </c>
      <c r="AJ68" s="675" t="str">
        <f>IFERROR(INDEX(Üldreiting!$M:$M,MATCH(AI68,Üldreiting!$H:$H,0)),"")</f>
        <v/>
      </c>
      <c r="AK68" s="674" t="str">
        <f t="shared" si="7"/>
        <v/>
      </c>
      <c r="AL68" s="675" t="str">
        <f>IFERROR(INDEX(Üldreiting!$M:$M,MATCH(AK68,Üldreiting!$H:$H,0)),"")</f>
        <v/>
      </c>
      <c r="AM68" s="676" t="str">
        <f t="shared" si="8"/>
        <v/>
      </c>
      <c r="AN68" s="675" t="str">
        <f>IFERROR(INDEX(Üldreiting!$M:$M,MATCH(AM68,Üldreiting!$H:$H,0)),"")</f>
        <v/>
      </c>
      <c r="AO68" s="676" t="str">
        <f t="shared" si="9"/>
        <v/>
      </c>
      <c r="AP68" s="675" t="str">
        <f>IFERROR(INDEX(Üldreiting!$M:$M,MATCH(AO68,Üldreiting!$H:$H,0)),"")</f>
        <v/>
      </c>
    </row>
    <row r="69" spans="1:42" hidden="1" x14ac:dyDescent="0.2">
      <c r="A69" s="606"/>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I69" s="674" t="str">
        <f t="shared" si="6"/>
        <v/>
      </c>
      <c r="AJ69" s="675" t="str">
        <f>IFERROR(INDEX(Üldreiting!$M:$M,MATCH(AI69,Üldreiting!$H:$H,0)),"")</f>
        <v/>
      </c>
      <c r="AK69" s="674" t="str">
        <f t="shared" si="7"/>
        <v/>
      </c>
      <c r="AL69" s="675" t="str">
        <f>IFERROR(INDEX(Üldreiting!$M:$M,MATCH(AK69,Üldreiting!$H:$H,0)),"")</f>
        <v/>
      </c>
      <c r="AM69" s="676" t="str">
        <f t="shared" si="8"/>
        <v/>
      </c>
      <c r="AN69" s="675" t="str">
        <f>IFERROR(INDEX(Üldreiting!$M:$M,MATCH(AM69,Üldreiting!$H:$H,0)),"")</f>
        <v/>
      </c>
      <c r="AO69" s="676" t="str">
        <f t="shared" si="9"/>
        <v/>
      </c>
      <c r="AP69" s="675" t="str">
        <f>IFERROR(INDEX(Üldreiting!$M:$M,MATCH(AO69,Üldreiting!$H:$H,0)),"")</f>
        <v/>
      </c>
    </row>
    <row r="70" spans="1:42" hidden="1" x14ac:dyDescent="0.2">
      <c r="A70" s="606"/>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I70" s="674" t="str">
        <f t="shared" si="6"/>
        <v/>
      </c>
      <c r="AJ70" s="675" t="str">
        <f>IFERROR(INDEX(Üldreiting!$M:$M,MATCH(AI70,Üldreiting!$H:$H,0)),"")</f>
        <v/>
      </c>
      <c r="AK70" s="674" t="str">
        <f t="shared" si="7"/>
        <v/>
      </c>
      <c r="AL70" s="675" t="str">
        <f>IFERROR(INDEX(Üldreiting!$M:$M,MATCH(AK70,Üldreiting!$H:$H,0)),"")</f>
        <v/>
      </c>
      <c r="AM70" s="676" t="str">
        <f t="shared" si="8"/>
        <v/>
      </c>
      <c r="AN70" s="675" t="str">
        <f>IFERROR(INDEX(Üldreiting!$M:$M,MATCH(AM70,Üldreiting!$H:$H,0)),"")</f>
        <v/>
      </c>
      <c r="AO70" s="676" t="str">
        <f t="shared" si="9"/>
        <v/>
      </c>
      <c r="AP70" s="675" t="str">
        <f>IFERROR(INDEX(Üldreiting!$M:$M,MATCH(AO70,Üldreiting!$H:$H,0)),"")</f>
        <v/>
      </c>
    </row>
    <row r="71" spans="1:42" hidden="1" x14ac:dyDescent="0.2">
      <c r="A71" s="606"/>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I71" s="674" t="str">
        <f t="shared" si="6"/>
        <v/>
      </c>
      <c r="AJ71" s="675" t="str">
        <f>IFERROR(INDEX(Üldreiting!$M:$M,MATCH(AI71,Üldreiting!$H:$H,0)),"")</f>
        <v/>
      </c>
      <c r="AK71" s="674" t="str">
        <f t="shared" si="7"/>
        <v/>
      </c>
      <c r="AL71" s="675" t="str">
        <f>IFERROR(INDEX(Üldreiting!$M:$M,MATCH(AK71,Üldreiting!$H:$H,0)),"")</f>
        <v/>
      </c>
      <c r="AM71" s="676" t="str">
        <f t="shared" si="8"/>
        <v/>
      </c>
      <c r="AN71" s="675" t="str">
        <f>IFERROR(INDEX(Üldreiting!$M:$M,MATCH(AM71,Üldreiting!$H:$H,0)),"")</f>
        <v/>
      </c>
      <c r="AO71" s="676" t="str">
        <f t="shared" si="9"/>
        <v/>
      </c>
      <c r="AP71" s="675" t="str">
        <f>IFERROR(INDEX(Üldreiting!$M:$M,MATCH(AO71,Üldreiting!$H:$H,0)),"")</f>
        <v/>
      </c>
    </row>
    <row r="72" spans="1:42" hidden="1" x14ac:dyDescent="0.2">
      <c r="A72" s="606"/>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I72" s="674" t="str">
        <f t="shared" ref="AI72:AI99" si="14">IFERROR(LEFT($B72,(FIND(",",$B72,1)-1)),"")</f>
        <v/>
      </c>
      <c r="AJ72" s="675" t="str">
        <f>IFERROR(INDEX(Üldreiting!$M:$M,MATCH(AI72,Üldreiting!$H:$H,0)),"")</f>
        <v/>
      </c>
      <c r="AK72" s="674" t="str">
        <f t="shared" ref="AK72:AK99" si="15">IFERROR(MID($B72,FIND(", ",$B72)+2,256),"")</f>
        <v/>
      </c>
      <c r="AL72" s="675" t="str">
        <f>IFERROR(INDEX(Üldreiting!$M:$M,MATCH(AK72,Üldreiting!$H:$H,0)),"")</f>
        <v/>
      </c>
      <c r="AM72" s="676" t="str">
        <f t="shared" ref="AM72:AM99" si="16">IFERROR(MID($B72,FIND("^",SUBSTITUTE($B72,", ","^",1))+2,FIND("^",SUBSTITUTE($B72,", ","^",2))-FIND("^",SUBSTITUTE($B72,", ","^",1))-2),"")</f>
        <v/>
      </c>
      <c r="AN72" s="675" t="str">
        <f>IFERROR(INDEX(Üldreiting!$M:$M,MATCH(AM72,Üldreiting!$H:$H,0)),"")</f>
        <v/>
      </c>
      <c r="AO72" s="676" t="str">
        <f t="shared" ref="AO72:AO99" si="17">IFERROR(MID($B72,FIND(", ",$B72,FIND(", ",$B72,FIND(", ",$B72))+1)+2,700),"")</f>
        <v/>
      </c>
      <c r="AP72" s="675" t="str">
        <f>IFERROR(INDEX(Üldreiting!$M:$M,MATCH(AO72,Üldreiting!$H:$H,0)),"")</f>
        <v/>
      </c>
    </row>
    <row r="73" spans="1:42" hidden="1" x14ac:dyDescent="0.2">
      <c r="A73" s="606"/>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I73" s="674" t="str">
        <f t="shared" si="14"/>
        <v/>
      </c>
      <c r="AJ73" s="675" t="str">
        <f>IFERROR(INDEX(Üldreiting!$M:$M,MATCH(AI73,Üldreiting!$H:$H,0)),"")</f>
        <v/>
      </c>
      <c r="AK73" s="674" t="str">
        <f t="shared" si="15"/>
        <v/>
      </c>
      <c r="AL73" s="675" t="str">
        <f>IFERROR(INDEX(Üldreiting!$M:$M,MATCH(AK73,Üldreiting!$H:$H,0)),"")</f>
        <v/>
      </c>
      <c r="AM73" s="676" t="str">
        <f t="shared" si="16"/>
        <v/>
      </c>
      <c r="AN73" s="675" t="str">
        <f>IFERROR(INDEX(Üldreiting!$M:$M,MATCH(AM73,Üldreiting!$H:$H,0)),"")</f>
        <v/>
      </c>
      <c r="AO73" s="676" t="str">
        <f t="shared" si="17"/>
        <v/>
      </c>
      <c r="AP73" s="675" t="str">
        <f>IFERROR(INDEX(Üldreiting!$M:$M,MATCH(AO73,Üldreiting!$H:$H,0)),"")</f>
        <v/>
      </c>
    </row>
    <row r="74" spans="1:42" hidden="1" x14ac:dyDescent="0.2">
      <c r="A74" s="606"/>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I74" s="674" t="str">
        <f t="shared" si="14"/>
        <v/>
      </c>
      <c r="AJ74" s="675" t="str">
        <f>IFERROR(INDEX(Üldreiting!$M:$M,MATCH(AI74,Üldreiting!$H:$H,0)),"")</f>
        <v/>
      </c>
      <c r="AK74" s="674" t="str">
        <f t="shared" si="15"/>
        <v/>
      </c>
      <c r="AL74" s="675" t="str">
        <f>IFERROR(INDEX(Üldreiting!$M:$M,MATCH(AK74,Üldreiting!$H:$H,0)),"")</f>
        <v/>
      </c>
      <c r="AM74" s="676" t="str">
        <f t="shared" si="16"/>
        <v/>
      </c>
      <c r="AN74" s="675" t="str">
        <f>IFERROR(INDEX(Üldreiting!$M:$M,MATCH(AM74,Üldreiting!$H:$H,0)),"")</f>
        <v/>
      </c>
      <c r="AO74" s="676" t="str">
        <f t="shared" si="17"/>
        <v/>
      </c>
      <c r="AP74" s="675" t="str">
        <f>IFERROR(INDEX(Üldreiting!$M:$M,MATCH(AO74,Üldreiting!$H:$H,0)),"")</f>
        <v/>
      </c>
    </row>
    <row r="75" spans="1:42" hidden="1" x14ac:dyDescent="0.2">
      <c r="A75" s="606"/>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I75" s="674" t="str">
        <f t="shared" si="14"/>
        <v/>
      </c>
      <c r="AJ75" s="675" t="str">
        <f>IFERROR(INDEX(Üldreiting!$M:$M,MATCH(AI75,Üldreiting!$H:$H,0)),"")</f>
        <v/>
      </c>
      <c r="AK75" s="674" t="str">
        <f t="shared" si="15"/>
        <v/>
      </c>
      <c r="AL75" s="675" t="str">
        <f>IFERROR(INDEX(Üldreiting!$M:$M,MATCH(AK75,Üldreiting!$H:$H,0)),"")</f>
        <v/>
      </c>
      <c r="AM75" s="676" t="str">
        <f t="shared" si="16"/>
        <v/>
      </c>
      <c r="AN75" s="675" t="str">
        <f>IFERROR(INDEX(Üldreiting!$M:$M,MATCH(AM75,Üldreiting!$H:$H,0)),"")</f>
        <v/>
      </c>
      <c r="AO75" s="676" t="str">
        <f t="shared" si="17"/>
        <v/>
      </c>
      <c r="AP75" s="675" t="str">
        <f>IFERROR(INDEX(Üldreiting!$M:$M,MATCH(AO75,Üldreiting!$H:$H,0)),"")</f>
        <v/>
      </c>
    </row>
    <row r="76" spans="1:42" hidden="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I76" s="674" t="str">
        <f t="shared" si="14"/>
        <v/>
      </c>
      <c r="AJ76" s="675" t="str">
        <f>IFERROR(INDEX(Üldreiting!$M:$M,MATCH(AI76,Üldreiting!$H:$H,0)),"")</f>
        <v/>
      </c>
      <c r="AK76" s="674" t="str">
        <f t="shared" si="15"/>
        <v/>
      </c>
      <c r="AL76" s="675" t="str">
        <f>IFERROR(INDEX(Üldreiting!$M:$M,MATCH(AK76,Üldreiting!$H:$H,0)),"")</f>
        <v/>
      </c>
      <c r="AM76" s="676" t="str">
        <f t="shared" si="16"/>
        <v/>
      </c>
      <c r="AN76" s="675" t="str">
        <f>IFERROR(INDEX(Üldreiting!$M:$M,MATCH(AM76,Üldreiting!$H:$H,0)),"")</f>
        <v/>
      </c>
      <c r="AO76" s="676" t="str">
        <f t="shared" si="17"/>
        <v/>
      </c>
      <c r="AP76" s="675" t="str">
        <f>IFERROR(INDEX(Üldreiting!$M:$M,MATCH(AO76,Üldreiting!$H:$H,0)),"")</f>
        <v/>
      </c>
    </row>
    <row r="77" spans="1:42" hidden="1" x14ac:dyDescent="0.2">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I77" s="674" t="str">
        <f t="shared" si="14"/>
        <v/>
      </c>
      <c r="AJ77" s="675" t="str">
        <f>IFERROR(INDEX(Üldreiting!$M:$M,MATCH(AI77,Üldreiting!$H:$H,0)),"")</f>
        <v/>
      </c>
      <c r="AK77" s="674" t="str">
        <f t="shared" si="15"/>
        <v/>
      </c>
      <c r="AL77" s="675" t="str">
        <f>IFERROR(INDEX(Üldreiting!$M:$M,MATCH(AK77,Üldreiting!$H:$H,0)),"")</f>
        <v/>
      </c>
      <c r="AM77" s="676" t="str">
        <f t="shared" si="16"/>
        <v/>
      </c>
      <c r="AN77" s="675" t="str">
        <f>IFERROR(INDEX(Üldreiting!$M:$M,MATCH(AM77,Üldreiting!$H:$H,0)),"")</f>
        <v/>
      </c>
      <c r="AO77" s="676" t="str">
        <f t="shared" si="17"/>
        <v/>
      </c>
      <c r="AP77" s="675" t="str">
        <f>IFERROR(INDEX(Üldreiting!$M:$M,MATCH(AO77,Üldreiting!$H:$H,0)),"")</f>
        <v/>
      </c>
    </row>
    <row r="78" spans="1:42" hidden="1" x14ac:dyDescent="0.2">
      <c r="A78" s="606"/>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I78" s="674" t="str">
        <f t="shared" si="14"/>
        <v/>
      </c>
      <c r="AJ78" s="675" t="str">
        <f>IFERROR(INDEX(Üldreiting!$M:$M,MATCH(AI78,Üldreiting!$H:$H,0)),"")</f>
        <v/>
      </c>
      <c r="AK78" s="674" t="str">
        <f t="shared" si="15"/>
        <v/>
      </c>
      <c r="AL78" s="675" t="str">
        <f>IFERROR(INDEX(Üldreiting!$M:$M,MATCH(AK78,Üldreiting!$H:$H,0)),"")</f>
        <v/>
      </c>
      <c r="AM78" s="676" t="str">
        <f t="shared" si="16"/>
        <v/>
      </c>
      <c r="AN78" s="675" t="str">
        <f>IFERROR(INDEX(Üldreiting!$M:$M,MATCH(AM78,Üldreiting!$H:$H,0)),"")</f>
        <v/>
      </c>
      <c r="AO78" s="676" t="str">
        <f t="shared" si="17"/>
        <v/>
      </c>
      <c r="AP78" s="675" t="str">
        <f>IFERROR(INDEX(Üldreiting!$M:$M,MATCH(AO78,Üldreiting!$H:$H,0)),"")</f>
        <v/>
      </c>
    </row>
    <row r="79" spans="1:42" hidden="1" x14ac:dyDescent="0.2">
      <c r="A79" s="606"/>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I79" s="674" t="str">
        <f t="shared" si="14"/>
        <v/>
      </c>
      <c r="AJ79" s="675" t="str">
        <f>IFERROR(INDEX(Üldreiting!$M:$M,MATCH(AI79,Üldreiting!$H:$H,0)),"")</f>
        <v/>
      </c>
      <c r="AK79" s="674" t="str">
        <f t="shared" si="15"/>
        <v/>
      </c>
      <c r="AL79" s="675" t="str">
        <f>IFERROR(INDEX(Üldreiting!$M:$M,MATCH(AK79,Üldreiting!$H:$H,0)),"")</f>
        <v/>
      </c>
      <c r="AM79" s="676" t="str">
        <f t="shared" si="16"/>
        <v/>
      </c>
      <c r="AN79" s="675" t="str">
        <f>IFERROR(INDEX(Üldreiting!$M:$M,MATCH(AM79,Üldreiting!$H:$H,0)),"")</f>
        <v/>
      </c>
      <c r="AO79" s="676" t="str">
        <f t="shared" si="17"/>
        <v/>
      </c>
      <c r="AP79" s="675" t="str">
        <f>IFERROR(INDEX(Üldreiting!$M:$M,MATCH(AO79,Üldreiting!$H:$H,0)),"")</f>
        <v/>
      </c>
    </row>
    <row r="80" spans="1:42" hidden="1" x14ac:dyDescent="0.2">
      <c r="A80" s="606"/>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I80" s="674" t="str">
        <f t="shared" si="14"/>
        <v/>
      </c>
      <c r="AJ80" s="675" t="str">
        <f>IFERROR(INDEX(Üldreiting!$M:$M,MATCH(AI80,Üldreiting!$H:$H,0)),"")</f>
        <v/>
      </c>
      <c r="AK80" s="674" t="str">
        <f t="shared" si="15"/>
        <v/>
      </c>
      <c r="AL80" s="675" t="str">
        <f>IFERROR(INDEX(Üldreiting!$M:$M,MATCH(AK80,Üldreiting!$H:$H,0)),"")</f>
        <v/>
      </c>
      <c r="AM80" s="676" t="str">
        <f t="shared" si="16"/>
        <v/>
      </c>
      <c r="AN80" s="675" t="str">
        <f>IFERROR(INDEX(Üldreiting!$M:$M,MATCH(AM80,Üldreiting!$H:$H,0)),"")</f>
        <v/>
      </c>
      <c r="AO80" s="676" t="str">
        <f t="shared" si="17"/>
        <v/>
      </c>
      <c r="AP80" s="675" t="str">
        <f>IFERROR(INDEX(Üldreiting!$M:$M,MATCH(AO80,Üldreiting!$H:$H,0)),"")</f>
        <v/>
      </c>
    </row>
    <row r="81" spans="1:42" hidden="1" x14ac:dyDescent="0.2">
      <c r="A81" s="606"/>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I81" s="674" t="str">
        <f t="shared" si="14"/>
        <v/>
      </c>
      <c r="AJ81" s="675" t="str">
        <f>IFERROR(INDEX(Üldreiting!$M:$M,MATCH(AI81,Üldreiting!$H:$H,0)),"")</f>
        <v/>
      </c>
      <c r="AK81" s="674" t="str">
        <f t="shared" si="15"/>
        <v/>
      </c>
      <c r="AL81" s="675" t="str">
        <f>IFERROR(INDEX(Üldreiting!$M:$M,MATCH(AK81,Üldreiting!$H:$H,0)),"")</f>
        <v/>
      </c>
      <c r="AM81" s="676" t="str">
        <f t="shared" si="16"/>
        <v/>
      </c>
      <c r="AN81" s="675" t="str">
        <f>IFERROR(INDEX(Üldreiting!$M:$M,MATCH(AM81,Üldreiting!$H:$H,0)),"")</f>
        <v/>
      </c>
      <c r="AO81" s="676" t="str">
        <f t="shared" si="17"/>
        <v/>
      </c>
      <c r="AP81" s="675" t="str">
        <f>IFERROR(INDEX(Üldreiting!$M:$M,MATCH(AO81,Üldreiting!$H:$H,0)),"")</f>
        <v/>
      </c>
    </row>
    <row r="82" spans="1:42" hidden="1" x14ac:dyDescent="0.2">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I82" s="674" t="str">
        <f t="shared" si="14"/>
        <v/>
      </c>
      <c r="AJ82" s="675" t="str">
        <f>IFERROR(INDEX(Üldreiting!$M:$M,MATCH(AI82,Üldreiting!$H:$H,0)),"")</f>
        <v/>
      </c>
      <c r="AK82" s="674" t="str">
        <f t="shared" si="15"/>
        <v/>
      </c>
      <c r="AL82" s="675" t="str">
        <f>IFERROR(INDEX(Üldreiting!$M:$M,MATCH(AK82,Üldreiting!$H:$H,0)),"")</f>
        <v/>
      </c>
      <c r="AM82" s="676" t="str">
        <f t="shared" si="16"/>
        <v/>
      </c>
      <c r="AN82" s="675" t="str">
        <f>IFERROR(INDEX(Üldreiting!$M:$M,MATCH(AM82,Üldreiting!$H:$H,0)),"")</f>
        <v/>
      </c>
      <c r="AO82" s="676" t="str">
        <f t="shared" si="17"/>
        <v/>
      </c>
      <c r="AP82" s="675" t="str">
        <f>IFERROR(INDEX(Üldreiting!$M:$M,MATCH(AO82,Üldreiting!$H:$H,0)),"")</f>
        <v/>
      </c>
    </row>
    <row r="83" spans="1:42" hidden="1" x14ac:dyDescent="0.2">
      <c r="A83" s="606"/>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I83" s="674" t="str">
        <f t="shared" si="14"/>
        <v/>
      </c>
      <c r="AJ83" s="675" t="str">
        <f>IFERROR(INDEX(Üldreiting!$M:$M,MATCH(AI83,Üldreiting!$H:$H,0)),"")</f>
        <v/>
      </c>
      <c r="AK83" s="674" t="str">
        <f t="shared" si="15"/>
        <v/>
      </c>
      <c r="AL83" s="675" t="str">
        <f>IFERROR(INDEX(Üldreiting!$M:$M,MATCH(AK83,Üldreiting!$H:$H,0)),"")</f>
        <v/>
      </c>
      <c r="AM83" s="676" t="str">
        <f t="shared" si="16"/>
        <v/>
      </c>
      <c r="AN83" s="675" t="str">
        <f>IFERROR(INDEX(Üldreiting!$M:$M,MATCH(AM83,Üldreiting!$H:$H,0)),"")</f>
        <v/>
      </c>
      <c r="AO83" s="676" t="str">
        <f t="shared" si="17"/>
        <v/>
      </c>
      <c r="AP83" s="675" t="str">
        <f>IFERROR(INDEX(Üldreiting!$M:$M,MATCH(AO83,Üldreiting!$H:$H,0)),"")</f>
        <v/>
      </c>
    </row>
    <row r="84" spans="1:42" hidden="1" x14ac:dyDescent="0.2">
      <c r="A84" s="606"/>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I84" s="674" t="str">
        <f t="shared" si="14"/>
        <v/>
      </c>
      <c r="AJ84" s="675" t="str">
        <f>IFERROR(INDEX(Üldreiting!$M:$M,MATCH(AI84,Üldreiting!$H:$H,0)),"")</f>
        <v/>
      </c>
      <c r="AK84" s="674" t="str">
        <f t="shared" si="15"/>
        <v/>
      </c>
      <c r="AL84" s="675" t="str">
        <f>IFERROR(INDEX(Üldreiting!$M:$M,MATCH(AK84,Üldreiting!$H:$H,0)),"")</f>
        <v/>
      </c>
      <c r="AM84" s="676" t="str">
        <f t="shared" si="16"/>
        <v/>
      </c>
      <c r="AN84" s="675" t="str">
        <f>IFERROR(INDEX(Üldreiting!$M:$M,MATCH(AM84,Üldreiting!$H:$H,0)),"")</f>
        <v/>
      </c>
      <c r="AO84" s="676" t="str">
        <f t="shared" si="17"/>
        <v/>
      </c>
      <c r="AP84" s="675" t="str">
        <f>IFERROR(INDEX(Üldreiting!$M:$M,MATCH(AO84,Üldreiting!$H:$H,0)),"")</f>
        <v/>
      </c>
    </row>
    <row r="85" spans="1:42" hidden="1" x14ac:dyDescent="0.2">
      <c r="A85" s="606"/>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I85" s="674" t="str">
        <f t="shared" si="14"/>
        <v/>
      </c>
      <c r="AJ85" s="675" t="str">
        <f>IFERROR(INDEX(Üldreiting!$M:$M,MATCH(AI85,Üldreiting!$H:$H,0)),"")</f>
        <v/>
      </c>
      <c r="AK85" s="674" t="str">
        <f t="shared" si="15"/>
        <v/>
      </c>
      <c r="AL85" s="675" t="str">
        <f>IFERROR(INDEX(Üldreiting!$M:$M,MATCH(AK85,Üldreiting!$H:$H,0)),"")</f>
        <v/>
      </c>
      <c r="AM85" s="676" t="str">
        <f t="shared" si="16"/>
        <v/>
      </c>
      <c r="AN85" s="675" t="str">
        <f>IFERROR(INDEX(Üldreiting!$M:$M,MATCH(AM85,Üldreiting!$H:$H,0)),"")</f>
        <v/>
      </c>
      <c r="AO85" s="676" t="str">
        <f t="shared" si="17"/>
        <v/>
      </c>
      <c r="AP85" s="675" t="str">
        <f>IFERROR(INDEX(Üldreiting!$M:$M,MATCH(AO85,Üldreiting!$H:$H,0)),"")</f>
        <v/>
      </c>
    </row>
    <row r="86" spans="1:42" hidden="1" x14ac:dyDescent="0.2">
      <c r="A86" s="606"/>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I86" s="674" t="str">
        <f t="shared" si="14"/>
        <v/>
      </c>
      <c r="AJ86" s="675" t="str">
        <f>IFERROR(INDEX(Üldreiting!$M:$M,MATCH(AI86,Üldreiting!$H:$H,0)),"")</f>
        <v/>
      </c>
      <c r="AK86" s="674" t="str">
        <f t="shared" si="15"/>
        <v/>
      </c>
      <c r="AL86" s="675" t="str">
        <f>IFERROR(INDEX(Üldreiting!$M:$M,MATCH(AK86,Üldreiting!$H:$H,0)),"")</f>
        <v/>
      </c>
      <c r="AM86" s="676" t="str">
        <f t="shared" si="16"/>
        <v/>
      </c>
      <c r="AN86" s="675" t="str">
        <f>IFERROR(INDEX(Üldreiting!$M:$M,MATCH(AM86,Üldreiting!$H:$H,0)),"")</f>
        <v/>
      </c>
      <c r="AO86" s="676" t="str">
        <f t="shared" si="17"/>
        <v/>
      </c>
      <c r="AP86" s="675" t="str">
        <f>IFERROR(INDEX(Üldreiting!$M:$M,MATCH(AO86,Üldreiting!$H:$H,0)),"")</f>
        <v/>
      </c>
    </row>
    <row r="87" spans="1:42" hidden="1" x14ac:dyDescent="0.2">
      <c r="A87" s="606"/>
      <c r="B87" s="606"/>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I87" s="674" t="str">
        <f t="shared" si="14"/>
        <v/>
      </c>
      <c r="AJ87" s="675" t="str">
        <f>IFERROR(INDEX(Üldreiting!$M:$M,MATCH(AI87,Üldreiting!$H:$H,0)),"")</f>
        <v/>
      </c>
      <c r="AK87" s="674" t="str">
        <f t="shared" si="15"/>
        <v/>
      </c>
      <c r="AL87" s="675" t="str">
        <f>IFERROR(INDEX(Üldreiting!$M:$M,MATCH(AK87,Üldreiting!$H:$H,0)),"")</f>
        <v/>
      </c>
      <c r="AM87" s="676" t="str">
        <f t="shared" si="16"/>
        <v/>
      </c>
      <c r="AN87" s="675" t="str">
        <f>IFERROR(INDEX(Üldreiting!$M:$M,MATCH(AM87,Üldreiting!$H:$H,0)),"")</f>
        <v/>
      </c>
      <c r="AO87" s="676" t="str">
        <f t="shared" si="17"/>
        <v/>
      </c>
      <c r="AP87" s="675" t="str">
        <f>IFERROR(INDEX(Üldreiting!$M:$M,MATCH(AO87,Üldreiting!$H:$H,0)),"")</f>
        <v/>
      </c>
    </row>
    <row r="88" spans="1:42" hidden="1" x14ac:dyDescent="0.2">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I88" s="674" t="str">
        <f t="shared" si="14"/>
        <v/>
      </c>
      <c r="AJ88" s="675" t="str">
        <f>IFERROR(INDEX(Üldreiting!$M:$M,MATCH(AI88,Üldreiting!$H:$H,0)),"")</f>
        <v/>
      </c>
      <c r="AK88" s="674" t="str">
        <f t="shared" si="15"/>
        <v/>
      </c>
      <c r="AL88" s="675" t="str">
        <f>IFERROR(INDEX(Üldreiting!$M:$M,MATCH(AK88,Üldreiting!$H:$H,0)),"")</f>
        <v/>
      </c>
      <c r="AM88" s="676" t="str">
        <f t="shared" si="16"/>
        <v/>
      </c>
      <c r="AN88" s="675" t="str">
        <f>IFERROR(INDEX(Üldreiting!$M:$M,MATCH(AM88,Üldreiting!$H:$H,0)),"")</f>
        <v/>
      </c>
      <c r="AO88" s="676" t="str">
        <f t="shared" si="17"/>
        <v/>
      </c>
      <c r="AP88" s="675" t="str">
        <f>IFERROR(INDEX(Üldreiting!$M:$M,MATCH(AO88,Üldreiting!$H:$H,0)),"")</f>
        <v/>
      </c>
    </row>
    <row r="89" spans="1:42" hidden="1" x14ac:dyDescent="0.2">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I89" s="674" t="str">
        <f t="shared" si="14"/>
        <v/>
      </c>
      <c r="AJ89" s="675" t="str">
        <f>IFERROR(INDEX(Üldreiting!$M:$M,MATCH(AI89,Üldreiting!$H:$H,0)),"")</f>
        <v/>
      </c>
      <c r="AK89" s="674" t="str">
        <f t="shared" si="15"/>
        <v/>
      </c>
      <c r="AL89" s="675" t="str">
        <f>IFERROR(INDEX(Üldreiting!$M:$M,MATCH(AK89,Üldreiting!$H:$H,0)),"")</f>
        <v/>
      </c>
      <c r="AM89" s="676" t="str">
        <f t="shared" si="16"/>
        <v/>
      </c>
      <c r="AN89" s="675" t="str">
        <f>IFERROR(INDEX(Üldreiting!$M:$M,MATCH(AM89,Üldreiting!$H:$H,0)),"")</f>
        <v/>
      </c>
      <c r="AO89" s="676" t="str">
        <f t="shared" si="17"/>
        <v/>
      </c>
      <c r="AP89" s="675" t="str">
        <f>IFERROR(INDEX(Üldreiting!$M:$M,MATCH(AO89,Üldreiting!$H:$H,0)),"")</f>
        <v/>
      </c>
    </row>
    <row r="90" spans="1:42" hidden="1" x14ac:dyDescent="0.2">
      <c r="A90" s="606"/>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I90" s="674" t="str">
        <f t="shared" si="14"/>
        <v/>
      </c>
      <c r="AJ90" s="675" t="str">
        <f>IFERROR(INDEX(Üldreiting!$M:$M,MATCH(AI90,Üldreiting!$H:$H,0)),"")</f>
        <v/>
      </c>
      <c r="AK90" s="674" t="str">
        <f t="shared" si="15"/>
        <v/>
      </c>
      <c r="AL90" s="675" t="str">
        <f>IFERROR(INDEX(Üldreiting!$M:$M,MATCH(AK90,Üldreiting!$H:$H,0)),"")</f>
        <v/>
      </c>
      <c r="AM90" s="676" t="str">
        <f t="shared" si="16"/>
        <v/>
      </c>
      <c r="AN90" s="675" t="str">
        <f>IFERROR(INDEX(Üldreiting!$M:$M,MATCH(AM90,Üldreiting!$H:$H,0)),"")</f>
        <v/>
      </c>
      <c r="AO90" s="676" t="str">
        <f t="shared" si="17"/>
        <v/>
      </c>
      <c r="AP90" s="675" t="str">
        <f>IFERROR(INDEX(Üldreiting!$M:$M,MATCH(AO90,Üldreiting!$H:$H,0)),"")</f>
        <v/>
      </c>
    </row>
    <row r="91" spans="1:42" hidden="1" x14ac:dyDescent="0.2">
      <c r="A91" s="606"/>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I91" s="674" t="str">
        <f t="shared" si="14"/>
        <v/>
      </c>
      <c r="AJ91" s="675" t="str">
        <f>IFERROR(INDEX(Üldreiting!$M:$M,MATCH(AI91,Üldreiting!$H:$H,0)),"")</f>
        <v/>
      </c>
      <c r="AK91" s="674" t="str">
        <f t="shared" si="15"/>
        <v/>
      </c>
      <c r="AL91" s="675" t="str">
        <f>IFERROR(INDEX(Üldreiting!$M:$M,MATCH(AK91,Üldreiting!$H:$H,0)),"")</f>
        <v/>
      </c>
      <c r="AM91" s="676" t="str">
        <f t="shared" si="16"/>
        <v/>
      </c>
      <c r="AN91" s="675" t="str">
        <f>IFERROR(INDEX(Üldreiting!$M:$M,MATCH(AM91,Üldreiting!$H:$H,0)),"")</f>
        <v/>
      </c>
      <c r="AO91" s="676" t="str">
        <f t="shared" si="17"/>
        <v/>
      </c>
      <c r="AP91" s="675" t="str">
        <f>IFERROR(INDEX(Üldreiting!$M:$M,MATCH(AO91,Üldreiting!$H:$H,0)),"")</f>
        <v/>
      </c>
    </row>
    <row r="92" spans="1:42" hidden="1" x14ac:dyDescent="0.2">
      <c r="A92" s="606"/>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I92" s="674" t="str">
        <f t="shared" si="14"/>
        <v/>
      </c>
      <c r="AJ92" s="675" t="str">
        <f>IFERROR(INDEX(Üldreiting!$M:$M,MATCH(AI92,Üldreiting!$H:$H,0)),"")</f>
        <v/>
      </c>
      <c r="AK92" s="674" t="str">
        <f t="shared" si="15"/>
        <v/>
      </c>
      <c r="AL92" s="675" t="str">
        <f>IFERROR(INDEX(Üldreiting!$M:$M,MATCH(AK92,Üldreiting!$H:$H,0)),"")</f>
        <v/>
      </c>
      <c r="AM92" s="676" t="str">
        <f t="shared" si="16"/>
        <v/>
      </c>
      <c r="AN92" s="675" t="str">
        <f>IFERROR(INDEX(Üldreiting!$M:$M,MATCH(AM92,Üldreiting!$H:$H,0)),"")</f>
        <v/>
      </c>
      <c r="AO92" s="676" t="str">
        <f t="shared" si="17"/>
        <v/>
      </c>
      <c r="AP92" s="675" t="str">
        <f>IFERROR(INDEX(Üldreiting!$M:$M,MATCH(AO92,Üldreiting!$H:$H,0)),"")</f>
        <v/>
      </c>
    </row>
    <row r="93" spans="1:42" hidden="1" x14ac:dyDescent="0.2">
      <c r="A93" s="606"/>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I93" s="674" t="str">
        <f t="shared" si="14"/>
        <v/>
      </c>
      <c r="AJ93" s="675" t="str">
        <f>IFERROR(INDEX(Üldreiting!$M:$M,MATCH(AI93,Üldreiting!$H:$H,0)),"")</f>
        <v/>
      </c>
      <c r="AK93" s="674" t="str">
        <f t="shared" si="15"/>
        <v/>
      </c>
      <c r="AL93" s="675" t="str">
        <f>IFERROR(INDEX(Üldreiting!$M:$M,MATCH(AK93,Üldreiting!$H:$H,0)),"")</f>
        <v/>
      </c>
      <c r="AM93" s="676" t="str">
        <f t="shared" si="16"/>
        <v/>
      </c>
      <c r="AN93" s="675" t="str">
        <f>IFERROR(INDEX(Üldreiting!$M:$M,MATCH(AM93,Üldreiting!$H:$H,0)),"")</f>
        <v/>
      </c>
      <c r="AO93" s="676" t="str">
        <f t="shared" si="17"/>
        <v/>
      </c>
      <c r="AP93" s="675" t="str">
        <f>IFERROR(INDEX(Üldreiting!$M:$M,MATCH(AO93,Üldreiting!$H:$H,0)),"")</f>
        <v/>
      </c>
    </row>
    <row r="94" spans="1:42" hidden="1" x14ac:dyDescent="0.2">
      <c r="A94" s="606"/>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I94" s="674" t="str">
        <f t="shared" si="14"/>
        <v/>
      </c>
      <c r="AJ94" s="675" t="str">
        <f>IFERROR(INDEX(Üldreiting!$M:$M,MATCH(AI94,Üldreiting!$H:$H,0)),"")</f>
        <v/>
      </c>
      <c r="AK94" s="674" t="str">
        <f t="shared" si="15"/>
        <v/>
      </c>
      <c r="AL94" s="675" t="str">
        <f>IFERROR(INDEX(Üldreiting!$M:$M,MATCH(AK94,Üldreiting!$H:$H,0)),"")</f>
        <v/>
      </c>
      <c r="AM94" s="676" t="str">
        <f t="shared" si="16"/>
        <v/>
      </c>
      <c r="AN94" s="675" t="str">
        <f>IFERROR(INDEX(Üldreiting!$M:$M,MATCH(AM94,Üldreiting!$H:$H,0)),"")</f>
        <v/>
      </c>
      <c r="AO94" s="676" t="str">
        <f t="shared" si="17"/>
        <v/>
      </c>
      <c r="AP94" s="675" t="str">
        <f>IFERROR(INDEX(Üldreiting!$M:$M,MATCH(AO94,Üldreiting!$H:$H,0)),"")</f>
        <v/>
      </c>
    </row>
    <row r="95" spans="1:42" hidden="1" x14ac:dyDescent="0.2">
      <c r="A95" s="606"/>
      <c r="B95" s="606"/>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I95" s="674" t="str">
        <f t="shared" si="14"/>
        <v/>
      </c>
      <c r="AJ95" s="675" t="str">
        <f>IFERROR(INDEX(Üldreiting!$M:$M,MATCH(AI95,Üldreiting!$H:$H,0)),"")</f>
        <v/>
      </c>
      <c r="AK95" s="674" t="str">
        <f t="shared" si="15"/>
        <v/>
      </c>
      <c r="AL95" s="675" t="str">
        <f>IFERROR(INDEX(Üldreiting!$M:$M,MATCH(AK95,Üldreiting!$H:$H,0)),"")</f>
        <v/>
      </c>
      <c r="AM95" s="676" t="str">
        <f t="shared" si="16"/>
        <v/>
      </c>
      <c r="AN95" s="675" t="str">
        <f>IFERROR(INDEX(Üldreiting!$M:$M,MATCH(AM95,Üldreiting!$H:$H,0)),"")</f>
        <v/>
      </c>
      <c r="AO95" s="676" t="str">
        <f t="shared" si="17"/>
        <v/>
      </c>
      <c r="AP95" s="675" t="str">
        <f>IFERROR(INDEX(Üldreiting!$M:$M,MATCH(AO95,Üldreiting!$H:$H,0)),"")</f>
        <v/>
      </c>
    </row>
    <row r="96" spans="1:42" hidden="1" x14ac:dyDescent="0.2">
      <c r="A96" s="606"/>
      <c r="B96" s="606"/>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I96" s="674" t="str">
        <f t="shared" si="14"/>
        <v/>
      </c>
      <c r="AJ96" s="675" t="str">
        <f>IFERROR(INDEX(Üldreiting!$M:$M,MATCH(AI96,Üldreiting!$H:$H,0)),"")</f>
        <v/>
      </c>
      <c r="AK96" s="674" t="str">
        <f t="shared" si="15"/>
        <v/>
      </c>
      <c r="AL96" s="675" t="str">
        <f>IFERROR(INDEX(Üldreiting!$M:$M,MATCH(AK96,Üldreiting!$H:$H,0)),"")</f>
        <v/>
      </c>
      <c r="AM96" s="676" t="str">
        <f t="shared" si="16"/>
        <v/>
      </c>
      <c r="AN96" s="675" t="str">
        <f>IFERROR(INDEX(Üldreiting!$M:$M,MATCH(AM96,Üldreiting!$H:$H,0)),"")</f>
        <v/>
      </c>
      <c r="AO96" s="676" t="str">
        <f t="shared" si="17"/>
        <v/>
      </c>
      <c r="AP96" s="675" t="str">
        <f>IFERROR(INDEX(Üldreiting!$M:$M,MATCH(AO96,Üldreiting!$H:$H,0)),"")</f>
        <v/>
      </c>
    </row>
    <row r="97" spans="1:42" hidden="1" x14ac:dyDescent="0.2">
      <c r="A97" s="606"/>
      <c r="B97" s="606"/>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I97" s="674" t="str">
        <f t="shared" si="14"/>
        <v/>
      </c>
      <c r="AJ97" s="675" t="str">
        <f>IFERROR(INDEX(Üldreiting!$M:$M,MATCH(AI97,Üldreiting!$H:$H,0)),"")</f>
        <v/>
      </c>
      <c r="AK97" s="674" t="str">
        <f t="shared" si="15"/>
        <v/>
      </c>
      <c r="AL97" s="675" t="str">
        <f>IFERROR(INDEX(Üldreiting!$M:$M,MATCH(AK97,Üldreiting!$H:$H,0)),"")</f>
        <v/>
      </c>
      <c r="AM97" s="676" t="str">
        <f t="shared" si="16"/>
        <v/>
      </c>
      <c r="AN97" s="675" t="str">
        <f>IFERROR(INDEX(Üldreiting!$M:$M,MATCH(AM97,Üldreiting!$H:$H,0)),"")</f>
        <v/>
      </c>
      <c r="AO97" s="676" t="str">
        <f t="shared" si="17"/>
        <v/>
      </c>
      <c r="AP97" s="675" t="str">
        <f>IFERROR(INDEX(Üldreiting!$M:$M,MATCH(AO97,Üldreiting!$H:$H,0)),"")</f>
        <v/>
      </c>
    </row>
    <row r="98" spans="1:42" hidden="1" x14ac:dyDescent="0.2">
      <c r="A98" s="606"/>
      <c r="B98" s="606"/>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I98" s="674" t="str">
        <f t="shared" si="14"/>
        <v/>
      </c>
      <c r="AJ98" s="675" t="str">
        <f>IFERROR(INDEX(Üldreiting!$M:$M,MATCH(AI98,Üldreiting!$H:$H,0)),"")</f>
        <v/>
      </c>
      <c r="AK98" s="674" t="str">
        <f t="shared" si="15"/>
        <v/>
      </c>
      <c r="AL98" s="675" t="str">
        <f>IFERROR(INDEX(Üldreiting!$M:$M,MATCH(AK98,Üldreiting!$H:$H,0)),"")</f>
        <v/>
      </c>
      <c r="AM98" s="676" t="str">
        <f t="shared" si="16"/>
        <v/>
      </c>
      <c r="AN98" s="675" t="str">
        <f>IFERROR(INDEX(Üldreiting!$M:$M,MATCH(AM98,Üldreiting!$H:$H,0)),"")</f>
        <v/>
      </c>
      <c r="AO98" s="676" t="str">
        <f t="shared" si="17"/>
        <v/>
      </c>
      <c r="AP98" s="675" t="str">
        <f>IFERROR(INDEX(Üldreiting!$M:$M,MATCH(AO98,Üldreiting!$H:$H,0)),"")</f>
        <v/>
      </c>
    </row>
    <row r="99" spans="1:42" hidden="1" x14ac:dyDescent="0.2">
      <c r="A99" s="606"/>
      <c r="B99" s="606"/>
      <c r="C99" s="606"/>
      <c r="D99" s="606"/>
      <c r="E99" s="606"/>
      <c r="F99" s="808"/>
      <c r="G99" s="606"/>
      <c r="H99" s="606"/>
      <c r="I99" s="606"/>
      <c r="J99" s="808"/>
      <c r="K99" s="606"/>
      <c r="L99" s="606"/>
      <c r="M99" s="606"/>
      <c r="N99" s="808"/>
      <c r="O99" s="606"/>
      <c r="P99" s="606"/>
      <c r="Q99" s="606"/>
      <c r="R99" s="808"/>
      <c r="S99" s="606"/>
      <c r="T99" s="606"/>
      <c r="U99" s="606"/>
      <c r="V99" s="606"/>
      <c r="W99" s="606"/>
      <c r="X99" s="606"/>
      <c r="Y99" s="606"/>
      <c r="Z99" s="606"/>
      <c r="AA99" s="606"/>
      <c r="AI99" s="674" t="str">
        <f t="shared" si="14"/>
        <v/>
      </c>
      <c r="AJ99" s="675" t="str">
        <f>IFERROR(INDEX(Üldreiting!$M:$M,MATCH(AI99,Üldreiting!$H:$H,0)),"")</f>
        <v/>
      </c>
      <c r="AK99" s="674" t="str">
        <f t="shared" si="15"/>
        <v/>
      </c>
      <c r="AL99" s="675" t="str">
        <f>IFERROR(INDEX(Üldreiting!$M:$M,MATCH(AK99,Üldreiting!$H:$H,0)),"")</f>
        <v/>
      </c>
      <c r="AM99" s="676" t="str">
        <f t="shared" si="16"/>
        <v/>
      </c>
      <c r="AN99" s="675" t="str">
        <f>IFERROR(INDEX(Üldreiting!$M:$M,MATCH(AM99,Üldreiting!$H:$H,0)),"")</f>
        <v/>
      </c>
      <c r="AO99" s="676" t="str">
        <f t="shared" si="17"/>
        <v/>
      </c>
      <c r="AP99" s="675" t="str">
        <f>IFERROR(INDEX(Üldreiting!$M:$M,MATCH(AO99,Üldreiting!$H:$H,0)),"")</f>
        <v/>
      </c>
    </row>
    <row r="100" spans="1:42" x14ac:dyDescent="0.2">
      <c r="A100" s="239" t="s">
        <v>370</v>
      </c>
      <c r="B100" s="49"/>
      <c r="C100" s="203"/>
      <c r="D100" s="203"/>
      <c r="E100" s="204"/>
      <c r="F100" s="205"/>
      <c r="G100" s="74"/>
      <c r="H100" s="130"/>
      <c r="I100" s="70"/>
      <c r="J100" s="130"/>
      <c r="K100" s="69"/>
      <c r="L100" s="69"/>
      <c r="M100" s="69"/>
      <c r="O100" s="606"/>
      <c r="P100" s="606"/>
      <c r="Q100" s="606"/>
      <c r="R100" s="606"/>
      <c r="S100" s="606"/>
      <c r="T100" s="606"/>
      <c r="U100" s="606"/>
      <c r="V100" s="606"/>
      <c r="W100" s="606"/>
      <c r="X100" s="606"/>
      <c r="Y100" s="606"/>
      <c r="Z100" s="606"/>
      <c r="AA100" s="606"/>
    </row>
    <row r="101" spans="1:42" x14ac:dyDescent="0.2">
      <c r="A101" s="74"/>
      <c r="B101" s="74"/>
      <c r="C101" s="74"/>
      <c r="D101" s="74"/>
      <c r="E101" s="74"/>
      <c r="F101" s="74"/>
      <c r="G101" s="74"/>
      <c r="H101" s="130"/>
      <c r="I101" s="70"/>
      <c r="J101" s="130"/>
      <c r="K101" s="69"/>
      <c r="L101" s="69"/>
      <c r="M101" s="69"/>
      <c r="O101" s="606"/>
      <c r="P101" s="606"/>
      <c r="Q101" s="606"/>
      <c r="R101" s="606"/>
      <c r="S101" s="606"/>
      <c r="T101" s="606"/>
      <c r="U101" s="606"/>
      <c r="V101" s="606"/>
      <c r="W101" s="606"/>
      <c r="X101" s="606"/>
      <c r="Y101" s="606"/>
      <c r="Z101" s="606"/>
      <c r="AA101" s="606"/>
    </row>
    <row r="102" spans="1:42" x14ac:dyDescent="0.2">
      <c r="A102" s="240">
        <v>1</v>
      </c>
      <c r="B102" s="641" t="str">
        <f>IFERROR(INDEX(B$1:B$99,MATCH(A102,A$1:A$99,0)),"")</f>
        <v>Kevin Sten Liik, Ruudi Väärtnõu</v>
      </c>
      <c r="C102" s="74">
        <v>7</v>
      </c>
      <c r="D102" s="74"/>
      <c r="E102" s="74"/>
      <c r="F102" s="74"/>
      <c r="G102" s="74"/>
      <c r="H102" s="130"/>
      <c r="I102" s="70"/>
      <c r="J102" s="130"/>
      <c r="O102" s="606"/>
      <c r="P102" s="606"/>
      <c r="Q102" s="606"/>
      <c r="R102" s="606"/>
      <c r="S102" s="606"/>
      <c r="T102" s="606"/>
      <c r="U102" s="606"/>
      <c r="V102" s="606"/>
      <c r="W102" s="606"/>
      <c r="X102" s="606"/>
      <c r="Y102" s="606"/>
      <c r="Z102" s="606"/>
      <c r="AA102" s="606"/>
    </row>
    <row r="103" spans="1:42" x14ac:dyDescent="0.2">
      <c r="A103" s="242"/>
      <c r="B103" s="649"/>
      <c r="C103" s="74" t="str">
        <f>IF(COUNT(C102,C104)=2,IF(C102&gt;C104,B102,B104),"")</f>
        <v>Katri Aavekukk, Merike Aava</v>
      </c>
      <c r="G103" s="419">
        <v>10</v>
      </c>
      <c r="H103" s="74"/>
      <c r="I103" s="74"/>
      <c r="J103" s="74"/>
      <c r="K103" s="74"/>
      <c r="L103" s="70"/>
      <c r="M103" s="130"/>
      <c r="O103" s="606"/>
      <c r="P103" s="606"/>
      <c r="Q103" s="606"/>
      <c r="R103" s="606"/>
      <c r="S103" s="606"/>
      <c r="T103" s="606"/>
      <c r="U103" s="606"/>
      <c r="V103" s="606"/>
      <c r="W103" s="606"/>
      <c r="X103" s="606"/>
      <c r="Y103" s="606"/>
      <c r="Z103" s="606"/>
      <c r="AA103" s="606"/>
    </row>
    <row r="104" spans="1:42" x14ac:dyDescent="0.2">
      <c r="A104" s="242">
        <v>8</v>
      </c>
      <c r="B104" s="644" t="str">
        <f>IFERROR(INDEX(B$1:B$99,MATCH(A104,A$1:A$99,0)),"")</f>
        <v>Katri Aavekukk, Merike Aava</v>
      </c>
      <c r="C104" s="646">
        <v>13</v>
      </c>
      <c r="D104" s="651"/>
      <c r="E104" s="651"/>
      <c r="F104" s="652"/>
      <c r="G104" s="74"/>
      <c r="H104" s="74"/>
      <c r="I104" s="74"/>
      <c r="J104" s="74"/>
      <c r="K104" s="74"/>
      <c r="L104" s="70"/>
      <c r="M104" s="130"/>
      <c r="O104" s="606"/>
      <c r="P104" s="606"/>
      <c r="Q104" s="606"/>
      <c r="R104" s="606"/>
      <c r="S104" s="606"/>
      <c r="T104" s="606"/>
      <c r="U104" s="606"/>
      <c r="V104" s="606"/>
      <c r="W104" s="606"/>
      <c r="X104" s="606"/>
      <c r="Y104" s="606"/>
      <c r="Z104" s="606"/>
      <c r="AA104" s="606"/>
    </row>
    <row r="105" spans="1:42" x14ac:dyDescent="0.2">
      <c r="A105" s="242"/>
      <c r="B105" s="645"/>
      <c r="C105" s="49"/>
      <c r="D105" s="262"/>
      <c r="E105" s="262"/>
      <c r="F105" s="653"/>
      <c r="G105" s="417" t="str">
        <f>IF(COUNT(G103,G107)=2,IF(G103&gt;G107,C103,C107),"")</f>
        <v>Kaarel Mikk, Mihkel Filipenko</v>
      </c>
      <c r="H105" s="74"/>
      <c r="K105" s="241">
        <v>9</v>
      </c>
      <c r="L105" s="74"/>
      <c r="M105" s="74"/>
      <c r="N105" s="262"/>
      <c r="O105" s="606"/>
      <c r="P105" s="606"/>
      <c r="Q105" s="606"/>
      <c r="R105" s="606"/>
      <c r="S105" s="606"/>
      <c r="T105" s="606"/>
      <c r="U105" s="606"/>
      <c r="V105" s="606"/>
      <c r="W105" s="606"/>
      <c r="X105" s="606"/>
      <c r="Y105" s="606"/>
      <c r="Z105" s="606"/>
      <c r="AA105" s="606"/>
    </row>
    <row r="106" spans="1:42" x14ac:dyDescent="0.2">
      <c r="A106" s="242">
        <v>4</v>
      </c>
      <c r="B106" s="641" t="str">
        <f>IFERROR(INDEX(B$1:B$99,MATCH(A106,A$1:A$99,0)),"")</f>
        <v>Kaarel Mikk, Mihkel Filipenko</v>
      </c>
      <c r="C106" s="74">
        <v>13</v>
      </c>
      <c r="D106" s="262"/>
      <c r="E106" s="262"/>
      <c r="F106" s="653"/>
      <c r="G106" s="646"/>
      <c r="H106" s="646"/>
      <c r="I106" s="651"/>
      <c r="J106" s="652"/>
      <c r="K106" s="74"/>
      <c r="L106" s="74"/>
      <c r="M106" s="74"/>
      <c r="N106" s="262"/>
      <c r="O106" s="606"/>
      <c r="P106" s="606"/>
      <c r="Q106" s="606"/>
      <c r="R106" s="606"/>
      <c r="S106" s="606"/>
      <c r="T106" s="606"/>
      <c r="U106" s="606"/>
      <c r="V106" s="606"/>
      <c r="W106" s="606"/>
      <c r="X106" s="606"/>
      <c r="Y106" s="606"/>
      <c r="Z106" s="606"/>
      <c r="AA106" s="606"/>
    </row>
    <row r="107" spans="1:42" x14ac:dyDescent="0.2">
      <c r="A107" s="242"/>
      <c r="B107" s="649"/>
      <c r="C107" s="74" t="str">
        <f>IF(COUNT(C106,C108)=2,IF(C106&gt;C108,B106,B108),"")</f>
        <v>Kaarel Mikk, Mihkel Filipenko</v>
      </c>
      <c r="D107" s="654"/>
      <c r="E107" s="654"/>
      <c r="F107" s="655"/>
      <c r="G107" s="247">
        <v>13</v>
      </c>
      <c r="H107" s="49"/>
      <c r="I107" s="262"/>
      <c r="J107" s="653"/>
      <c r="K107" s="74"/>
      <c r="L107" s="74"/>
      <c r="M107" s="74"/>
      <c r="N107" s="262"/>
      <c r="O107" s="606"/>
      <c r="P107" s="606"/>
      <c r="Q107" s="606"/>
      <c r="R107" s="606"/>
      <c r="S107" s="606"/>
      <c r="T107" s="606"/>
      <c r="U107" s="606"/>
      <c r="V107" s="606"/>
      <c r="W107" s="606"/>
      <c r="X107" s="606"/>
      <c r="Y107" s="606"/>
      <c r="Z107" s="606"/>
      <c r="AA107" s="606"/>
    </row>
    <row r="108" spans="1:42" x14ac:dyDescent="0.2">
      <c r="A108" s="242">
        <v>5</v>
      </c>
      <c r="B108" s="644" t="str">
        <f>IFERROR(INDEX(B$1:B$99,MATCH(A108,A$1:A$99,0)),"")</f>
        <v>Margus Berkmann, Meelis Münt</v>
      </c>
      <c r="C108" s="646">
        <v>8</v>
      </c>
      <c r="G108" s="49"/>
      <c r="H108" s="49"/>
      <c r="I108" s="262"/>
      <c r="J108" s="653"/>
      <c r="K108" s="74"/>
      <c r="L108" s="74"/>
      <c r="M108" s="74"/>
      <c r="N108" s="262"/>
      <c r="O108" s="606"/>
      <c r="P108" s="606"/>
      <c r="Q108" s="606"/>
      <c r="R108" s="606"/>
      <c r="S108" s="606"/>
      <c r="T108" s="606"/>
      <c r="U108" s="606"/>
      <c r="V108" s="606"/>
      <c r="W108" s="606"/>
      <c r="X108" s="606"/>
      <c r="Y108" s="606"/>
      <c r="Z108" s="606"/>
      <c r="AA108" s="606"/>
    </row>
    <row r="109" spans="1:42" ht="13.5" thickBot="1" x14ac:dyDescent="0.25">
      <c r="A109" s="41"/>
      <c r="B109" s="645"/>
      <c r="C109" s="74"/>
      <c r="G109" s="49"/>
      <c r="H109" s="49"/>
      <c r="I109" s="262"/>
      <c r="J109" s="653"/>
      <c r="K109" s="74"/>
      <c r="M109" s="425" t="str">
        <f>IF(COUNT(K105,K113)=2,IF(K105&gt;K113,G105,G113),"")</f>
        <v>Tanel Vähk, Tõnis Neiland</v>
      </c>
      <c r="N109" s="74"/>
      <c r="O109" s="262"/>
      <c r="P109" s="606"/>
      <c r="Q109" s="606"/>
      <c r="R109" s="606"/>
      <c r="S109" s="606"/>
      <c r="T109" s="606"/>
      <c r="U109" s="606"/>
      <c r="V109" s="606"/>
      <c r="W109" s="606"/>
      <c r="X109" s="606"/>
      <c r="Y109" s="606"/>
      <c r="Z109" s="606"/>
      <c r="AA109" s="606"/>
    </row>
    <row r="110" spans="1:42" x14ac:dyDescent="0.2">
      <c r="A110" s="240">
        <v>3</v>
      </c>
      <c r="B110" s="641" t="str">
        <f>IFERROR(INDEX(B$1:B$99,MATCH(A110,A$1:A$99,0)),"")</f>
        <v>Arti Lindvest, Jaanus Otsman</v>
      </c>
      <c r="C110" s="74">
        <v>1</v>
      </c>
      <c r="G110" s="49"/>
      <c r="H110" s="49"/>
      <c r="I110" s="262"/>
      <c r="J110" s="653"/>
      <c r="K110" s="251"/>
      <c r="L110" s="656"/>
      <c r="M110" s="250" t="s">
        <v>589</v>
      </c>
      <c r="N110" s="251"/>
      <c r="O110" s="262"/>
      <c r="P110" s="606"/>
      <c r="Q110" s="606"/>
      <c r="R110" s="606"/>
      <c r="S110" s="606"/>
      <c r="T110" s="606"/>
      <c r="U110" s="606"/>
      <c r="V110" s="606"/>
      <c r="W110" s="606"/>
      <c r="X110" s="606"/>
      <c r="Y110" s="606"/>
      <c r="Z110" s="606"/>
      <c r="AA110" s="606"/>
    </row>
    <row r="111" spans="1:42" x14ac:dyDescent="0.2">
      <c r="A111" s="242"/>
      <c r="B111" s="649"/>
      <c r="C111" s="74" t="str">
        <f>IF(COUNT(C110,C112)=2,IF(C110&gt;C112,B110,B112),"")</f>
        <v>Marek Lehis, Margo Peebo</v>
      </c>
      <c r="G111" s="247">
        <v>3</v>
      </c>
      <c r="H111" s="49"/>
      <c r="I111" s="262"/>
      <c r="J111" s="653"/>
      <c r="K111" s="49"/>
      <c r="M111" s="74"/>
      <c r="N111" s="74"/>
      <c r="O111" s="262"/>
      <c r="P111" s="606"/>
      <c r="Q111" s="606"/>
      <c r="R111" s="606"/>
      <c r="S111" s="606"/>
      <c r="T111" s="606"/>
      <c r="U111" s="606"/>
      <c r="V111" s="606"/>
      <c r="W111" s="606"/>
      <c r="X111" s="606"/>
      <c r="Y111" s="606"/>
      <c r="Z111" s="606"/>
      <c r="AA111" s="606"/>
    </row>
    <row r="112" spans="1:42" x14ac:dyDescent="0.2">
      <c r="A112" s="242">
        <v>6</v>
      </c>
      <c r="B112" s="644" t="str">
        <f>IFERROR(INDEX(B$1:B$99,MATCH(A112,A$1:A$99,0)),"")</f>
        <v>Marek Lehis, Margo Peebo</v>
      </c>
      <c r="C112" s="646">
        <v>13</v>
      </c>
      <c r="D112" s="651"/>
      <c r="E112" s="651"/>
      <c r="F112" s="652"/>
      <c r="G112" s="49"/>
      <c r="H112" s="49"/>
      <c r="I112" s="262"/>
      <c r="J112" s="653"/>
      <c r="K112" s="49"/>
      <c r="M112" s="74"/>
      <c r="N112" s="74"/>
      <c r="O112" s="262"/>
      <c r="P112" s="606"/>
      <c r="Q112" s="606"/>
      <c r="R112" s="606"/>
      <c r="S112" s="606"/>
      <c r="T112" s="606"/>
      <c r="U112" s="606"/>
      <c r="V112" s="606"/>
      <c r="W112" s="606"/>
      <c r="X112" s="606"/>
      <c r="Y112" s="606"/>
      <c r="Z112" s="606"/>
      <c r="AA112" s="606"/>
    </row>
    <row r="113" spans="1:27" x14ac:dyDescent="0.2">
      <c r="A113" s="242"/>
      <c r="B113" s="645"/>
      <c r="C113" s="49"/>
      <c r="D113" s="262"/>
      <c r="E113" s="262"/>
      <c r="F113" s="653"/>
      <c r="G113" s="417" t="str">
        <f>IF(COUNT(G111,G115)=2,IF(G111&gt;G115,C111,C115),"")</f>
        <v>Tanel Vähk, Tõnis Neiland</v>
      </c>
      <c r="H113" s="243"/>
      <c r="I113" s="654"/>
      <c r="J113" s="655"/>
      <c r="K113" s="247">
        <v>13</v>
      </c>
      <c r="M113" s="74"/>
      <c r="N113" s="74"/>
      <c r="O113" s="262"/>
      <c r="P113" s="606"/>
      <c r="Q113" s="606"/>
      <c r="R113" s="606"/>
      <c r="S113" s="606"/>
      <c r="T113" s="606"/>
      <c r="U113" s="606"/>
      <c r="V113" s="606"/>
      <c r="W113" s="606"/>
      <c r="X113" s="606"/>
      <c r="Y113" s="606"/>
      <c r="Z113" s="606"/>
      <c r="AA113" s="606"/>
    </row>
    <row r="114" spans="1:27" ht="13.5" thickBot="1" x14ac:dyDescent="0.25">
      <c r="A114" s="242">
        <v>2</v>
      </c>
      <c r="B114" s="641" t="str">
        <f>IFERROR(INDEX(B$1:B$99,MATCH(A114,A$1:A$99,0)),"")</f>
        <v>Tanel Vähk, Tõnis Neiland</v>
      </c>
      <c r="C114" s="74">
        <v>13</v>
      </c>
      <c r="D114" s="262"/>
      <c r="E114" s="262"/>
      <c r="F114" s="653"/>
      <c r="G114" s="49"/>
      <c r="H114" s="49"/>
      <c r="K114" s="49"/>
      <c r="M114" s="425" t="str">
        <f>IF(COUNT(K105,K113)=2,IF(K105&lt;K113,G105,G113),"")</f>
        <v>Kaarel Mikk, Mihkel Filipenko</v>
      </c>
      <c r="N114" s="252"/>
      <c r="O114" s="262"/>
      <c r="P114" s="606"/>
      <c r="Q114" s="606"/>
      <c r="R114" s="606"/>
      <c r="S114" s="606"/>
      <c r="T114" s="606"/>
      <c r="U114" s="606"/>
      <c r="V114" s="606"/>
      <c r="W114" s="606"/>
      <c r="X114" s="606"/>
      <c r="Y114" s="606"/>
      <c r="Z114" s="606"/>
      <c r="AA114" s="606"/>
    </row>
    <row r="115" spans="1:27" x14ac:dyDescent="0.2">
      <c r="A115" s="242"/>
      <c r="B115" s="649"/>
      <c r="C115" s="74" t="str">
        <f>IF(COUNT(C114,C116)=2,IF(C114&gt;C116,B114,B116),"")</f>
        <v>Tanel Vähk, Tõnis Neiland</v>
      </c>
      <c r="D115" s="654"/>
      <c r="E115" s="654"/>
      <c r="F115" s="655"/>
      <c r="G115" s="247">
        <v>13</v>
      </c>
      <c r="H115" s="74"/>
      <c r="K115" s="49"/>
      <c r="M115" s="250" t="s">
        <v>590</v>
      </c>
      <c r="N115" s="49"/>
      <c r="O115" s="262"/>
      <c r="P115" s="606"/>
      <c r="Q115" s="606"/>
      <c r="R115" s="606"/>
      <c r="S115" s="606"/>
      <c r="T115" s="606"/>
      <c r="U115" s="606"/>
      <c r="V115" s="606"/>
      <c r="W115" s="606"/>
      <c r="X115" s="606"/>
      <c r="Y115" s="606"/>
      <c r="Z115" s="606"/>
      <c r="AA115" s="606"/>
    </row>
    <row r="116" spans="1:27" x14ac:dyDescent="0.2">
      <c r="A116" s="242">
        <v>7</v>
      </c>
      <c r="B116" s="644" t="str">
        <f>IFERROR(INDEX(B$1:B$99,MATCH(A116,A$1:A$99,0)),"")</f>
        <v>Arvi Palla, Kaido Kopel</v>
      </c>
      <c r="C116" s="646">
        <v>6</v>
      </c>
      <c r="G116" s="49"/>
      <c r="H116" s="49"/>
      <c r="K116" s="49"/>
      <c r="M116" s="74"/>
      <c r="N116" s="74"/>
      <c r="O116" s="262"/>
      <c r="P116" s="606"/>
      <c r="Q116" s="606"/>
      <c r="R116" s="606"/>
      <c r="S116" s="606"/>
      <c r="T116" s="606"/>
      <c r="U116" s="606"/>
      <c r="V116" s="606"/>
      <c r="W116" s="606"/>
      <c r="X116" s="606"/>
      <c r="Y116" s="606"/>
      <c r="Z116" s="606"/>
      <c r="AA116" s="606"/>
    </row>
    <row r="117" spans="1:27" x14ac:dyDescent="0.2">
      <c r="A117" s="41"/>
      <c r="B117" s="645"/>
      <c r="C117" s="74"/>
      <c r="G117" s="418" t="str">
        <f>IF(COUNT(G103,G107)=2,IF(G103&lt;G107,C103,C107),"")</f>
        <v>Katri Aavekukk, Merike Aava</v>
      </c>
      <c r="H117" s="74"/>
      <c r="K117" s="247">
        <v>13</v>
      </c>
      <c r="M117" s="74"/>
      <c r="N117" s="74"/>
      <c r="O117" s="262"/>
      <c r="P117" s="606"/>
      <c r="Q117" s="606"/>
      <c r="R117" s="606"/>
      <c r="S117" s="606"/>
      <c r="T117" s="606"/>
      <c r="U117" s="606"/>
      <c r="V117" s="606"/>
      <c r="W117" s="606"/>
      <c r="X117" s="606"/>
      <c r="Y117" s="606"/>
      <c r="Z117" s="606"/>
      <c r="AA117" s="606"/>
    </row>
    <row r="118" spans="1:27" ht="13.5" thickBot="1" x14ac:dyDescent="0.25">
      <c r="A118" s="74"/>
      <c r="B118" s="74"/>
      <c r="C118" s="74"/>
      <c r="G118" s="646"/>
      <c r="H118" s="646"/>
      <c r="I118" s="651"/>
      <c r="J118" s="652"/>
      <c r="K118" s="252"/>
      <c r="L118" s="657"/>
      <c r="M118" s="425" t="str">
        <f>IF(COUNT(K117,K119)=2,IF(K117&gt;K119,G117,G119),"")</f>
        <v>Katri Aavekukk, Merike Aava</v>
      </c>
      <c r="N118" s="252"/>
      <c r="O118" s="262"/>
      <c r="P118" s="606"/>
      <c r="Q118" s="606"/>
      <c r="R118" s="606"/>
      <c r="S118" s="606"/>
      <c r="T118" s="606"/>
      <c r="U118" s="606"/>
      <c r="V118" s="606"/>
      <c r="W118" s="606"/>
      <c r="X118" s="606"/>
      <c r="Y118" s="606"/>
      <c r="Z118" s="606"/>
      <c r="AA118" s="606"/>
    </row>
    <row r="119" spans="1:27" x14ac:dyDescent="0.2">
      <c r="A119" s="74"/>
      <c r="B119" s="74"/>
      <c r="C119" s="74"/>
      <c r="G119" s="417" t="str">
        <f>IF(COUNT(G111,G115)=2,IF(G111&lt;G115,C111,C115),"")</f>
        <v>Marek Lehis, Margo Peebo</v>
      </c>
      <c r="H119" s="243"/>
      <c r="I119" s="654"/>
      <c r="J119" s="655"/>
      <c r="K119" s="247">
        <v>12</v>
      </c>
      <c r="M119" s="253" t="s">
        <v>591</v>
      </c>
      <c r="N119" s="49"/>
      <c r="O119" s="262"/>
      <c r="P119" s="606"/>
      <c r="Q119" s="606"/>
      <c r="R119" s="606"/>
      <c r="S119" s="606"/>
      <c r="T119" s="606"/>
      <c r="U119" s="606"/>
      <c r="V119" s="606"/>
      <c r="W119" s="606"/>
      <c r="X119" s="606"/>
      <c r="Y119" s="606"/>
      <c r="Z119" s="606"/>
      <c r="AA119" s="606"/>
    </row>
    <row r="120" spans="1:27" x14ac:dyDescent="0.2">
      <c r="A120" s="74"/>
      <c r="B120" s="74"/>
      <c r="C120" s="74"/>
      <c r="G120" s="74"/>
      <c r="H120" s="74"/>
      <c r="K120" s="74"/>
      <c r="M120" s="49"/>
      <c r="N120" s="49"/>
      <c r="O120" s="262"/>
      <c r="P120" s="606"/>
      <c r="Q120" s="606"/>
      <c r="R120" s="606"/>
      <c r="S120" s="606"/>
      <c r="T120" s="606"/>
      <c r="U120" s="606"/>
      <c r="V120" s="606"/>
      <c r="W120" s="606"/>
      <c r="X120" s="606"/>
      <c r="Y120" s="606"/>
      <c r="Z120" s="606"/>
      <c r="AA120" s="606"/>
    </row>
    <row r="121" spans="1:27" ht="13.5" thickBot="1" x14ac:dyDescent="0.25">
      <c r="A121" s="74"/>
      <c r="B121" s="74"/>
      <c r="C121" s="74"/>
      <c r="G121" s="49"/>
      <c r="H121" s="49"/>
      <c r="K121" s="74"/>
      <c r="M121" s="425" t="str">
        <f>IF(COUNT(K117,K119)=2,IF(K117&lt;K119,G117,G119),"")</f>
        <v>Marek Lehis, Margo Peebo</v>
      </c>
      <c r="N121" s="252"/>
      <c r="O121" s="262"/>
      <c r="P121" s="606"/>
      <c r="Q121" s="606"/>
      <c r="R121" s="606"/>
      <c r="S121" s="606"/>
      <c r="T121" s="606"/>
      <c r="U121" s="606"/>
      <c r="V121" s="606"/>
      <c r="W121" s="606"/>
      <c r="X121" s="606"/>
      <c r="Y121" s="606"/>
      <c r="Z121" s="606"/>
      <c r="AA121" s="606"/>
    </row>
    <row r="122" spans="1:27" x14ac:dyDescent="0.2">
      <c r="A122" s="74"/>
      <c r="B122" s="74"/>
      <c r="C122" s="74"/>
      <c r="G122" s="74"/>
      <c r="H122" s="74"/>
      <c r="K122" s="74"/>
      <c r="M122" s="41" t="s">
        <v>371</v>
      </c>
      <c r="N122" s="74"/>
      <c r="O122" s="262"/>
      <c r="P122" s="606"/>
      <c r="Q122" s="606"/>
      <c r="R122" s="606"/>
      <c r="S122" s="606"/>
      <c r="T122" s="606"/>
      <c r="U122" s="606"/>
      <c r="V122" s="606"/>
      <c r="W122" s="606"/>
      <c r="X122" s="606"/>
      <c r="Y122" s="606"/>
      <c r="Z122" s="606"/>
      <c r="AA122" s="606"/>
    </row>
    <row r="123" spans="1:27" x14ac:dyDescent="0.2">
      <c r="A123" s="74"/>
      <c r="B123" s="74"/>
      <c r="C123" s="417" t="str">
        <f>IF(COUNT(C102,C104)=2,IF(C102&lt;C104,B102,B104),"")</f>
        <v>Kevin Sten Liik, Ruudi Väärtnõu</v>
      </c>
      <c r="G123" s="241">
        <v>13</v>
      </c>
      <c r="H123" s="241"/>
      <c r="K123" s="241"/>
      <c r="M123" s="74"/>
      <c r="N123" s="74"/>
      <c r="O123" s="262"/>
      <c r="P123" s="606"/>
      <c r="Q123" s="606"/>
      <c r="R123" s="606"/>
      <c r="S123" s="606"/>
      <c r="T123" s="606"/>
      <c r="U123" s="606"/>
      <c r="V123" s="606"/>
      <c r="W123" s="606"/>
      <c r="X123" s="606"/>
      <c r="Y123" s="606"/>
      <c r="Z123" s="606"/>
      <c r="AA123" s="606"/>
    </row>
    <row r="124" spans="1:27" x14ac:dyDescent="0.2">
      <c r="A124" s="74"/>
      <c r="B124" s="74"/>
      <c r="C124" s="647"/>
      <c r="D124" s="651"/>
      <c r="E124" s="651"/>
      <c r="F124" s="652"/>
      <c r="G124" s="643" t="str">
        <f>IF(COUNT(G123,G125)=2,IF(G123&gt;G125,C123,C125),"")</f>
        <v>Kevin Sten Liik, Ruudi Väärtnõu</v>
      </c>
      <c r="H124" s="74"/>
      <c r="K124" s="648">
        <v>5</v>
      </c>
      <c r="M124" s="74"/>
      <c r="N124" s="74"/>
      <c r="O124" s="262"/>
      <c r="P124" s="606"/>
      <c r="Q124" s="606"/>
      <c r="R124" s="606"/>
      <c r="S124" s="606"/>
      <c r="T124" s="606"/>
      <c r="U124" s="606"/>
      <c r="V124" s="606"/>
      <c r="W124" s="606"/>
      <c r="X124" s="606"/>
      <c r="Y124" s="606"/>
      <c r="Z124" s="606"/>
      <c r="AA124" s="606"/>
    </row>
    <row r="125" spans="1:27" x14ac:dyDescent="0.2">
      <c r="A125" s="74"/>
      <c r="B125" s="74"/>
      <c r="C125" s="417" t="str">
        <f>IF(COUNT(C106,C108)=2,IF(C106&lt;C108,B106,B108),"")</f>
        <v>Margus Berkmann, Meelis Münt</v>
      </c>
      <c r="D125" s="654"/>
      <c r="E125" s="654"/>
      <c r="F125" s="655"/>
      <c r="G125" s="244">
        <v>1</v>
      </c>
      <c r="H125" s="647"/>
      <c r="I125" s="651"/>
      <c r="J125" s="652"/>
      <c r="K125" s="241"/>
      <c r="M125" s="74"/>
      <c r="N125" s="74"/>
      <c r="O125" s="262"/>
      <c r="P125" s="606"/>
      <c r="Q125" s="606"/>
      <c r="R125" s="606"/>
      <c r="S125" s="606"/>
      <c r="T125" s="606"/>
      <c r="U125" s="606"/>
      <c r="V125" s="606"/>
      <c r="W125" s="606"/>
      <c r="X125" s="606"/>
      <c r="Y125" s="606"/>
      <c r="Z125" s="606"/>
      <c r="AA125" s="606"/>
    </row>
    <row r="126" spans="1:27" ht="13.5" thickBot="1" x14ac:dyDescent="0.25">
      <c r="A126" s="74"/>
      <c r="B126" s="74"/>
      <c r="C126" s="241"/>
      <c r="G126" s="247"/>
      <c r="H126" s="247"/>
      <c r="I126" s="262"/>
      <c r="J126" s="653"/>
      <c r="K126" s="241"/>
      <c r="M126" s="418" t="str">
        <f>IF(COUNT(K124,K128)=2,IF(K124&gt;K128,G124,G128),"")</f>
        <v>Arvi Palla, Kaido Kopel</v>
      </c>
      <c r="N126" s="74"/>
      <c r="O126" s="262"/>
      <c r="P126" s="606"/>
      <c r="Q126" s="606"/>
      <c r="R126" s="606"/>
      <c r="S126" s="606"/>
      <c r="T126" s="606"/>
      <c r="U126" s="606"/>
      <c r="V126" s="606"/>
      <c r="W126" s="606"/>
      <c r="X126" s="606"/>
      <c r="Y126" s="606"/>
      <c r="Z126" s="606"/>
      <c r="AA126" s="606"/>
    </row>
    <row r="127" spans="1:27" x14ac:dyDescent="0.2">
      <c r="A127" s="74"/>
      <c r="B127" s="74"/>
      <c r="C127" s="417" t="str">
        <f>IF(COUNT(C110,C112)=2,IF(C110&lt;C112,B110,B112),"")</f>
        <v>Arti Lindvest, Jaanus Otsman</v>
      </c>
      <c r="G127" s="241">
        <v>3</v>
      </c>
      <c r="H127" s="247"/>
      <c r="I127" s="262"/>
      <c r="J127" s="653"/>
      <c r="K127" s="420"/>
      <c r="L127" s="656"/>
      <c r="M127" s="250" t="s">
        <v>372</v>
      </c>
      <c r="N127" s="251"/>
      <c r="O127" s="262"/>
      <c r="P127" s="606"/>
      <c r="Q127" s="606"/>
      <c r="R127" s="606"/>
      <c r="S127" s="606"/>
      <c r="T127" s="606"/>
      <c r="U127" s="606"/>
      <c r="V127" s="606"/>
      <c r="W127" s="606"/>
      <c r="X127" s="606"/>
      <c r="Y127" s="606"/>
      <c r="Z127" s="606"/>
      <c r="AA127" s="606"/>
    </row>
    <row r="128" spans="1:27" x14ac:dyDescent="0.2">
      <c r="A128" s="74"/>
      <c r="B128" s="74"/>
      <c r="C128" s="647"/>
      <c r="D128" s="651"/>
      <c r="E128" s="651"/>
      <c r="F128" s="652"/>
      <c r="G128" s="643" t="str">
        <f>IF(COUNT(G127,G129)=2,IF(G127&gt;G129,C127,C129),"")</f>
        <v>Arvi Palla, Kaido Kopel</v>
      </c>
      <c r="H128" s="243"/>
      <c r="I128" s="654"/>
      <c r="J128" s="655"/>
      <c r="K128" s="247">
        <v>13</v>
      </c>
      <c r="M128" s="49"/>
      <c r="N128" s="49"/>
      <c r="O128" s="262"/>
      <c r="P128" s="606"/>
      <c r="Q128" s="606"/>
      <c r="R128" s="606"/>
      <c r="S128" s="606"/>
      <c r="T128" s="606"/>
      <c r="U128" s="606"/>
      <c r="V128" s="606"/>
      <c r="W128" s="606"/>
      <c r="X128" s="606"/>
      <c r="Y128" s="606"/>
      <c r="Z128" s="606"/>
      <c r="AA128" s="606"/>
    </row>
    <row r="129" spans="1:27" ht="13.5" thickBot="1" x14ac:dyDescent="0.25">
      <c r="A129" s="74"/>
      <c r="B129" s="74"/>
      <c r="C129" s="417" t="str">
        <f>IF(COUNT(C114,C116)=2,IF(C114&lt;C116,B114,B116),"")</f>
        <v>Arvi Palla, Kaido Kopel</v>
      </c>
      <c r="D129" s="654"/>
      <c r="E129" s="654"/>
      <c r="F129" s="655"/>
      <c r="G129" s="244">
        <v>13</v>
      </c>
      <c r="H129" s="241"/>
      <c r="K129" s="247"/>
      <c r="M129" s="425" t="str">
        <f>IF(COUNT(K124,K128)=2,IF(K124&lt;K128,G124,G128),"")</f>
        <v>Kevin Sten Liik, Ruudi Väärtnõu</v>
      </c>
      <c r="N129" s="252"/>
      <c r="O129" s="262"/>
      <c r="P129" s="606"/>
      <c r="Q129" s="606"/>
      <c r="R129" s="606"/>
      <c r="S129" s="606"/>
      <c r="T129" s="606"/>
      <c r="U129" s="606"/>
      <c r="V129" s="606"/>
      <c r="W129" s="606"/>
      <c r="X129" s="606"/>
      <c r="Y129" s="606"/>
      <c r="Z129" s="606"/>
      <c r="AA129" s="606"/>
    </row>
    <row r="130" spans="1:27" x14ac:dyDescent="0.2">
      <c r="A130" s="74"/>
      <c r="B130" s="74"/>
      <c r="C130" s="241"/>
      <c r="G130" s="241"/>
      <c r="H130" s="241"/>
      <c r="K130" s="247"/>
      <c r="M130" s="250" t="s">
        <v>373</v>
      </c>
      <c r="N130" s="49"/>
      <c r="O130" s="262"/>
      <c r="P130" s="606"/>
      <c r="Q130" s="606"/>
      <c r="R130" s="606"/>
      <c r="S130" s="606"/>
      <c r="T130" s="606"/>
      <c r="U130" s="606"/>
      <c r="V130" s="606"/>
      <c r="W130" s="606"/>
      <c r="X130" s="606"/>
      <c r="Y130" s="606"/>
      <c r="Z130" s="606"/>
      <c r="AA130" s="606"/>
    </row>
    <row r="131" spans="1:27" x14ac:dyDescent="0.2">
      <c r="A131" s="74"/>
      <c r="B131" s="74"/>
      <c r="C131" s="247"/>
      <c r="G131" s="418" t="str">
        <f>IF(COUNT(G123,G125)=2,IF(G123&lt;G125,C123,C125),"")</f>
        <v>Margus Berkmann, Meelis Münt</v>
      </c>
      <c r="H131" s="74"/>
      <c r="K131" s="247">
        <v>1</v>
      </c>
      <c r="M131" s="49"/>
      <c r="N131" s="49"/>
      <c r="O131" s="262"/>
      <c r="P131" s="606"/>
      <c r="Q131" s="606"/>
      <c r="R131" s="606"/>
      <c r="S131" s="606"/>
      <c r="T131" s="606"/>
      <c r="U131" s="606"/>
      <c r="V131" s="606"/>
      <c r="W131" s="606"/>
      <c r="X131" s="606"/>
      <c r="Y131" s="606"/>
      <c r="Z131" s="606"/>
      <c r="AA131" s="606"/>
    </row>
    <row r="132" spans="1:27" ht="13.5" thickBot="1" x14ac:dyDescent="0.25">
      <c r="A132" s="74"/>
      <c r="B132" s="74"/>
      <c r="C132" s="247"/>
      <c r="G132" s="646"/>
      <c r="H132" s="646"/>
      <c r="I132" s="651"/>
      <c r="J132" s="652"/>
      <c r="K132" s="252"/>
      <c r="L132" s="657"/>
      <c r="M132" s="425" t="str">
        <f>IF(COUNT(K131,K133)=2,IF(K131&gt;K133,G131,G133),"")</f>
        <v>Arti Lindvest, Jaanus Otsman</v>
      </c>
      <c r="N132" s="252"/>
      <c r="O132" s="262"/>
      <c r="P132" s="606"/>
      <c r="Q132" s="606"/>
      <c r="R132" s="606"/>
      <c r="S132" s="606"/>
      <c r="T132" s="606"/>
      <c r="U132" s="606"/>
      <c r="V132" s="606"/>
      <c r="W132" s="606"/>
      <c r="X132" s="606"/>
      <c r="Y132" s="606"/>
      <c r="Z132" s="606"/>
      <c r="AA132" s="606"/>
    </row>
    <row r="133" spans="1:27" x14ac:dyDescent="0.2">
      <c r="A133" s="74"/>
      <c r="B133" s="74"/>
      <c r="C133" s="247"/>
      <c r="G133" s="417" t="str">
        <f>IF(COUNT(G127,G129)=2,IF(G127&lt;G129,C127,C129),"")</f>
        <v>Arti Lindvest, Jaanus Otsman</v>
      </c>
      <c r="H133" s="243"/>
      <c r="I133" s="654"/>
      <c r="J133" s="655"/>
      <c r="K133" s="247">
        <v>13</v>
      </c>
      <c r="M133" s="253" t="s">
        <v>374</v>
      </c>
      <c r="N133" s="49"/>
      <c r="O133" s="262"/>
      <c r="P133" s="606"/>
      <c r="Q133" s="606"/>
      <c r="R133" s="606"/>
      <c r="S133" s="606"/>
      <c r="T133" s="606"/>
      <c r="U133" s="606"/>
      <c r="V133" s="606"/>
      <c r="W133" s="606"/>
      <c r="X133" s="606"/>
      <c r="Y133" s="606"/>
      <c r="Z133" s="606"/>
      <c r="AA133" s="606"/>
    </row>
    <row r="134" spans="1:27" x14ac:dyDescent="0.2">
      <c r="A134" s="74"/>
      <c r="B134" s="74"/>
      <c r="C134" s="49"/>
      <c r="G134" s="74"/>
      <c r="H134" s="74"/>
      <c r="K134" s="74"/>
      <c r="M134" s="49"/>
      <c r="N134" s="49"/>
      <c r="O134" s="262"/>
      <c r="P134" s="606"/>
      <c r="Q134" s="606"/>
      <c r="R134" s="606"/>
      <c r="S134" s="606"/>
      <c r="T134" s="606"/>
      <c r="U134" s="606"/>
      <c r="V134" s="606"/>
      <c r="W134" s="606"/>
      <c r="X134" s="606"/>
      <c r="Y134" s="606"/>
      <c r="Z134" s="606"/>
      <c r="AA134" s="606"/>
    </row>
    <row r="135" spans="1:27" ht="13.5" thickBot="1" x14ac:dyDescent="0.25">
      <c r="A135" s="74"/>
      <c r="B135" s="74"/>
      <c r="C135" s="74"/>
      <c r="G135" s="49"/>
      <c r="H135" s="49"/>
      <c r="K135" s="74"/>
      <c r="M135" s="252" t="str">
        <f>IF(COUNT(K131,K133)=2,IF(K131&lt;K133,G131,G133),"")</f>
        <v>Margus Berkmann, Meelis Münt</v>
      </c>
      <c r="N135" s="252"/>
      <c r="O135" s="262"/>
      <c r="P135" s="606"/>
      <c r="Q135" s="606"/>
      <c r="R135" s="606"/>
      <c r="S135" s="606"/>
      <c r="T135" s="606"/>
      <c r="U135" s="606"/>
      <c r="V135" s="606"/>
      <c r="W135" s="606"/>
      <c r="X135" s="606"/>
      <c r="Y135" s="606"/>
      <c r="Z135" s="606"/>
      <c r="AA135" s="606"/>
    </row>
    <row r="136" spans="1:27" x14ac:dyDescent="0.2">
      <c r="A136" s="202"/>
      <c r="B136" s="260"/>
      <c r="C136" s="204"/>
      <c r="G136" s="204"/>
      <c r="H136" s="204"/>
      <c r="K136" s="259"/>
      <c r="M136" s="250" t="s">
        <v>375</v>
      </c>
      <c r="N136" s="238"/>
      <c r="O136" s="262"/>
      <c r="P136" s="606"/>
      <c r="Q136" s="606"/>
      <c r="R136" s="606"/>
      <c r="S136" s="606"/>
      <c r="T136" s="606"/>
      <c r="U136" s="606"/>
      <c r="V136" s="606"/>
      <c r="W136" s="606"/>
      <c r="X136" s="606"/>
      <c r="Y136" s="606"/>
      <c r="Z136" s="606"/>
      <c r="AA136" s="606"/>
    </row>
    <row r="137" spans="1:27" x14ac:dyDescent="0.2">
      <c r="A137" s="415"/>
      <c r="B137" s="415"/>
      <c r="C137" s="415"/>
      <c r="G137" s="415"/>
      <c r="H137" s="415"/>
      <c r="K137" s="415"/>
      <c r="M137" s="415"/>
      <c r="N137" s="415"/>
      <c r="O137" s="262"/>
      <c r="P137" s="606"/>
      <c r="Q137" s="606"/>
      <c r="R137" s="606"/>
      <c r="S137" s="606"/>
      <c r="T137" s="606"/>
      <c r="U137" s="606"/>
      <c r="V137" s="606"/>
      <c r="W137" s="606"/>
      <c r="X137" s="606"/>
      <c r="Y137" s="606"/>
      <c r="Z137" s="606"/>
      <c r="AA137" s="606"/>
    </row>
    <row r="138" spans="1:27" x14ac:dyDescent="0.2">
      <c r="A138" s="239" t="s">
        <v>552</v>
      </c>
      <c r="B138" s="49"/>
      <c r="C138" s="203"/>
      <c r="G138" s="203"/>
      <c r="H138" s="204"/>
      <c r="K138" s="205"/>
      <c r="M138" s="74"/>
      <c r="N138" s="130"/>
      <c r="O138" s="262"/>
      <c r="P138" s="606"/>
      <c r="Q138" s="606"/>
      <c r="R138" s="606"/>
      <c r="S138" s="606"/>
      <c r="T138" s="606"/>
      <c r="U138" s="606"/>
      <c r="V138" s="606"/>
      <c r="W138" s="606"/>
      <c r="X138" s="606"/>
      <c r="Y138" s="606"/>
      <c r="Z138" s="606"/>
      <c r="AA138" s="606"/>
    </row>
    <row r="139" spans="1:27" x14ac:dyDescent="0.2">
      <c r="A139" s="74"/>
      <c r="B139" s="74"/>
      <c r="C139" s="74"/>
      <c r="G139" s="74"/>
      <c r="H139" s="74"/>
      <c r="K139" s="74"/>
      <c r="M139" s="74"/>
      <c r="N139" s="130"/>
      <c r="O139" s="262"/>
      <c r="P139" s="606"/>
      <c r="Q139" s="606"/>
      <c r="R139" s="606"/>
      <c r="S139" s="606"/>
      <c r="T139" s="606"/>
      <c r="U139" s="606"/>
      <c r="V139" s="606"/>
      <c r="W139" s="606"/>
      <c r="X139" s="606"/>
      <c r="Y139" s="606"/>
      <c r="Z139" s="606"/>
      <c r="AA139" s="606"/>
    </row>
    <row r="140" spans="1:27" x14ac:dyDescent="0.2">
      <c r="A140" s="240">
        <v>9</v>
      </c>
      <c r="B140" s="641" t="str">
        <f>IFERROR(INDEX(B$1:B$99,MATCH(A140,A$1:A$99,0)),"")</f>
        <v>Hardo Sokk, Toomas Tauk</v>
      </c>
      <c r="C140" s="74">
        <v>13</v>
      </c>
      <c r="D140" s="74"/>
      <c r="E140" s="74"/>
      <c r="F140" s="74"/>
      <c r="G140" s="74"/>
      <c r="H140" s="130"/>
      <c r="I140" s="70"/>
      <c r="J140" s="130"/>
      <c r="O140" s="262"/>
      <c r="P140" s="606"/>
      <c r="Q140" s="606"/>
      <c r="R140" s="606"/>
      <c r="S140" s="606"/>
      <c r="T140" s="606"/>
      <c r="U140" s="606"/>
      <c r="V140" s="606"/>
      <c r="W140" s="606"/>
      <c r="X140" s="606"/>
      <c r="Y140" s="606"/>
      <c r="Z140" s="606"/>
      <c r="AA140" s="606"/>
    </row>
    <row r="141" spans="1:27" x14ac:dyDescent="0.2">
      <c r="A141" s="242"/>
      <c r="B141" s="649"/>
      <c r="C141" s="74" t="str">
        <f>IF(COUNT(C140,C142)=2,IF(C140&gt;C142,B140,B142),"")</f>
        <v>Hardo Sokk, Toomas Tauk</v>
      </c>
      <c r="G141" s="419">
        <v>13</v>
      </c>
      <c r="H141" s="74"/>
      <c r="I141" s="74"/>
      <c r="J141" s="74"/>
      <c r="K141" s="74"/>
      <c r="L141" s="70"/>
      <c r="M141" s="130"/>
      <c r="O141" s="262"/>
      <c r="P141" s="606"/>
      <c r="Q141" s="606"/>
      <c r="R141" s="606"/>
      <c r="S141" s="606"/>
      <c r="T141" s="606"/>
      <c r="U141" s="606"/>
      <c r="V141" s="606"/>
      <c r="W141" s="606"/>
      <c r="X141" s="606"/>
      <c r="Y141" s="606"/>
      <c r="Z141" s="606"/>
      <c r="AA141" s="606"/>
    </row>
    <row r="142" spans="1:27" x14ac:dyDescent="0.2">
      <c r="A142" s="242">
        <v>16</v>
      </c>
      <c r="B142" s="644" t="str">
        <f>IFERROR(INDEX(B$1:B$99,MATCH(A142,A$1:A$99,0)),"")</f>
        <v>Kertu Palm, Urmo Auväärt</v>
      </c>
      <c r="C142" s="646">
        <v>1</v>
      </c>
      <c r="D142" s="651"/>
      <c r="E142" s="651"/>
      <c r="F142" s="652"/>
      <c r="G142" s="74"/>
      <c r="H142" s="74"/>
      <c r="I142" s="74"/>
      <c r="J142" s="74"/>
      <c r="K142" s="74"/>
      <c r="L142" s="70"/>
      <c r="M142" s="130"/>
      <c r="O142" s="262"/>
      <c r="P142" s="606"/>
      <c r="Q142" s="606"/>
      <c r="R142" s="606"/>
      <c r="S142" s="606"/>
      <c r="T142" s="606"/>
      <c r="U142" s="606"/>
      <c r="V142" s="606"/>
      <c r="W142" s="606"/>
      <c r="X142" s="606"/>
      <c r="Y142" s="606"/>
      <c r="Z142" s="606"/>
      <c r="AA142" s="606"/>
    </row>
    <row r="143" spans="1:27" x14ac:dyDescent="0.2">
      <c r="A143" s="242"/>
      <c r="B143" s="645"/>
      <c r="C143" s="49"/>
      <c r="D143" s="262"/>
      <c r="E143" s="262"/>
      <c r="F143" s="653"/>
      <c r="G143" s="417" t="str">
        <f>IF(COUNT(G141,G145)=2,IF(G141&gt;G145,C141,C145),"")</f>
        <v>Hardo Sokk, Toomas Tauk</v>
      </c>
      <c r="H143" s="74"/>
      <c r="K143" s="241">
        <v>5</v>
      </c>
      <c r="L143" s="74"/>
      <c r="M143" s="74"/>
      <c r="N143" s="262"/>
      <c r="O143" s="262"/>
      <c r="P143" s="606"/>
      <c r="Q143" s="606"/>
      <c r="R143" s="606"/>
      <c r="S143" s="606"/>
      <c r="T143" s="606"/>
      <c r="U143" s="606"/>
      <c r="V143" s="606"/>
      <c r="W143" s="606"/>
      <c r="X143" s="606"/>
      <c r="Y143" s="606"/>
      <c r="Z143" s="606"/>
      <c r="AA143" s="606"/>
    </row>
    <row r="144" spans="1:27" x14ac:dyDescent="0.2">
      <c r="A144" s="242">
        <v>12</v>
      </c>
      <c r="B144" s="641" t="str">
        <f>IFERROR(INDEX(B$1:B$99,MATCH(A144,A$1:A$99,0)),"")</f>
        <v>Jaan Joonas, Toomas Hoole</v>
      </c>
      <c r="C144" s="74">
        <v>13</v>
      </c>
      <c r="D144" s="262"/>
      <c r="E144" s="262"/>
      <c r="F144" s="653"/>
      <c r="G144" s="646"/>
      <c r="H144" s="646"/>
      <c r="I144" s="651"/>
      <c r="J144" s="652"/>
      <c r="K144" s="74"/>
      <c r="L144" s="74"/>
      <c r="M144" s="74"/>
      <c r="N144" s="262"/>
      <c r="O144" s="262"/>
      <c r="P144" s="606"/>
      <c r="Q144" s="606"/>
      <c r="R144" s="606"/>
      <c r="S144" s="606"/>
      <c r="T144" s="606"/>
      <c r="U144" s="606"/>
      <c r="V144" s="606"/>
      <c r="W144" s="606"/>
      <c r="X144" s="606"/>
      <c r="Y144" s="606"/>
      <c r="Z144" s="606"/>
      <c r="AA144" s="606"/>
    </row>
    <row r="145" spans="1:27" x14ac:dyDescent="0.2">
      <c r="A145" s="242"/>
      <c r="B145" s="649"/>
      <c r="C145" s="74" t="str">
        <f>IF(COUNT(C144,C146)=2,IF(C144&gt;C146,B144,B146),"")</f>
        <v>Jaan Joonas, Toomas Hoole</v>
      </c>
      <c r="D145" s="654"/>
      <c r="E145" s="654"/>
      <c r="F145" s="655"/>
      <c r="G145" s="247">
        <v>9</v>
      </c>
      <c r="H145" s="49"/>
      <c r="I145" s="262"/>
      <c r="J145" s="653"/>
      <c r="K145" s="74"/>
      <c r="L145" s="74"/>
      <c r="M145" s="74"/>
      <c r="N145" s="262"/>
      <c r="O145" s="262"/>
      <c r="P145" s="606"/>
      <c r="Q145" s="606"/>
      <c r="R145" s="606"/>
      <c r="S145" s="606"/>
      <c r="T145" s="606"/>
      <c r="U145" s="606"/>
      <c r="V145" s="606"/>
      <c r="W145" s="606"/>
      <c r="X145" s="606"/>
      <c r="Y145" s="606"/>
      <c r="Z145" s="606"/>
      <c r="AA145" s="606"/>
    </row>
    <row r="146" spans="1:27" x14ac:dyDescent="0.2">
      <c r="A146" s="242">
        <v>13</v>
      </c>
      <c r="B146" s="644" t="str">
        <f>IFERROR(INDEX(B$1:B$99,MATCH(A146,A$1:A$99,0)),"")</f>
        <v>Janek Kiisk, Marko Neemelaik</v>
      </c>
      <c r="C146" s="642">
        <v>12</v>
      </c>
      <c r="G146" s="49"/>
      <c r="H146" s="49"/>
      <c r="I146" s="262"/>
      <c r="J146" s="653"/>
      <c r="K146" s="74"/>
      <c r="L146" s="74"/>
      <c r="M146" s="74"/>
      <c r="N146" s="262"/>
      <c r="O146" s="262"/>
      <c r="P146" s="606"/>
      <c r="Q146" s="606"/>
      <c r="R146" s="606"/>
      <c r="S146" s="606"/>
      <c r="T146" s="606"/>
      <c r="U146" s="606"/>
      <c r="V146" s="606"/>
      <c r="W146" s="606"/>
      <c r="X146" s="606"/>
      <c r="Y146" s="606"/>
      <c r="Z146" s="606"/>
      <c r="AA146" s="606"/>
    </row>
    <row r="147" spans="1:27" ht="13.5" thickBot="1" x14ac:dyDescent="0.25">
      <c r="A147" s="41"/>
      <c r="B147" s="645"/>
      <c r="C147" s="74"/>
      <c r="G147" s="49"/>
      <c r="H147" s="49"/>
      <c r="I147" s="262"/>
      <c r="J147" s="653"/>
      <c r="K147" s="74"/>
      <c r="M147" s="425" t="str">
        <f>IF(COUNT(K143,K151)=2,IF(K143&gt;K151,G143,G151),"")</f>
        <v>Aimar Poom, Marek Kolk, Valmar Pantšenko</v>
      </c>
      <c r="N147" s="74"/>
      <c r="O147" s="262"/>
      <c r="P147" s="606"/>
      <c r="Q147" s="606"/>
      <c r="R147" s="606"/>
      <c r="S147" s="606"/>
      <c r="T147" s="606"/>
      <c r="U147" s="606"/>
      <c r="V147" s="606"/>
      <c r="W147" s="606"/>
      <c r="X147" s="606"/>
      <c r="Y147" s="606"/>
      <c r="Z147" s="606"/>
      <c r="AA147" s="606"/>
    </row>
    <row r="148" spans="1:27" x14ac:dyDescent="0.2">
      <c r="A148" s="240">
        <v>11</v>
      </c>
      <c r="B148" s="641" t="str">
        <f>IFERROR(INDEX(B$1:B$99,MATCH(A148,A$1:A$99,0)),"")</f>
        <v>Andero Kelu, Indrek Vaho</v>
      </c>
      <c r="C148" s="74">
        <v>10</v>
      </c>
      <c r="G148" s="49"/>
      <c r="H148" s="49"/>
      <c r="I148" s="262"/>
      <c r="J148" s="653"/>
      <c r="K148" s="251"/>
      <c r="L148" s="656"/>
      <c r="M148" s="250" t="s">
        <v>376</v>
      </c>
      <c r="N148" s="251"/>
      <c r="O148" s="262"/>
      <c r="P148" s="606"/>
      <c r="Q148" s="606"/>
      <c r="R148" s="606"/>
      <c r="S148" s="606"/>
      <c r="T148" s="606"/>
      <c r="U148" s="606"/>
      <c r="V148" s="606"/>
      <c r="W148" s="606"/>
      <c r="X148" s="606"/>
      <c r="Y148" s="606"/>
      <c r="Z148" s="606"/>
      <c r="AA148" s="606"/>
    </row>
    <row r="149" spans="1:27" x14ac:dyDescent="0.2">
      <c r="A149" s="242"/>
      <c r="B149" s="649"/>
      <c r="C149" s="74" t="str">
        <f>IF(COUNT(C148,C150)=2,IF(C148&gt;C150,B148,B150),"")</f>
        <v>Aigar Lusbo, Harry Lusbo</v>
      </c>
      <c r="G149" s="247">
        <v>4</v>
      </c>
      <c r="H149" s="49"/>
      <c r="I149" s="262"/>
      <c r="J149" s="653"/>
      <c r="K149" s="49"/>
      <c r="M149" s="74"/>
      <c r="N149" s="74"/>
      <c r="O149" s="262"/>
      <c r="P149" s="606"/>
      <c r="Q149" s="606"/>
      <c r="R149" s="606"/>
      <c r="S149" s="606"/>
      <c r="T149" s="606"/>
      <c r="U149" s="606"/>
      <c r="V149" s="606"/>
      <c r="W149" s="606"/>
      <c r="X149" s="606"/>
      <c r="Y149" s="606"/>
      <c r="Z149" s="606"/>
      <c r="AA149" s="606"/>
    </row>
    <row r="150" spans="1:27" x14ac:dyDescent="0.2">
      <c r="A150" s="242">
        <v>14</v>
      </c>
      <c r="B150" s="644" t="str">
        <f>IFERROR(INDEX(B$1:B$99,MATCH(A150,A$1:A$99,0)),"")</f>
        <v>Aigar Lusbo, Harry Lusbo</v>
      </c>
      <c r="C150" s="646">
        <v>13</v>
      </c>
      <c r="D150" s="651"/>
      <c r="E150" s="651"/>
      <c r="F150" s="652"/>
      <c r="G150" s="49"/>
      <c r="H150" s="49"/>
      <c r="I150" s="262"/>
      <c r="J150" s="653"/>
      <c r="K150" s="49"/>
      <c r="M150" s="74"/>
      <c r="N150" s="74"/>
      <c r="O150" s="262"/>
      <c r="P150" s="606"/>
      <c r="Q150" s="606"/>
      <c r="R150" s="606"/>
      <c r="S150" s="606"/>
      <c r="T150" s="606"/>
      <c r="U150" s="606"/>
      <c r="V150" s="606"/>
      <c r="W150" s="606"/>
      <c r="X150" s="606"/>
      <c r="Y150" s="606"/>
      <c r="Z150" s="606"/>
      <c r="AA150" s="606"/>
    </row>
    <row r="151" spans="1:27" x14ac:dyDescent="0.2">
      <c r="A151" s="242"/>
      <c r="B151" s="645"/>
      <c r="C151" s="49"/>
      <c r="D151" s="262"/>
      <c r="E151" s="262"/>
      <c r="F151" s="653"/>
      <c r="G151" s="417" t="str">
        <f>IF(COUNT(G149,G153)=2,IF(G149&gt;G153,C149,C153),"")</f>
        <v>Aimar Poom, Marek Kolk, Valmar Pantšenko</v>
      </c>
      <c r="H151" s="243"/>
      <c r="I151" s="654"/>
      <c r="J151" s="655"/>
      <c r="K151" s="247">
        <v>13</v>
      </c>
      <c r="M151" s="74"/>
      <c r="N151" s="74"/>
      <c r="O151" s="262"/>
      <c r="P151" s="606"/>
      <c r="Q151" s="606"/>
      <c r="R151" s="606"/>
      <c r="S151" s="606"/>
      <c r="T151" s="606"/>
      <c r="U151" s="606"/>
      <c r="V151" s="606"/>
      <c r="W151" s="606"/>
      <c r="X151" s="606"/>
      <c r="Y151" s="606"/>
      <c r="Z151" s="606"/>
      <c r="AA151" s="606"/>
    </row>
    <row r="152" spans="1:27" ht="13.5" thickBot="1" x14ac:dyDescent="0.25">
      <c r="A152" s="242">
        <v>10</v>
      </c>
      <c r="B152" s="641" t="str">
        <f>IFERROR(INDEX(B$1:B$99,MATCH(A152,A$1:A$99,0)),"")</f>
        <v>Kadri Arunurm, Maris Rõõm</v>
      </c>
      <c r="C152" s="74">
        <v>6</v>
      </c>
      <c r="D152" s="262"/>
      <c r="E152" s="262"/>
      <c r="F152" s="653"/>
      <c r="G152" s="49"/>
      <c r="H152" s="49"/>
      <c r="K152" s="49"/>
      <c r="M152" s="425" t="str">
        <f>IF(COUNT(K143,K151)=2,IF(K143&lt;K151,G143,G151),"")</f>
        <v>Hardo Sokk, Toomas Tauk</v>
      </c>
      <c r="N152" s="252"/>
      <c r="O152" s="262"/>
      <c r="P152" s="606"/>
      <c r="Q152" s="606"/>
      <c r="R152" s="606"/>
      <c r="S152" s="606"/>
      <c r="T152" s="606"/>
      <c r="U152" s="606"/>
      <c r="V152" s="606"/>
      <c r="W152" s="606"/>
      <c r="X152" s="606"/>
      <c r="Y152" s="606"/>
      <c r="Z152" s="606"/>
      <c r="AA152" s="606"/>
    </row>
    <row r="153" spans="1:27" x14ac:dyDescent="0.2">
      <c r="A153" s="242"/>
      <c r="B153" s="649"/>
      <c r="C153" s="74" t="str">
        <f>IF(COUNT(C152,C154)=2,IF(C152&gt;C154,B152,B154),"")</f>
        <v>Aimar Poom, Marek Kolk, Valmar Pantšenko</v>
      </c>
      <c r="D153" s="654"/>
      <c r="E153" s="654"/>
      <c r="F153" s="655"/>
      <c r="G153" s="247">
        <v>13</v>
      </c>
      <c r="H153" s="74"/>
      <c r="K153" s="49"/>
      <c r="M153" s="250" t="s">
        <v>377</v>
      </c>
      <c r="N153" s="49"/>
      <c r="O153" s="262"/>
      <c r="P153" s="606"/>
      <c r="Q153" s="606"/>
      <c r="R153" s="606"/>
      <c r="S153" s="606"/>
      <c r="T153" s="606"/>
      <c r="U153" s="606"/>
      <c r="V153" s="606"/>
      <c r="W153" s="606"/>
      <c r="X153" s="606"/>
      <c r="Y153" s="606"/>
      <c r="Z153" s="606"/>
      <c r="AA153" s="606"/>
    </row>
    <row r="154" spans="1:27" x14ac:dyDescent="0.2">
      <c r="A154" s="242">
        <v>15</v>
      </c>
      <c r="B154" s="644" t="str">
        <f>IFERROR(INDEX(B$1:B$99,MATCH(A154,A$1:A$99,0)),"")</f>
        <v>Aimar Poom, Marek Kolk, Valmar Pantšenko</v>
      </c>
      <c r="C154" s="646">
        <v>13</v>
      </c>
      <c r="G154" s="49"/>
      <c r="H154" s="49"/>
      <c r="K154" s="49"/>
      <c r="M154" s="74"/>
      <c r="N154" s="74"/>
      <c r="O154" s="262"/>
      <c r="P154" s="606"/>
      <c r="Q154" s="606"/>
      <c r="R154" s="606"/>
      <c r="S154" s="606"/>
      <c r="T154" s="606"/>
      <c r="U154" s="606"/>
      <c r="V154" s="606"/>
      <c r="W154" s="606"/>
      <c r="X154" s="606"/>
      <c r="Y154" s="606"/>
      <c r="Z154" s="606"/>
      <c r="AA154" s="606"/>
    </row>
    <row r="155" spans="1:27" x14ac:dyDescent="0.2">
      <c r="A155" s="41"/>
      <c r="B155" s="645"/>
      <c r="C155" s="74"/>
      <c r="G155" s="418" t="str">
        <f>IF(COUNT(G141,G145)=2,IF(G141&lt;G145,C141,C145),"")</f>
        <v>Jaan Joonas, Toomas Hoole</v>
      </c>
      <c r="H155" s="74"/>
      <c r="K155" s="247">
        <v>13</v>
      </c>
      <c r="M155" s="74"/>
      <c r="N155" s="74"/>
      <c r="O155" s="262"/>
      <c r="P155" s="606"/>
      <c r="Q155" s="606"/>
      <c r="R155" s="606"/>
      <c r="S155" s="606"/>
      <c r="T155" s="606"/>
      <c r="U155" s="606"/>
      <c r="V155" s="606"/>
      <c r="W155" s="606"/>
      <c r="X155" s="606"/>
      <c r="Y155" s="606"/>
      <c r="Z155" s="606"/>
      <c r="AA155" s="606"/>
    </row>
    <row r="156" spans="1:27" ht="13.5" thickBot="1" x14ac:dyDescent="0.25">
      <c r="A156" s="74"/>
      <c r="B156" s="74"/>
      <c r="C156" s="74"/>
      <c r="G156" s="646"/>
      <c r="H156" s="646"/>
      <c r="I156" s="651"/>
      <c r="J156" s="652"/>
      <c r="K156" s="252"/>
      <c r="L156" s="657"/>
      <c r="M156" s="425" t="str">
        <f>IF(COUNT(K155,K157)=2,IF(K155&gt;K157,G155,G157),"")</f>
        <v>Jaan Joonas, Toomas Hoole</v>
      </c>
      <c r="N156" s="252"/>
      <c r="O156" s="262"/>
      <c r="P156" s="606"/>
      <c r="Q156" s="606"/>
      <c r="R156" s="606"/>
      <c r="S156" s="606"/>
      <c r="T156" s="606"/>
      <c r="U156" s="606"/>
      <c r="V156" s="606"/>
      <c r="W156" s="606"/>
      <c r="X156" s="606"/>
      <c r="Y156" s="606"/>
      <c r="Z156" s="606"/>
      <c r="AA156" s="606"/>
    </row>
    <row r="157" spans="1:27" x14ac:dyDescent="0.2">
      <c r="A157" s="74"/>
      <c r="B157" s="74"/>
      <c r="C157" s="74"/>
      <c r="G157" s="417" t="str">
        <f>IF(COUNT(G149,G153)=2,IF(G149&lt;G153,C149,C153),"")</f>
        <v>Aigar Lusbo, Harry Lusbo</v>
      </c>
      <c r="H157" s="243"/>
      <c r="I157" s="654"/>
      <c r="J157" s="655"/>
      <c r="K157" s="247">
        <v>0</v>
      </c>
      <c r="M157" s="253" t="s">
        <v>378</v>
      </c>
      <c r="N157" s="49"/>
      <c r="O157" s="262"/>
      <c r="P157" s="606"/>
      <c r="Q157" s="606"/>
      <c r="R157" s="606"/>
      <c r="S157" s="606"/>
      <c r="T157" s="606"/>
      <c r="U157" s="606"/>
      <c r="V157" s="606"/>
      <c r="W157" s="606"/>
      <c r="X157" s="606"/>
      <c r="Y157" s="606"/>
      <c r="Z157" s="606"/>
      <c r="AA157" s="606"/>
    </row>
    <row r="158" spans="1:27" x14ac:dyDescent="0.2">
      <c r="A158" s="74"/>
      <c r="B158" s="74"/>
      <c r="C158" s="74"/>
      <c r="G158" s="74"/>
      <c r="H158" s="74"/>
      <c r="K158" s="74"/>
      <c r="M158" s="49"/>
      <c r="N158" s="49"/>
      <c r="O158" s="262"/>
      <c r="P158" s="606"/>
      <c r="Q158" s="606"/>
      <c r="R158" s="606"/>
      <c r="S158" s="606"/>
      <c r="T158" s="606"/>
      <c r="U158" s="606"/>
      <c r="V158" s="606"/>
      <c r="W158" s="606"/>
      <c r="X158" s="606"/>
      <c r="Y158" s="606"/>
      <c r="Z158" s="606"/>
      <c r="AA158" s="606"/>
    </row>
    <row r="159" spans="1:27" ht="13.5" thickBot="1" x14ac:dyDescent="0.25">
      <c r="A159" s="74"/>
      <c r="B159" s="74"/>
      <c r="C159" s="74"/>
      <c r="G159" s="49"/>
      <c r="H159" s="49"/>
      <c r="K159" s="74"/>
      <c r="M159" s="425" t="str">
        <f>IF(COUNT(K155,K157)=2,IF(K155&lt;K157,G155,G157),"")</f>
        <v>Aigar Lusbo, Harry Lusbo</v>
      </c>
      <c r="N159" s="252"/>
      <c r="O159" s="262"/>
      <c r="P159" s="606"/>
      <c r="Q159" s="606"/>
      <c r="R159" s="606"/>
      <c r="S159" s="606"/>
      <c r="T159" s="606"/>
      <c r="U159" s="606"/>
      <c r="V159" s="606"/>
      <c r="W159" s="606"/>
      <c r="X159" s="606"/>
      <c r="Y159" s="606"/>
      <c r="Z159" s="606"/>
      <c r="AA159" s="606"/>
    </row>
    <row r="160" spans="1:27" x14ac:dyDescent="0.2">
      <c r="A160" s="74"/>
      <c r="B160" s="74"/>
      <c r="C160" s="74"/>
      <c r="G160" s="74"/>
      <c r="H160" s="74"/>
      <c r="K160" s="74"/>
      <c r="M160" s="41" t="s">
        <v>539</v>
      </c>
      <c r="N160" s="74"/>
      <c r="O160" s="262"/>
      <c r="P160" s="606"/>
      <c r="Q160" s="606"/>
      <c r="R160" s="606"/>
      <c r="S160" s="606"/>
      <c r="T160" s="606"/>
      <c r="U160" s="606"/>
      <c r="V160" s="606"/>
      <c r="W160" s="606"/>
      <c r="X160" s="606"/>
      <c r="Y160" s="606"/>
      <c r="Z160" s="606"/>
      <c r="AA160" s="606"/>
    </row>
    <row r="161" spans="1:27" x14ac:dyDescent="0.2">
      <c r="A161" s="74"/>
      <c r="B161" s="74"/>
      <c r="C161" s="417" t="str">
        <f>IF(COUNT(C140,C142)=2,IF(C140&lt;C142,B140,B142),"")</f>
        <v>Kertu Palm, Urmo Auväärt</v>
      </c>
      <c r="G161" s="241">
        <v>8</v>
      </c>
      <c r="H161" s="241"/>
      <c r="K161" s="241"/>
      <c r="M161" s="74"/>
      <c r="N161" s="74"/>
      <c r="O161" s="262"/>
      <c r="P161" s="606"/>
      <c r="Q161" s="606"/>
      <c r="R161" s="606"/>
      <c r="S161" s="606"/>
      <c r="T161" s="606"/>
      <c r="U161" s="606"/>
      <c r="V161" s="606"/>
      <c r="W161" s="606"/>
      <c r="X161" s="606"/>
      <c r="Y161" s="606"/>
      <c r="Z161" s="606"/>
      <c r="AA161" s="606"/>
    </row>
    <row r="162" spans="1:27" x14ac:dyDescent="0.2">
      <c r="A162" s="74"/>
      <c r="B162" s="74"/>
      <c r="C162" s="647"/>
      <c r="D162" s="651"/>
      <c r="E162" s="651"/>
      <c r="F162" s="652"/>
      <c r="G162" s="643" t="str">
        <f>IF(COUNT(G161,G163)=2,IF(G161&gt;G163,C161,C163),"")</f>
        <v>Janek Kiisk, Marko Neemelaik</v>
      </c>
      <c r="H162" s="74"/>
      <c r="K162" s="648">
        <v>13</v>
      </c>
      <c r="M162" s="74"/>
      <c r="N162" s="74"/>
      <c r="O162" s="262"/>
      <c r="P162" s="606"/>
      <c r="Q162" s="606"/>
      <c r="R162" s="606"/>
      <c r="S162" s="606"/>
      <c r="T162" s="606"/>
      <c r="U162" s="606"/>
      <c r="V162" s="606"/>
      <c r="W162" s="606"/>
      <c r="X162" s="606"/>
      <c r="Y162" s="606"/>
      <c r="Z162" s="606"/>
      <c r="AA162" s="606"/>
    </row>
    <row r="163" spans="1:27" x14ac:dyDescent="0.2">
      <c r="A163" s="74"/>
      <c r="B163" s="74"/>
      <c r="C163" s="417" t="str">
        <f>IF(COUNT(C144,C146)=2,IF(C144&lt;C146,B144,B146),"")</f>
        <v>Janek Kiisk, Marko Neemelaik</v>
      </c>
      <c r="D163" s="654"/>
      <c r="E163" s="654"/>
      <c r="F163" s="655"/>
      <c r="G163" s="244">
        <v>13</v>
      </c>
      <c r="H163" s="647"/>
      <c r="I163" s="651"/>
      <c r="J163" s="652"/>
      <c r="K163" s="241"/>
      <c r="M163" s="74"/>
      <c r="N163" s="74"/>
      <c r="O163" s="262"/>
      <c r="P163" s="606"/>
      <c r="Q163" s="606"/>
      <c r="R163" s="606"/>
      <c r="S163" s="606"/>
      <c r="T163" s="606"/>
      <c r="U163" s="606"/>
      <c r="V163" s="606"/>
      <c r="W163" s="606"/>
      <c r="X163" s="606"/>
      <c r="Y163" s="606"/>
      <c r="Z163" s="606"/>
      <c r="AA163" s="606"/>
    </row>
    <row r="164" spans="1:27" ht="13.5" thickBot="1" x14ac:dyDescent="0.25">
      <c r="A164" s="74"/>
      <c r="B164" s="74"/>
      <c r="C164" s="241"/>
      <c r="G164" s="247"/>
      <c r="H164" s="247"/>
      <c r="I164" s="262"/>
      <c r="J164" s="653"/>
      <c r="K164" s="241"/>
      <c r="M164" s="418" t="str">
        <f>IF(COUNT(K162,K166)=2,IF(K162&gt;K166,G162,G166),"")</f>
        <v>Janek Kiisk, Marko Neemelaik</v>
      </c>
      <c r="N164" s="74"/>
      <c r="O164" s="262"/>
      <c r="P164" s="606"/>
      <c r="Q164" s="606"/>
      <c r="R164" s="606"/>
      <c r="S164" s="606"/>
      <c r="T164" s="606"/>
      <c r="U164" s="606"/>
      <c r="V164" s="606"/>
      <c r="W164" s="606"/>
      <c r="X164" s="606"/>
      <c r="Y164" s="606"/>
      <c r="Z164" s="606"/>
      <c r="AA164" s="606"/>
    </row>
    <row r="165" spans="1:27" x14ac:dyDescent="0.2">
      <c r="A165" s="74"/>
      <c r="B165" s="74"/>
      <c r="C165" s="417" t="str">
        <f>IF(COUNT(C148,C150)=2,IF(C148&lt;C150,B148,B150),"")</f>
        <v>Andero Kelu, Indrek Vaho</v>
      </c>
      <c r="G165" s="241">
        <v>10</v>
      </c>
      <c r="H165" s="247"/>
      <c r="I165" s="262"/>
      <c r="J165" s="653"/>
      <c r="K165" s="420"/>
      <c r="L165" s="656"/>
      <c r="M165" s="250" t="s">
        <v>540</v>
      </c>
      <c r="N165" s="251"/>
      <c r="O165" s="262"/>
      <c r="P165" s="606"/>
      <c r="Q165" s="606"/>
      <c r="R165" s="606"/>
      <c r="S165" s="606"/>
      <c r="T165" s="606"/>
      <c r="U165" s="606"/>
      <c r="V165" s="606"/>
      <c r="W165" s="606"/>
      <c r="X165" s="606"/>
      <c r="Y165" s="606"/>
      <c r="Z165" s="606"/>
      <c r="AA165" s="606"/>
    </row>
    <row r="166" spans="1:27" x14ac:dyDescent="0.2">
      <c r="A166" s="74"/>
      <c r="B166" s="74"/>
      <c r="C166" s="647"/>
      <c r="D166" s="651"/>
      <c r="E166" s="651"/>
      <c r="F166" s="652"/>
      <c r="G166" s="643" t="str">
        <f>IF(COUNT(G165,G167)=2,IF(G165&gt;G167,C165,C167),"")</f>
        <v>Kadri Arunurm, Maris Rõõm</v>
      </c>
      <c r="H166" s="243"/>
      <c r="I166" s="654"/>
      <c r="J166" s="655"/>
      <c r="K166" s="247">
        <v>10</v>
      </c>
      <c r="M166" s="49"/>
      <c r="N166" s="49"/>
      <c r="O166" s="262"/>
      <c r="P166" s="606"/>
      <c r="Q166" s="606"/>
      <c r="R166" s="606"/>
      <c r="S166" s="606"/>
      <c r="T166" s="606"/>
      <c r="U166" s="606"/>
      <c r="V166" s="606"/>
      <c r="W166" s="606"/>
      <c r="X166" s="606"/>
      <c r="Y166" s="606"/>
      <c r="Z166" s="606"/>
      <c r="AA166" s="606"/>
    </row>
    <row r="167" spans="1:27" ht="13.5" thickBot="1" x14ac:dyDescent="0.25">
      <c r="A167" s="74"/>
      <c r="B167" s="74"/>
      <c r="C167" s="417" t="str">
        <f>IF(COUNT(C152,C154)=2,IF(C152&lt;C154,B152,B154),"")</f>
        <v>Kadri Arunurm, Maris Rõõm</v>
      </c>
      <c r="D167" s="654"/>
      <c r="E167" s="654"/>
      <c r="F167" s="655"/>
      <c r="G167" s="244">
        <v>13</v>
      </c>
      <c r="H167" s="241"/>
      <c r="K167" s="247"/>
      <c r="M167" s="425" t="str">
        <f>IF(COUNT(K162,K166)=2,IF(K162&lt;K166,G162,G166),"")</f>
        <v>Kadri Arunurm, Maris Rõõm</v>
      </c>
      <c r="N167" s="252"/>
      <c r="O167" s="262"/>
      <c r="P167" s="606"/>
      <c r="Q167" s="606"/>
      <c r="R167" s="606"/>
      <c r="S167" s="606"/>
      <c r="T167" s="606"/>
      <c r="U167" s="606"/>
      <c r="V167" s="606"/>
      <c r="W167" s="606"/>
      <c r="X167" s="606"/>
      <c r="Y167" s="606"/>
      <c r="Z167" s="606"/>
      <c r="AA167" s="606"/>
    </row>
    <row r="168" spans="1:27" x14ac:dyDescent="0.2">
      <c r="A168" s="74"/>
      <c r="B168" s="74"/>
      <c r="C168" s="241"/>
      <c r="G168" s="241"/>
      <c r="H168" s="241"/>
      <c r="K168" s="247"/>
      <c r="M168" s="250" t="s">
        <v>541</v>
      </c>
      <c r="N168" s="49"/>
      <c r="O168" s="262"/>
      <c r="P168" s="606"/>
      <c r="Q168" s="606"/>
      <c r="R168" s="606"/>
      <c r="S168" s="606"/>
      <c r="T168" s="606"/>
      <c r="U168" s="606"/>
      <c r="V168" s="606"/>
      <c r="W168" s="606"/>
      <c r="X168" s="606"/>
      <c r="Y168" s="606"/>
      <c r="Z168" s="606"/>
      <c r="AA168" s="606"/>
    </row>
    <row r="169" spans="1:27" x14ac:dyDescent="0.2">
      <c r="A169" s="74"/>
      <c r="B169" s="74"/>
      <c r="C169" s="247"/>
      <c r="G169" s="418" t="str">
        <f>IF(COUNT(G161,G163)=2,IF(G161&lt;G163,C161,C163),"")</f>
        <v>Kertu Palm, Urmo Auväärt</v>
      </c>
      <c r="H169" s="74"/>
      <c r="K169" s="247">
        <v>10</v>
      </c>
      <c r="M169" s="49"/>
      <c r="N169" s="49"/>
      <c r="O169" s="262"/>
      <c r="S169" s="69"/>
      <c r="T169" s="69"/>
      <c r="U169" s="69"/>
      <c r="V169" s="69"/>
      <c r="W169" s="69"/>
      <c r="X169" s="69"/>
      <c r="Y169" s="69"/>
      <c r="Z169" s="69"/>
    </row>
    <row r="170" spans="1:27" ht="13.5" thickBot="1" x14ac:dyDescent="0.25">
      <c r="A170" s="74"/>
      <c r="B170" s="74"/>
      <c r="C170" s="247"/>
      <c r="G170" s="646"/>
      <c r="H170" s="646"/>
      <c r="I170" s="651"/>
      <c r="J170" s="652"/>
      <c r="K170" s="252"/>
      <c r="L170" s="657"/>
      <c r="M170" s="425" t="str">
        <f>IF(COUNT(K169,K171)=2,IF(K169&gt;K171,G169,G171),"")</f>
        <v>Andero Kelu, Indrek Vaho</v>
      </c>
      <c r="N170" s="252"/>
      <c r="O170" s="262"/>
      <c r="S170" s="69"/>
      <c r="T170" s="69"/>
      <c r="U170" s="69"/>
      <c r="V170" s="69"/>
      <c r="W170" s="69"/>
      <c r="X170" s="69"/>
      <c r="Y170" s="69"/>
      <c r="Z170" s="69"/>
    </row>
    <row r="171" spans="1:27" x14ac:dyDescent="0.2">
      <c r="A171" s="74"/>
      <c r="B171" s="74"/>
      <c r="C171" s="247"/>
      <c r="G171" s="417" t="str">
        <f>IF(COUNT(G165,G167)=2,IF(G165&lt;G167,C165,C167),"")</f>
        <v>Andero Kelu, Indrek Vaho</v>
      </c>
      <c r="H171" s="243"/>
      <c r="I171" s="654"/>
      <c r="J171" s="655"/>
      <c r="K171" s="247">
        <v>13</v>
      </c>
      <c r="M171" s="253" t="s">
        <v>542</v>
      </c>
      <c r="N171" s="49"/>
      <c r="O171" s="262"/>
      <c r="S171" s="69"/>
      <c r="T171" s="69"/>
      <c r="U171" s="69"/>
      <c r="V171" s="69"/>
      <c r="W171" s="69"/>
      <c r="X171" s="69"/>
      <c r="Y171" s="69"/>
      <c r="Z171" s="69"/>
    </row>
    <row r="172" spans="1:27" x14ac:dyDescent="0.2">
      <c r="A172" s="74"/>
      <c r="B172" s="74"/>
      <c r="C172" s="49"/>
      <c r="G172" s="74"/>
      <c r="H172" s="74"/>
      <c r="K172" s="74"/>
      <c r="M172" s="49"/>
      <c r="N172" s="49"/>
      <c r="O172" s="262"/>
    </row>
    <row r="173" spans="1:27" ht="13.5" thickBot="1" x14ac:dyDescent="0.25">
      <c r="A173" s="74"/>
      <c r="B173" s="74"/>
      <c r="C173" s="74"/>
      <c r="G173" s="49"/>
      <c r="H173" s="49"/>
      <c r="K173" s="74"/>
      <c r="M173" s="252" t="str">
        <f>IF(COUNT(K169,K171)=2,IF(K169&lt;K171,G169,G171),"")</f>
        <v>Kertu Palm, Urmo Auväärt</v>
      </c>
      <c r="N173" s="252"/>
      <c r="O173" s="262"/>
    </row>
    <row r="174" spans="1:27" x14ac:dyDescent="0.2">
      <c r="A174" s="202"/>
      <c r="B174" s="260"/>
      <c r="C174" s="204"/>
      <c r="G174" s="204"/>
      <c r="H174" s="204"/>
      <c r="K174" s="259"/>
      <c r="M174" s="250" t="s">
        <v>543</v>
      </c>
      <c r="N174" s="238"/>
      <c r="O174" s="262"/>
    </row>
    <row r="176" spans="1:27" x14ac:dyDescent="0.2">
      <c r="A176" s="239" t="s">
        <v>613</v>
      </c>
      <c r="B176" s="49"/>
      <c r="C176" s="203"/>
      <c r="G176" s="203"/>
      <c r="H176" s="204"/>
      <c r="K176" s="205"/>
      <c r="M176" s="74"/>
      <c r="N176" s="130"/>
    </row>
    <row r="177" spans="1:15" x14ac:dyDescent="0.2">
      <c r="A177" s="74"/>
      <c r="B177" s="74"/>
      <c r="C177" s="74"/>
      <c r="G177" s="74"/>
      <c r="H177" s="74"/>
      <c r="K177" s="74"/>
      <c r="M177" s="74"/>
      <c r="N177" s="130"/>
      <c r="O177" s="262"/>
    </row>
    <row r="178" spans="1:15" x14ac:dyDescent="0.2">
      <c r="A178" s="240">
        <v>17</v>
      </c>
      <c r="B178" s="641" t="str">
        <f>IFERROR(INDEX(B$1:B$99,MATCH(A178,A$1:A$99,0)),"")</f>
        <v>Aigi Orro, Kalle Orro</v>
      </c>
      <c r="C178" s="74">
        <v>13</v>
      </c>
      <c r="D178" s="74"/>
      <c r="E178" s="74"/>
      <c r="F178" s="74"/>
      <c r="G178" s="74"/>
      <c r="H178" s="130"/>
      <c r="I178" s="70"/>
      <c r="J178" s="130"/>
      <c r="O178" s="262"/>
    </row>
    <row r="179" spans="1:15" x14ac:dyDescent="0.2">
      <c r="A179" s="242"/>
      <c r="B179" s="649"/>
      <c r="C179" s="74" t="str">
        <f>IF(COUNT(C178,C180)=2,IF(C178&gt;C180,B178,B180),"")</f>
        <v>Aigi Orro, Kalle Orro</v>
      </c>
      <c r="G179" s="419">
        <v>13</v>
      </c>
      <c r="H179" s="74"/>
      <c r="I179" s="74"/>
      <c r="J179" s="74"/>
      <c r="K179" s="74"/>
      <c r="L179" s="70"/>
      <c r="M179" s="130"/>
      <c r="O179" s="262"/>
    </row>
    <row r="180" spans="1:15" x14ac:dyDescent="0.2">
      <c r="A180" s="242">
        <v>24</v>
      </c>
      <c r="B180" s="644" t="str">
        <f>IFERROR(INDEX(B$1:B$99,MATCH(A180,A$1:A$99,0)),"")</f>
        <v>Einar Juhkam, Johannes Neiland</v>
      </c>
      <c r="C180" s="646">
        <v>10</v>
      </c>
      <c r="D180" s="651"/>
      <c r="E180" s="651"/>
      <c r="F180" s="652"/>
      <c r="G180" s="74"/>
      <c r="H180" s="74"/>
      <c r="I180" s="74"/>
      <c r="J180" s="74"/>
      <c r="K180" s="74"/>
      <c r="L180" s="70"/>
      <c r="M180" s="130"/>
      <c r="O180" s="262"/>
    </row>
    <row r="181" spans="1:15" x14ac:dyDescent="0.2">
      <c r="A181" s="242"/>
      <c r="B181" s="645"/>
      <c r="C181" s="49"/>
      <c r="D181" s="262"/>
      <c r="E181" s="262"/>
      <c r="F181" s="653"/>
      <c r="G181" s="417" t="str">
        <f>IF(COUNT(G179,G183)=2,IF(G179&gt;G183,C179,C183),"")</f>
        <v>Aigi Orro, Kalle Orro</v>
      </c>
      <c r="H181" s="74"/>
      <c r="K181" s="241">
        <v>13</v>
      </c>
      <c r="L181" s="74"/>
      <c r="M181" s="74"/>
      <c r="N181" s="262"/>
      <c r="O181" s="262"/>
    </row>
    <row r="182" spans="1:15" x14ac:dyDescent="0.2">
      <c r="A182" s="242">
        <v>20</v>
      </c>
      <c r="B182" s="641" t="str">
        <f>IFERROR(INDEX(B$1:B$99,MATCH(A182,A$1:A$99,0)),"")</f>
        <v>Markus Erik Tommula, Ott Karl Kopel</v>
      </c>
      <c r="C182" s="74">
        <v>6</v>
      </c>
      <c r="D182" s="262"/>
      <c r="E182" s="262"/>
      <c r="F182" s="653"/>
      <c r="G182" s="646"/>
      <c r="H182" s="646"/>
      <c r="I182" s="651"/>
      <c r="J182" s="652"/>
      <c r="K182" s="74"/>
      <c r="L182" s="74"/>
      <c r="M182" s="74"/>
      <c r="N182" s="262"/>
    </row>
    <row r="183" spans="1:15" x14ac:dyDescent="0.2">
      <c r="A183" s="242"/>
      <c r="B183" s="649"/>
      <c r="C183" s="74" t="str">
        <f>IF(COUNT(C182,C184)=2,IF(C182&gt;C184,B182,B184),"")</f>
        <v>Henri Mitt, Kenneth Muusikus</v>
      </c>
      <c r="D183" s="654"/>
      <c r="E183" s="654"/>
      <c r="F183" s="655"/>
      <c r="G183" s="247">
        <v>12</v>
      </c>
      <c r="H183" s="49"/>
      <c r="I183" s="262"/>
      <c r="J183" s="653"/>
      <c r="K183" s="74"/>
      <c r="L183" s="74"/>
      <c r="M183" s="74"/>
      <c r="N183" s="262"/>
    </row>
    <row r="184" spans="1:15" x14ac:dyDescent="0.2">
      <c r="A184" s="242">
        <v>21</v>
      </c>
      <c r="B184" s="644" t="str">
        <f>IFERROR(INDEX(B$1:B$99,MATCH(A184,A$1:A$99,0)),"")</f>
        <v>Henri Mitt, Kenneth Muusikus</v>
      </c>
      <c r="C184" s="642">
        <v>13</v>
      </c>
      <c r="G184" s="49"/>
      <c r="H184" s="49"/>
      <c r="I184" s="262"/>
      <c r="J184" s="653"/>
      <c r="K184" s="74"/>
      <c r="L184" s="74"/>
      <c r="M184" s="74"/>
      <c r="N184" s="262"/>
    </row>
    <row r="185" spans="1:15" ht="13.5" thickBot="1" x14ac:dyDescent="0.25">
      <c r="A185" s="41"/>
      <c r="B185" s="645"/>
      <c r="C185" s="74"/>
      <c r="G185" s="49"/>
      <c r="H185" s="49"/>
      <c r="I185" s="262"/>
      <c r="J185" s="653"/>
      <c r="K185" s="74"/>
      <c r="M185" s="425" t="str">
        <f>IF(COUNT(K181,K189)=2,IF(K181&gt;K189,G181,G189),"")</f>
        <v>Aigi Orro, Kalle Orro</v>
      </c>
      <c r="N185" s="74"/>
    </row>
    <row r="186" spans="1:15" x14ac:dyDescent="0.2">
      <c r="A186" s="240">
        <v>19</v>
      </c>
      <c r="B186" s="641" t="str">
        <f>IFERROR(INDEX(B$1:B$99,MATCH(A186,A$1:A$99,0)),"")</f>
        <v>Aivar Sein, Maive Sein, Varje Reede</v>
      </c>
      <c r="C186" s="74">
        <v>10</v>
      </c>
      <c r="G186" s="49"/>
      <c r="H186" s="49"/>
      <c r="I186" s="262"/>
      <c r="J186" s="653"/>
      <c r="K186" s="251"/>
      <c r="L186" s="656"/>
      <c r="M186" s="250" t="s">
        <v>544</v>
      </c>
      <c r="N186" s="251"/>
    </row>
    <row r="187" spans="1:15" x14ac:dyDescent="0.2">
      <c r="A187" s="242"/>
      <c r="B187" s="649"/>
      <c r="C187" s="74" t="str">
        <f>IF(COUNT(C186,C188)=2,IF(C186&gt;C188,B186,B188),"")</f>
        <v>Külli Kariste, Marju Velga</v>
      </c>
      <c r="G187" s="247">
        <v>13</v>
      </c>
      <c r="H187" s="49"/>
      <c r="I187" s="262"/>
      <c r="J187" s="653"/>
      <c r="K187" s="49"/>
      <c r="M187" s="74"/>
      <c r="N187" s="74"/>
    </row>
    <row r="188" spans="1:15" x14ac:dyDescent="0.2">
      <c r="A188" s="242">
        <v>22</v>
      </c>
      <c r="B188" s="644" t="str">
        <f>IFERROR(INDEX(B$1:B$99,MATCH(A188,A$1:A$99,0)),"")</f>
        <v>Külli Kariste, Marju Velga</v>
      </c>
      <c r="C188" s="646">
        <v>13</v>
      </c>
      <c r="D188" s="651"/>
      <c r="E188" s="651"/>
      <c r="F188" s="652"/>
      <c r="G188" s="49"/>
      <c r="H188" s="49"/>
      <c r="I188" s="262"/>
      <c r="J188" s="653"/>
      <c r="K188" s="49"/>
      <c r="M188" s="74"/>
      <c r="N188" s="74"/>
    </row>
    <row r="189" spans="1:15" x14ac:dyDescent="0.2">
      <c r="A189" s="242"/>
      <c r="B189" s="645"/>
      <c r="C189" s="49"/>
      <c r="D189" s="262"/>
      <c r="E189" s="262"/>
      <c r="F189" s="653"/>
      <c r="G189" s="417" t="str">
        <f>IF(COUNT(G187,G191)=2,IF(G187&gt;G191,C187,C191),"")</f>
        <v>Külli Kariste, Marju Velga</v>
      </c>
      <c r="H189" s="243"/>
      <c r="I189" s="654"/>
      <c r="J189" s="655"/>
      <c r="K189" s="247">
        <v>11</v>
      </c>
      <c r="M189" s="74"/>
      <c r="N189" s="74"/>
    </row>
    <row r="190" spans="1:15" ht="13.5" thickBot="1" x14ac:dyDescent="0.25">
      <c r="A190" s="242">
        <v>18</v>
      </c>
      <c r="B190" s="641" t="str">
        <f>IFERROR(INDEX(B$1:B$99,MATCH(A190,A$1:A$99,0)),"")</f>
        <v>Angelika Tauk, Triin Gretel Tauk</v>
      </c>
      <c r="C190" s="74">
        <v>13</v>
      </c>
      <c r="D190" s="262"/>
      <c r="E190" s="262"/>
      <c r="F190" s="653"/>
      <c r="G190" s="49"/>
      <c r="H190" s="49"/>
      <c r="K190" s="49"/>
      <c r="M190" s="425" t="str">
        <f>IF(COUNT(K181,K189)=2,IF(K181&lt;K189,G181,G189),"")</f>
        <v>Külli Kariste, Marju Velga</v>
      </c>
      <c r="N190" s="252"/>
    </row>
    <row r="191" spans="1:15" x14ac:dyDescent="0.2">
      <c r="A191" s="242"/>
      <c r="B191" s="649"/>
      <c r="C191" s="74" t="str">
        <f>IF(COUNT(C190,C192)=2,IF(C190&gt;C192,B190,B192),"")</f>
        <v>Angelika Tauk, Triin Gretel Tauk</v>
      </c>
      <c r="D191" s="654"/>
      <c r="E191" s="654"/>
      <c r="F191" s="655"/>
      <c r="G191" s="247">
        <v>1</v>
      </c>
      <c r="H191" s="74"/>
      <c r="K191" s="49"/>
      <c r="M191" s="250" t="s">
        <v>545</v>
      </c>
      <c r="N191" s="49"/>
    </row>
    <row r="192" spans="1:15" x14ac:dyDescent="0.2">
      <c r="A192" s="242">
        <v>23</v>
      </c>
      <c r="B192" s="644" t="str">
        <f>IFERROR(INDEX(B$1:B$99,MATCH(A192,A$1:A$99,0)),"")</f>
        <v>Mare Kingissepp, Silver Kingissepp</v>
      </c>
      <c r="C192" s="646">
        <v>11</v>
      </c>
      <c r="G192" s="49"/>
      <c r="H192" s="49"/>
      <c r="K192" s="49"/>
      <c r="M192" s="74"/>
      <c r="N192" s="74"/>
    </row>
    <row r="193" spans="1:14" x14ac:dyDescent="0.2">
      <c r="A193" s="41"/>
      <c r="B193" s="645"/>
      <c r="C193" s="74"/>
      <c r="G193" s="418" t="str">
        <f>IF(COUNT(G179,G183)=2,IF(G179&lt;G183,C179,C183),"")</f>
        <v>Henri Mitt, Kenneth Muusikus</v>
      </c>
      <c r="H193" s="74"/>
      <c r="K193" s="247">
        <v>13</v>
      </c>
      <c r="M193" s="74"/>
      <c r="N193" s="74"/>
    </row>
    <row r="194" spans="1:14" ht="13.5" thickBot="1" x14ac:dyDescent="0.25">
      <c r="A194" s="74"/>
      <c r="B194" s="74"/>
      <c r="C194" s="74"/>
      <c r="G194" s="646"/>
      <c r="H194" s="646"/>
      <c r="I194" s="651"/>
      <c r="J194" s="652"/>
      <c r="K194" s="252"/>
      <c r="L194" s="657"/>
      <c r="M194" s="425" t="str">
        <f>IF(COUNT(K193,K195)=2,IF(K193&gt;K195,G193,G195),"")</f>
        <v>Henri Mitt, Kenneth Muusikus</v>
      </c>
      <c r="N194" s="252"/>
    </row>
    <row r="195" spans="1:14" x14ac:dyDescent="0.2">
      <c r="A195" s="74"/>
      <c r="B195" s="74"/>
      <c r="C195" s="74"/>
      <c r="G195" s="417" t="str">
        <f>IF(COUNT(G187,G191)=2,IF(G187&lt;G191,C187,C191),"")</f>
        <v>Angelika Tauk, Triin Gretel Tauk</v>
      </c>
      <c r="H195" s="243"/>
      <c r="I195" s="654"/>
      <c r="J195" s="655"/>
      <c r="K195" s="247">
        <v>3</v>
      </c>
      <c r="M195" s="253" t="s">
        <v>546</v>
      </c>
      <c r="N195" s="49"/>
    </row>
    <row r="196" spans="1:14" x14ac:dyDescent="0.2">
      <c r="A196" s="74"/>
      <c r="B196" s="74"/>
      <c r="C196" s="74"/>
      <c r="G196" s="74"/>
      <c r="H196" s="74"/>
      <c r="K196" s="74"/>
      <c r="M196" s="49"/>
      <c r="N196" s="49"/>
    </row>
    <row r="197" spans="1:14" ht="13.5" thickBot="1" x14ac:dyDescent="0.25">
      <c r="A197" s="74"/>
      <c r="B197" s="74"/>
      <c r="C197" s="74"/>
      <c r="G197" s="49"/>
      <c r="H197" s="49"/>
      <c r="K197" s="74"/>
      <c r="M197" s="425" t="str">
        <f>IF(COUNT(K193,K195)=2,IF(K193&lt;K195,G193,G195),"")</f>
        <v>Angelika Tauk, Triin Gretel Tauk</v>
      </c>
      <c r="N197" s="252"/>
    </row>
    <row r="198" spans="1:14" x14ac:dyDescent="0.2">
      <c r="A198" s="74"/>
      <c r="B198" s="74"/>
      <c r="C198" s="74"/>
      <c r="G198" s="74"/>
      <c r="H198" s="74"/>
      <c r="K198" s="74"/>
      <c r="M198" s="41" t="s">
        <v>547</v>
      </c>
      <c r="N198" s="74"/>
    </row>
    <row r="199" spans="1:14" x14ac:dyDescent="0.2">
      <c r="A199" s="74"/>
      <c r="B199" s="74"/>
      <c r="C199" s="417" t="str">
        <f>IF(COUNT(C178,C180)=2,IF(C178&lt;C180,B178,B180),"")</f>
        <v>Einar Juhkam, Johannes Neiland</v>
      </c>
      <c r="G199" s="241">
        <v>6</v>
      </c>
      <c r="H199" s="241"/>
      <c r="K199" s="241"/>
      <c r="M199" s="74"/>
      <c r="N199" s="74"/>
    </row>
    <row r="200" spans="1:14" x14ac:dyDescent="0.2">
      <c r="A200" s="74"/>
      <c r="B200" s="74"/>
      <c r="C200" s="647"/>
      <c r="D200" s="651"/>
      <c r="E200" s="651"/>
      <c r="F200" s="652"/>
      <c r="G200" s="643" t="str">
        <f>IF(COUNT(G199,G201)=2,IF(G199&gt;G201,C199,C201),"")</f>
        <v>Markus Erik Tommula, Ott Karl Kopel</v>
      </c>
      <c r="H200" s="74"/>
      <c r="K200" s="648">
        <v>11</v>
      </c>
      <c r="M200" s="74"/>
      <c r="N200" s="74"/>
    </row>
    <row r="201" spans="1:14" x14ac:dyDescent="0.2">
      <c r="A201" s="74"/>
      <c r="B201" s="74"/>
      <c r="C201" s="417" t="str">
        <f>IF(COUNT(C182,C184)=2,IF(C182&lt;C184,B182,B184),"")</f>
        <v>Markus Erik Tommula, Ott Karl Kopel</v>
      </c>
      <c r="D201" s="654"/>
      <c r="E201" s="654"/>
      <c r="F201" s="655"/>
      <c r="G201" s="244">
        <v>13</v>
      </c>
      <c r="H201" s="647"/>
      <c r="I201" s="651"/>
      <c r="J201" s="652"/>
      <c r="K201" s="241"/>
      <c r="M201" s="74"/>
      <c r="N201" s="74"/>
    </row>
    <row r="202" spans="1:14" ht="13.5" thickBot="1" x14ac:dyDescent="0.25">
      <c r="A202" s="74"/>
      <c r="B202" s="74"/>
      <c r="C202" s="241"/>
      <c r="G202" s="247"/>
      <c r="H202" s="247"/>
      <c r="I202" s="262"/>
      <c r="J202" s="653"/>
      <c r="K202" s="241"/>
      <c r="M202" s="418" t="str">
        <f>IF(COUNT(K200,K204)=2,IF(K200&gt;K204,G200,G204),"")</f>
        <v>Mare Kingissepp, Silver Kingissepp</v>
      </c>
      <c r="N202" s="74"/>
    </row>
    <row r="203" spans="1:14" x14ac:dyDescent="0.2">
      <c r="A203" s="74"/>
      <c r="B203" s="74"/>
      <c r="C203" s="417" t="str">
        <f>IF(COUNT(C186,C188)=2,IF(C186&lt;C188,B186,B188),"")</f>
        <v>Aivar Sein, Maive Sein, Varje Reede</v>
      </c>
      <c r="G203" s="241">
        <v>10</v>
      </c>
      <c r="H203" s="247"/>
      <c r="I203" s="262"/>
      <c r="J203" s="653"/>
      <c r="K203" s="420"/>
      <c r="L203" s="656"/>
      <c r="M203" s="250" t="s">
        <v>585</v>
      </c>
      <c r="N203" s="251"/>
    </row>
    <row r="204" spans="1:14" x14ac:dyDescent="0.2">
      <c r="A204" s="74"/>
      <c r="B204" s="74"/>
      <c r="C204" s="647"/>
      <c r="D204" s="651"/>
      <c r="E204" s="651"/>
      <c r="F204" s="652"/>
      <c r="G204" s="643" t="str">
        <f>IF(COUNT(G203,G205)=2,IF(G203&gt;G205,C203,C205),"")</f>
        <v>Mare Kingissepp, Silver Kingissepp</v>
      </c>
      <c r="H204" s="243"/>
      <c r="I204" s="654"/>
      <c r="J204" s="655"/>
      <c r="K204" s="247">
        <v>13</v>
      </c>
      <c r="M204" s="49"/>
      <c r="N204" s="49"/>
    </row>
    <row r="205" spans="1:14" ht="13.5" thickBot="1" x14ac:dyDescent="0.25">
      <c r="A205" s="74"/>
      <c r="B205" s="74"/>
      <c r="C205" s="417" t="str">
        <f>IF(COUNT(C190,C192)=2,IF(C190&lt;C192,B190,B192),"")</f>
        <v>Mare Kingissepp, Silver Kingissepp</v>
      </c>
      <c r="D205" s="654"/>
      <c r="E205" s="654"/>
      <c r="F205" s="655"/>
      <c r="G205" s="244">
        <v>13</v>
      </c>
      <c r="H205" s="241"/>
      <c r="K205" s="247"/>
      <c r="M205" s="425" t="str">
        <f>IF(COUNT(K200,K204)=2,IF(K200&lt;K204,G200,G204),"")</f>
        <v>Markus Erik Tommula, Ott Karl Kopel</v>
      </c>
      <c r="N205" s="252"/>
    </row>
    <row r="206" spans="1:14" x14ac:dyDescent="0.2">
      <c r="A206" s="74"/>
      <c r="B206" s="74"/>
      <c r="C206" s="241"/>
      <c r="G206" s="241"/>
      <c r="H206" s="241"/>
      <c r="K206" s="247"/>
      <c r="M206" s="250" t="s">
        <v>586</v>
      </c>
      <c r="N206" s="49"/>
    </row>
    <row r="207" spans="1:14" x14ac:dyDescent="0.2">
      <c r="A207" s="74"/>
      <c r="B207" s="74"/>
      <c r="C207" s="247"/>
      <c r="G207" s="418" t="str">
        <f>IF(COUNT(G199,G201)=2,IF(G199&lt;G201,C199,C201),"")</f>
        <v>Einar Juhkam, Johannes Neiland</v>
      </c>
      <c r="H207" s="74"/>
      <c r="K207" s="247">
        <v>13</v>
      </c>
      <c r="M207" s="49"/>
      <c r="N207" s="49"/>
    </row>
    <row r="208" spans="1:14" ht="13.5" thickBot="1" x14ac:dyDescent="0.25">
      <c r="A208" s="74"/>
      <c r="B208" s="74"/>
      <c r="C208" s="247"/>
      <c r="G208" s="646"/>
      <c r="H208" s="646"/>
      <c r="I208" s="651"/>
      <c r="J208" s="652"/>
      <c r="K208" s="252"/>
      <c r="L208" s="657"/>
      <c r="M208" s="425" t="str">
        <f>IF(COUNT(K207,K209)=2,IF(K207&gt;K209,G207,G209),"")</f>
        <v>Einar Juhkam, Johannes Neiland</v>
      </c>
      <c r="N208" s="252"/>
    </row>
    <row r="209" spans="1:22" x14ac:dyDescent="0.2">
      <c r="A209" s="74"/>
      <c r="B209" s="74"/>
      <c r="C209" s="247"/>
      <c r="G209" s="417" t="str">
        <f>IF(COUNT(G203,G205)=2,IF(G203&lt;G205,C203,C205),"")</f>
        <v>Aivar Sein, Maive Sein, Varje Reede</v>
      </c>
      <c r="H209" s="243"/>
      <c r="I209" s="654"/>
      <c r="J209" s="655"/>
      <c r="K209" s="247">
        <v>4</v>
      </c>
      <c r="M209" s="253" t="s">
        <v>587</v>
      </c>
      <c r="N209" s="49"/>
    </row>
    <row r="210" spans="1:22" x14ac:dyDescent="0.2">
      <c r="A210" s="74"/>
      <c r="B210" s="74"/>
      <c r="C210" s="49"/>
      <c r="G210" s="74"/>
      <c r="H210" s="74"/>
      <c r="K210" s="74"/>
      <c r="M210" s="49"/>
      <c r="N210" s="49"/>
    </row>
    <row r="211" spans="1:22" ht="13.5" thickBot="1" x14ac:dyDescent="0.25">
      <c r="A211" s="74"/>
      <c r="B211" s="74"/>
      <c r="C211" s="74"/>
      <c r="G211" s="49"/>
      <c r="H211" s="49"/>
      <c r="K211" s="74"/>
      <c r="M211" s="252" t="str">
        <f>IF(COUNT(K207,K209)=2,IF(K207&lt;K209,G207,G209),"")</f>
        <v>Aivar Sein, Maive Sein, Varje Reede</v>
      </c>
      <c r="N211" s="252"/>
    </row>
    <row r="212" spans="1:22" x14ac:dyDescent="0.2">
      <c r="A212" s="202"/>
      <c r="B212" s="260"/>
      <c r="C212" s="204"/>
      <c r="G212" s="204"/>
      <c r="H212" s="204"/>
      <c r="K212" s="259"/>
      <c r="M212" s="250" t="s">
        <v>614</v>
      </c>
      <c r="N212" s="238"/>
    </row>
    <row r="213" spans="1:22" x14ac:dyDescent="0.2">
      <c r="K213" s="69"/>
      <c r="L213" s="69"/>
      <c r="M213" s="69"/>
    </row>
    <row r="214" spans="1:22" x14ac:dyDescent="0.2">
      <c r="A214" s="239" t="s">
        <v>757</v>
      </c>
      <c r="B214" s="53"/>
      <c r="C214" s="53"/>
      <c r="G214" s="53"/>
      <c r="H214" s="53"/>
      <c r="K214" s="69"/>
      <c r="L214" s="69"/>
      <c r="M214" s="69"/>
    </row>
    <row r="215" spans="1:22" x14ac:dyDescent="0.2">
      <c r="A215" s="67"/>
      <c r="B215" s="53"/>
      <c r="C215" s="53"/>
      <c r="G215" s="53"/>
      <c r="H215" s="446">
        <v>18</v>
      </c>
      <c r="K215" s="69"/>
      <c r="L215" s="69"/>
      <c r="O215" s="262"/>
    </row>
    <row r="216" spans="1:22" x14ac:dyDescent="0.2">
      <c r="A216" s="831" t="s">
        <v>913</v>
      </c>
      <c r="B216" s="416"/>
      <c r="C216" s="955">
        <v>1</v>
      </c>
      <c r="D216" s="956"/>
      <c r="E216" s="957"/>
      <c r="F216" s="832">
        <v>2</v>
      </c>
      <c r="G216" s="955">
        <v>3</v>
      </c>
      <c r="H216" s="956"/>
      <c r="I216" s="957"/>
      <c r="J216" s="832">
        <v>4</v>
      </c>
      <c r="K216" s="955">
        <v>5</v>
      </c>
      <c r="L216" s="956"/>
      <c r="M216" s="957"/>
      <c r="N216" s="832" t="s">
        <v>498</v>
      </c>
      <c r="O216" s="958" t="s">
        <v>25</v>
      </c>
      <c r="P216" s="959"/>
      <c r="Q216" s="960"/>
      <c r="R216" s="833" t="s">
        <v>512</v>
      </c>
      <c r="S216" s="834" t="s">
        <v>512</v>
      </c>
      <c r="T216" s="835" t="s">
        <v>912</v>
      </c>
      <c r="V216" s="238" t="b">
        <f>OR(AND(COUNTA(B217:B221)=3,COUNTA(C217:K221)=6),AND(COUNTA(B217:B221)=4,COUNTA(C217:K221)=12),AND(COUNTA(B217:B221)=5,COUNTA(C217:K221)=20))</f>
        <v>1</v>
      </c>
    </row>
    <row r="217" spans="1:22" x14ac:dyDescent="0.2">
      <c r="A217" s="831">
        <v>1</v>
      </c>
      <c r="B217" s="266" t="str">
        <f>IFERROR(INDEX(B$1:B$100,MATCH(25,A$1:A$100,0)),"")</f>
        <v>Egert Kingissepp, Marge Mägi</v>
      </c>
      <c r="C217" s="952"/>
      <c r="D217" s="953"/>
      <c r="E217" s="954"/>
      <c r="F217" s="42">
        <v>10</v>
      </c>
      <c r="G217" s="961">
        <v>13</v>
      </c>
      <c r="H217" s="962"/>
      <c r="I217" s="963"/>
      <c r="J217" s="837"/>
      <c r="K217" s="946"/>
      <c r="L217" s="947"/>
      <c r="M217" s="948"/>
      <c r="N217" s="843" t="str">
        <f>(IF(F217&gt;C218,1)+IF(G217&gt;C219,1)+IF(J217&gt;C220,1)+IF(K217&gt;C221,1))&amp;"-"&amp;(IF(F217&lt;C218,1)+IF(G217&lt;C219,1)+IF(J217&lt;C220,1)+IF(K217&lt;C221,1))</f>
        <v>1-1</v>
      </c>
      <c r="O217" s="949" t="str">
        <f>IF(AND(B217&lt;&gt;"",V$216=TRUE),A$216&amp;RANK(V217,V$217:V$221,0),"")</f>
        <v>X2</v>
      </c>
      <c r="P217" s="950"/>
      <c r="Q217" s="951"/>
      <c r="R217" s="838">
        <f>VALUE(LEFT(N217,1))</f>
        <v>1</v>
      </c>
      <c r="S217" s="839">
        <f>IF(AND(R217=1,R218=1,F217&gt;C218),1)+IF(AND(R217=1,R219=1,G217&gt;C219),1)+IF(AND(R217=1,R220=1,J217&gt;C220),1)+IF(AND(R217=1,R221=1,K217&gt;C221),1)+IF(AND(R217=2,R218=2,F217&gt;C218),1)+IF(AND(R217=2,R219=2,G217&gt;C219),1)+IF(AND(R217=2,R220=2,J217&gt;C220),1)+IF(AND(R217=2,R221=2,K217&gt;C221),1)+IF(AND(R217=3,R218=3,F217&gt;C218),1)+IF(AND(R217=3,R219=3,G217&gt;C219),1)+IF(AND(R217=3,R220=3,J217&gt;C220),1)+IF(AND(R217=3,R221=3,K217&gt;C221),1)</f>
        <v>0</v>
      </c>
      <c r="T217" s="840">
        <f>IF(AND(R217=1,R218=1),F217-C218)+IF(AND(R217=1,R219=1),G217-C219)+IF(AND(R217=1,R220=1),J217-C220)+IF(AND(R217=1,R221=1),K217-C221)+IF(AND(R217=2,R218=2),F217-C218)+IF(AND(R217=2,R219=2),G217-C219)+IF(AND(R217=2,R220=2),J217-C220)+IF(AND(R217=2,R221=2),K217-C221)+IF(AND(R217=3,R218=3),F217-C218)+IF(AND(R217=3,R219=3),G217-C219)+IF(AND(R217=3,R220=3),J217-C220)+IF(AND(R217=3,R221=3),K217-C221)</f>
        <v>0</v>
      </c>
      <c r="V217" s="844">
        <f>10000*R217+S217*100+T217</f>
        <v>10000</v>
      </c>
    </row>
    <row r="218" spans="1:22" x14ac:dyDescent="0.2">
      <c r="A218" s="831">
        <v>2</v>
      </c>
      <c r="B218" s="266" t="str">
        <f>IFERROR(INDEX(B$1:B$100,MATCH(26,A$1:A$100,0)),"")</f>
        <v>Marina Vallik, Uku Kollom</v>
      </c>
      <c r="C218" s="961">
        <v>13</v>
      </c>
      <c r="D218" s="962"/>
      <c r="E218" s="963"/>
      <c r="F218" s="836"/>
      <c r="G218" s="964">
        <v>13</v>
      </c>
      <c r="H218" s="965"/>
      <c r="I218" s="966"/>
      <c r="J218" s="837"/>
      <c r="K218" s="946"/>
      <c r="L218" s="947"/>
      <c r="M218" s="948"/>
      <c r="N218" s="816" t="str">
        <f>(IF(C218&gt;F217,1)+IF(G218&gt;F219,1)+IF(J218&gt;F220,1)+IF(K218&gt;F221,1))&amp;"-"&amp;(IF(C218&lt;F217,1)+IF(G218&lt;F219,1)+IF(J218&lt;F220,1)+IF(K218&lt;F221,1))</f>
        <v>2-0</v>
      </c>
      <c r="O218" s="949" t="str">
        <f t="shared" ref="O218:O221" si="18">IF(AND(B218&lt;&gt;"",V$216=TRUE),A$216&amp;RANK(V218,V$217:V$221,0),"")</f>
        <v>X1</v>
      </c>
      <c r="P218" s="950"/>
      <c r="Q218" s="951"/>
      <c r="R218" s="838">
        <f>VALUE(LEFT(N218,1))</f>
        <v>2</v>
      </c>
      <c r="S218" s="841">
        <f>IF(AND(R218=1,R217=1,C218&gt;F217),1)+IF(AND(R218=1,R219=1,G218&gt;F219),1)+IF(AND(R218=1,R220=1,J218&gt;F220),1)+IF(AND(R218=1,R221=1,K218&gt;F221),1)+IF(AND(R218=2,R217=2,C218&gt;F217),1)+IF(AND(R218=2,R219=2,G218&gt;F219),1)+IF(AND(R218=2,R220=2,J218&gt;F220),1)+IF(AND(R218=2,R221=2,K218&gt;F221),1)+IF(AND(R218=3,R217=3,C218&gt;F217),1)+IF(AND(R218=3,R219=3,G218&gt;F219),1)+IF(AND(R218=3,R220=3,J218&gt;F220),1)+IF(AND(R218=3,R221=3,K218&gt;F221),1)</f>
        <v>0</v>
      </c>
      <c r="T218" s="840">
        <f>IF(AND(R218=1,R217=1),C218-F217)+IF(AND(R218=1,R219=1),G218-F219)+IF(AND(R218=1,R220=1),J218-F220)+IF(AND(R218=1,R221=1),K218-F221)+IF(AND(R218=2,R217=2),C218-F217)+IF(AND(R218=2,R219=2),G218-F219)+IF(AND(R218=2,R220=2),J218-F220)+IF(AND(R218=2,R221=2),K218-F221)+IF(AND(R218=3,R217=3),C218-F217)+IF(AND(R218=3,R219=3),G218-F219)+IF(AND(R218=3,R220=3),J218-F220)+IF(AND(R218=3,R221=3),K218-F221)</f>
        <v>0</v>
      </c>
      <c r="V218" s="844">
        <f>10000*R218+S218*100+T218</f>
        <v>20000</v>
      </c>
    </row>
    <row r="219" spans="1:22" x14ac:dyDescent="0.2">
      <c r="A219" s="831">
        <v>3</v>
      </c>
      <c r="B219" s="266" t="str">
        <f>IFERROR(INDEX(B$1:B$100,MATCH(27,A$1:A$100,0)),"")</f>
        <v>Grettel Kiho, Vahur Raudsepp</v>
      </c>
      <c r="C219" s="967">
        <v>0</v>
      </c>
      <c r="D219" s="968"/>
      <c r="E219" s="969"/>
      <c r="F219" s="837">
        <v>7</v>
      </c>
      <c r="G219" s="952"/>
      <c r="H219" s="953"/>
      <c r="I219" s="954"/>
      <c r="J219" s="837"/>
      <c r="K219" s="946"/>
      <c r="L219" s="947"/>
      <c r="M219" s="948"/>
      <c r="N219" s="816" t="str">
        <f>(IF(C219&gt;G217,1)+IF(F219&gt;G218,1)+IF(J219&gt;G220,1)+IF(K219&gt;G221,1))&amp;"-"&amp;(IF(C219&lt;G217,1)+IF(F219&lt;G218,1)+IF(J219&lt;G220,1)+IF(K219&lt;G221,1))</f>
        <v>0-2</v>
      </c>
      <c r="O219" s="949" t="str">
        <f t="shared" si="18"/>
        <v>X3</v>
      </c>
      <c r="P219" s="950"/>
      <c r="Q219" s="951"/>
      <c r="R219" s="838">
        <f>VALUE(LEFT(N219,1))</f>
        <v>0</v>
      </c>
      <c r="S219" s="841">
        <f>IF(AND(R219=1,R217=1,C219&gt;G217),1)+IF(AND(R219=1,R218=1,F219&gt;G218),1)+IF(AND(R219=1,R220=1,J219&gt;G220),1)+IF(AND(R219=1,R221=1,K219&gt;G221),1)+IF(AND(R219=2,R217=2,C219&gt;G217),1)+IF(AND(R219=2,R218=2,F219&gt;G218),1)+IF(AND(R219=2,R220=2,J219&gt;G220),1)+IF(AND(R219=2,R221=2,K219&gt;G221),1)+IF(AND(R219=3,R217=3,C219&gt;G217),1)+IF(AND(R219=3,R218=3,F219&gt;G218),1)+IF(AND(R219=3,R220=3,J219&gt;G220),1)+IF(AND(R219=3,R221=3,K219&gt;G221),1)</f>
        <v>0</v>
      </c>
      <c r="T219" s="840">
        <f>IF(AND(R219=1,R217=1),C219-G217)+IF(AND(R219=1,R218=1),F219-G218)+IF(AND(R219=1,R220=1),J219-G220)+IF(AND(R219=1,R221=1),K219-G221)+IF(AND(R219=2,R217=2),C219-G217)+IF(AND(R219=2,R218=2),F219-G218)+IF(AND(R219=2,R220=2),J219-G220)+IF(AND(R219=2,R221=2),K219-G221)+IF(AND(R219=3,R217=3),C219-G217)+IF(AND(R219=3,R218=3),F219-G218)+IF(AND(R219=3,R220=3),J219-G220)+IF(AND(R219=3,R221=3),K219-G221)</f>
        <v>0</v>
      </c>
      <c r="V219" s="844">
        <f>10000*R219+S219*100+T219</f>
        <v>0</v>
      </c>
    </row>
    <row r="220" spans="1:22" x14ac:dyDescent="0.2">
      <c r="A220" s="831">
        <v>4</v>
      </c>
      <c r="B220" s="842"/>
      <c r="C220" s="943"/>
      <c r="D220" s="944"/>
      <c r="E220" s="945"/>
      <c r="F220" s="837"/>
      <c r="G220" s="946"/>
      <c r="H220" s="947"/>
      <c r="I220" s="948"/>
      <c r="J220" s="836"/>
      <c r="K220" s="946"/>
      <c r="L220" s="947"/>
      <c r="M220" s="948"/>
      <c r="N220" s="816" t="str">
        <f>(IF(C220&gt;J217,1)+IF(F220&gt;J218,1)+IF(G220&gt;J219,1)+IF(K220&gt;J221,1))&amp;"-"&amp;(IF(C220&lt;J217,1)+IF(F220&lt;J218,1)+IF(G220&lt;J219,1)+IF(K220&lt;J221,1))</f>
        <v>0-0</v>
      </c>
      <c r="O220" s="949" t="str">
        <f t="shared" si="18"/>
        <v/>
      </c>
      <c r="P220" s="950"/>
      <c r="Q220" s="951"/>
      <c r="R220" s="838">
        <f>VALUE(LEFT(N220,1))</f>
        <v>0</v>
      </c>
      <c r="S220" s="841">
        <f>IF(AND(R220=1,R217=1,C220&gt;J217),1)+IF(AND(R220=1,R218=1,F220&gt;J218),1)+IF(AND(R220=1,R219=1,G220&gt;J219),1)+IF(AND(R220=1,R221=1,K220&gt;J221),1)+IF(AND(R220=2,R217=2,C220&gt;J217),1)+IF(AND(R220=2,R218=2,F220&gt;J218),1)+IF(AND(R220=2,R219=2,G220&gt;J219),1)+IF(AND(R220=2,R221=2,K220&gt;J221),1)+IF(AND(R220=3,R217=3,C220&gt;J217),1)+IF(AND(R220=3,R218=3,F220&gt;J218),1)+IF(AND(R220=3,R219=3,G220&gt;J219),1)+IF(AND(R220=3,R221=3,K220&gt;J221),1)</f>
        <v>0</v>
      </c>
      <c r="T220" s="840">
        <f>IF(AND(R220=1,R217=1),C220-J217)+IF(AND(R220=1,R218=1),F220-J218)+IF(AND(R220=1,R219=1),G220-J219)+IF(AND(R220=1,R221=1),K220-J221)+IF(AND(R220=2,R217=2),C220-J217)+IF(AND(R220=2,R218=2),F220-J218)+IF(AND(R220=2,R219=2),G220-J219)+IF(AND(R220=2,R221=2),K220-J221)+IF(AND(R220=3,R217=3),C220-J217)+IF(AND(R220=3,R218=3),F220-J218)+IF(AND(R220=3,R219=3),G220-J219)+IF(AND(R220=3,R221=3),K220-J221)</f>
        <v>0</v>
      </c>
      <c r="V220" s="844">
        <f>10000*R220+S220*100+T220</f>
        <v>0</v>
      </c>
    </row>
    <row r="221" spans="1:22" x14ac:dyDescent="0.2">
      <c r="A221" s="831">
        <v>5</v>
      </c>
      <c r="B221" s="842"/>
      <c r="C221" s="943"/>
      <c r="D221" s="944"/>
      <c r="E221" s="945"/>
      <c r="F221" s="837"/>
      <c r="G221" s="946"/>
      <c r="H221" s="947"/>
      <c r="I221" s="948"/>
      <c r="J221" s="837"/>
      <c r="K221" s="952"/>
      <c r="L221" s="953"/>
      <c r="M221" s="954"/>
      <c r="N221" s="816" t="str">
        <f>(IF(C221&gt;K217,1)+IF(F221&gt;K218,1)+IF(G221&gt;K219,1)+IF(J221&gt;K220,1))&amp;"-"&amp;(IF(C221&lt;K217,1)+IF(F221&lt;K218,1)+IF(G221&lt;K219,1)+IF(J221&lt;K220,1))</f>
        <v>0-0</v>
      </c>
      <c r="O221" s="949" t="str">
        <f t="shared" si="18"/>
        <v/>
      </c>
      <c r="P221" s="950"/>
      <c r="Q221" s="951"/>
      <c r="R221" s="838">
        <f>VALUE(LEFT(N221,1))</f>
        <v>0</v>
      </c>
      <c r="S221" s="841">
        <f>IF(AND(R221=1,R217=1,C221&gt;K217),1)+IF(AND(R221=1,R218=1,F221&gt;K218),1)+IF(AND(R221=1,R219=1,G221&gt;K219),1)+IF(AND(R221=1,R220=1,J221&gt;K220),1)+IF(AND(R221=2,R217=2,C221&gt;K217),1)+IF(AND(R221=2,R218=2,F221&gt;K218),1)+IF(AND(R221=2,R219=2,G221&gt;K219),1)+IF(AND(R221=2,R220=2,J221&gt;K220),1)+IF(AND(R221=3,R217=3,C221&gt;K217),1)+IF(AND(R221=3,R218=3,F221&gt;K218),1)+IF(AND(R221=3,R219=3,G221&gt;K219),1)+IF(AND(R221=3,R220=3,J221&gt;K220),1)</f>
        <v>0</v>
      </c>
      <c r="T221" s="840">
        <f>IF(AND(R221=1,R217=1),C221-K217)+IF(AND(R221=1,R218=1),F221-K218)+IF(AND(R221=1,R219=1),G221-K219)+IF(AND(R221=1,R220=1),J221-K220)+IF(AND(R221=2,R217=2),C221-K217)+IF(AND(R221=2,R218=2),F221-K218)+IF(AND(R221=2,R219=2),G221-K219)+IF(AND(R221=2,R220=2),J221-K220)+IF(AND(R221=3,R217=3),C221-K217)+IF(AND(R221=3,R218=3),F221-K218)+IF(AND(R221=3,R219=3),G221-K219)+IF(AND(R221=3,R220=3),J221-K220)</f>
        <v>0</v>
      </c>
      <c r="V221" s="844">
        <f>10000*R221+S221*100+T221</f>
        <v>0</v>
      </c>
    </row>
    <row r="222" spans="1:22" x14ac:dyDescent="0.2">
      <c r="K222" s="69"/>
    </row>
    <row r="223" spans="1:22" ht="13.5" thickBot="1" x14ac:dyDescent="0.25">
      <c r="K223" s="605" t="s">
        <v>914</v>
      </c>
      <c r="L223" s="69"/>
      <c r="M223" s="425" t="str">
        <f>IFERROR(INDEX(B$217:B$221,MATCH(K223,O$217:O$221,0)),"")</f>
        <v>Marina Vallik, Uku Kollom</v>
      </c>
      <c r="N223" s="252"/>
    </row>
    <row r="224" spans="1:22" x14ac:dyDescent="0.2">
      <c r="K224" s="605"/>
      <c r="L224" s="69"/>
      <c r="M224" s="253" t="s">
        <v>860</v>
      </c>
      <c r="N224" s="49"/>
    </row>
    <row r="225" spans="11:14" x14ac:dyDescent="0.2">
      <c r="K225" s="605"/>
      <c r="L225" s="69"/>
      <c r="M225" s="49"/>
      <c r="N225" s="49"/>
    </row>
    <row r="226" spans="11:14" ht="13.5" thickBot="1" x14ac:dyDescent="0.25">
      <c r="K226" s="605" t="s">
        <v>915</v>
      </c>
      <c r="L226" s="69"/>
      <c r="M226" s="425" t="str">
        <f>IFERROR(INDEX(B$217:B$221,MATCH(K226,O$217:O$221,0)),"")</f>
        <v>Egert Kingissepp, Marge Mägi</v>
      </c>
      <c r="N226" s="252"/>
    </row>
    <row r="227" spans="11:14" x14ac:dyDescent="0.2">
      <c r="K227" s="605"/>
      <c r="L227" s="69"/>
      <c r="M227" s="250" t="s">
        <v>918</v>
      </c>
      <c r="N227" s="238"/>
    </row>
    <row r="228" spans="11:14" x14ac:dyDescent="0.2">
      <c r="K228" s="605"/>
      <c r="L228" s="69"/>
      <c r="M228" s="69"/>
    </row>
    <row r="229" spans="11:14" ht="13.5" thickBot="1" x14ac:dyDescent="0.25">
      <c r="K229" s="605" t="s">
        <v>916</v>
      </c>
      <c r="L229" s="69"/>
      <c r="M229" s="425" t="str">
        <f>IFERROR(INDEX(B$217:B$221,MATCH(K229,O$217:O$221,0)),"")</f>
        <v>Grettel Kiho, Vahur Raudsepp</v>
      </c>
      <c r="N229" s="252"/>
    </row>
    <row r="230" spans="11:14" x14ac:dyDescent="0.2">
      <c r="K230" s="69"/>
      <c r="L230" s="69"/>
      <c r="M230" s="250" t="s">
        <v>919</v>
      </c>
      <c r="N230" s="238"/>
    </row>
    <row r="231" spans="11:14" hidden="1" x14ac:dyDescent="0.2"/>
    <row r="232" spans="11:14" hidden="1" x14ac:dyDescent="0.2"/>
    <row r="233" spans="11:14" hidden="1" x14ac:dyDescent="0.2"/>
    <row r="234" spans="11:14" hidden="1" x14ac:dyDescent="0.2"/>
    <row r="235" spans="11:14" hidden="1" x14ac:dyDescent="0.2"/>
    <row r="236" spans="11:14" hidden="1" x14ac:dyDescent="0.2"/>
    <row r="237" spans="11:14" hidden="1" x14ac:dyDescent="0.2"/>
    <row r="238" spans="11:14" hidden="1" x14ac:dyDescent="0.2"/>
    <row r="239" spans="11:14" hidden="1" x14ac:dyDescent="0.2"/>
    <row r="240" spans="11: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6" hidden="1" x14ac:dyDescent="0.2"/>
    <row r="290" spans="1:46" hidden="1" x14ac:dyDescent="0.2"/>
    <row r="291" spans="1:46" hidden="1" x14ac:dyDescent="0.2"/>
    <row r="292" spans="1:46" hidden="1" x14ac:dyDescent="0.2"/>
    <row r="293" spans="1:46" hidden="1" x14ac:dyDescent="0.2"/>
    <row r="294" spans="1:46" hidden="1" x14ac:dyDescent="0.2"/>
    <row r="295" spans="1:46" hidden="1" x14ac:dyDescent="0.2"/>
    <row r="296" spans="1:46" hidden="1" x14ac:dyDescent="0.2"/>
    <row r="297" spans="1:46" hidden="1" x14ac:dyDescent="0.2"/>
    <row r="298" spans="1:46" x14ac:dyDescent="0.2">
      <c r="AQ298" s="262"/>
      <c r="AR298" s="262"/>
      <c r="AS298" s="262"/>
      <c r="AT298" s="262"/>
    </row>
    <row r="299" spans="1:46" x14ac:dyDescent="0.2">
      <c r="A299" s="623"/>
      <c r="B299" s="623"/>
      <c r="C299" s="264" t="s">
        <v>220</v>
      </c>
      <c r="D299" s="611"/>
      <c r="E299" s="611"/>
      <c r="AQ299" s="262"/>
      <c r="AR299" s="262"/>
      <c r="AS299" s="262"/>
      <c r="AT299" s="262"/>
    </row>
    <row r="300" spans="1:46" x14ac:dyDescent="0.2">
      <c r="A300" s="624">
        <v>1</v>
      </c>
      <c r="B300" s="680" t="str">
        <f t="shared" ref="B300:B323" si="19">IFERROR(INDEX(M$100:M$298,MATCH(A300&amp;". koht",M$101:M$299,0)),"")</f>
        <v>Tanel Vähk, Tõnis Neiland</v>
      </c>
      <c r="C300" s="74">
        <v>115</v>
      </c>
      <c r="D300" s="74"/>
      <c r="E300" s="74"/>
      <c r="AQ300" s="262"/>
      <c r="AR300" s="262"/>
      <c r="AS300" s="262"/>
      <c r="AT300" s="262"/>
    </row>
    <row r="301" spans="1:46" x14ac:dyDescent="0.2">
      <c r="A301" s="624">
        <v>2</v>
      </c>
      <c r="B301" s="261" t="str">
        <f t="shared" si="19"/>
        <v>Kaarel Mikk, Mihkel Filipenko</v>
      </c>
      <c r="C301" s="606">
        <v>105</v>
      </c>
      <c r="D301" s="606"/>
      <c r="E301" s="606"/>
      <c r="AQ301" s="262"/>
      <c r="AR301" s="262"/>
      <c r="AS301" s="262"/>
      <c r="AT301" s="262"/>
    </row>
    <row r="302" spans="1:46" x14ac:dyDescent="0.2">
      <c r="A302" s="624">
        <v>3</v>
      </c>
      <c r="B302" s="261" t="str">
        <f t="shared" si="19"/>
        <v>Katri Aavekukk, Merike Aava</v>
      </c>
      <c r="C302" s="606">
        <v>97</v>
      </c>
      <c r="D302" s="606"/>
      <c r="E302" s="606"/>
      <c r="AQ302" s="262"/>
      <c r="AR302" s="262"/>
      <c r="AS302" s="262"/>
      <c r="AT302" s="262"/>
    </row>
    <row r="303" spans="1:46" x14ac:dyDescent="0.2">
      <c r="A303" s="624">
        <v>4</v>
      </c>
      <c r="B303" s="261" t="str">
        <f t="shared" si="19"/>
        <v>Marek Lehis, Margo Peebo</v>
      </c>
      <c r="C303" s="606">
        <v>90</v>
      </c>
      <c r="D303" s="606"/>
      <c r="E303" s="606"/>
      <c r="AQ303" s="262"/>
      <c r="AR303" s="262"/>
      <c r="AS303" s="262"/>
      <c r="AT303" s="262"/>
    </row>
    <row r="304" spans="1:46" x14ac:dyDescent="0.2">
      <c r="A304" s="624">
        <v>5</v>
      </c>
      <c r="B304" s="261" t="str">
        <f t="shared" si="19"/>
        <v>Arvi Palla, Kaido Kopel</v>
      </c>
      <c r="C304" s="606">
        <v>84</v>
      </c>
      <c r="D304" s="606"/>
      <c r="E304" s="606"/>
      <c r="AQ304" s="262"/>
      <c r="AR304" s="262"/>
      <c r="AS304" s="262"/>
      <c r="AT304" s="262"/>
    </row>
    <row r="305" spans="1:46" x14ac:dyDescent="0.2">
      <c r="A305" s="624">
        <v>6</v>
      </c>
      <c r="B305" s="261" t="str">
        <f t="shared" si="19"/>
        <v>Kevin Sten Liik, Ruudi Väärtnõu</v>
      </c>
      <c r="C305" s="606">
        <v>79</v>
      </c>
      <c r="D305" s="606"/>
      <c r="E305" s="606"/>
      <c r="AQ305" s="262"/>
      <c r="AR305" s="262"/>
      <c r="AS305" s="262"/>
      <c r="AT305" s="262"/>
    </row>
    <row r="306" spans="1:46" x14ac:dyDescent="0.2">
      <c r="A306" s="624">
        <v>7</v>
      </c>
      <c r="B306" s="261" t="str">
        <f t="shared" si="19"/>
        <v>Arti Lindvest, Jaanus Otsman</v>
      </c>
      <c r="C306" s="606">
        <v>74</v>
      </c>
      <c r="D306" s="606"/>
      <c r="E306" s="606"/>
      <c r="AQ306" s="262"/>
      <c r="AR306" s="262"/>
      <c r="AS306" s="262"/>
      <c r="AT306" s="262"/>
    </row>
    <row r="307" spans="1:46" x14ac:dyDescent="0.2">
      <c r="A307" s="624">
        <v>8</v>
      </c>
      <c r="B307" s="261" t="str">
        <f t="shared" si="19"/>
        <v>Margus Berkmann, Meelis Münt</v>
      </c>
      <c r="C307" s="606">
        <v>69</v>
      </c>
      <c r="D307" s="606"/>
      <c r="E307" s="606"/>
      <c r="AQ307" s="262"/>
      <c r="AR307" s="262"/>
      <c r="AS307" s="262"/>
      <c r="AT307" s="262"/>
    </row>
    <row r="308" spans="1:46" x14ac:dyDescent="0.2">
      <c r="A308" s="624">
        <v>9</v>
      </c>
      <c r="B308" s="261" t="str">
        <f t="shared" si="19"/>
        <v>Aimar Poom, Marek Kolk, Valmar Pantšenko</v>
      </c>
      <c r="C308" s="606">
        <v>64</v>
      </c>
      <c r="D308" s="606"/>
      <c r="E308" s="606"/>
      <c r="AQ308" s="262"/>
      <c r="AR308" s="262"/>
      <c r="AS308" s="262"/>
      <c r="AT308" s="262"/>
    </row>
    <row r="309" spans="1:46" x14ac:dyDescent="0.2">
      <c r="A309" s="624">
        <v>10</v>
      </c>
      <c r="B309" s="261" t="str">
        <f t="shared" si="19"/>
        <v>Hardo Sokk, Toomas Tauk</v>
      </c>
      <c r="C309" s="606">
        <v>60</v>
      </c>
      <c r="D309" s="606"/>
      <c r="E309" s="606"/>
      <c r="AQ309" s="262"/>
      <c r="AR309" s="262"/>
      <c r="AS309" s="262"/>
      <c r="AT309" s="262"/>
    </row>
    <row r="310" spans="1:46" x14ac:dyDescent="0.2">
      <c r="A310" s="624">
        <v>11</v>
      </c>
      <c r="B310" s="261" t="str">
        <f t="shared" si="19"/>
        <v>Jaan Joonas, Toomas Hoole</v>
      </c>
      <c r="C310" s="606">
        <v>56</v>
      </c>
      <c r="D310" s="606"/>
      <c r="E310" s="606"/>
      <c r="AQ310" s="262"/>
      <c r="AR310" s="262"/>
      <c r="AS310" s="262"/>
      <c r="AT310" s="262"/>
    </row>
    <row r="311" spans="1:46" x14ac:dyDescent="0.2">
      <c r="A311" s="624">
        <v>12</v>
      </c>
      <c r="B311" s="261" t="str">
        <f t="shared" si="19"/>
        <v>Aigar Lusbo, Harry Lusbo</v>
      </c>
      <c r="C311" s="69">
        <v>52</v>
      </c>
      <c r="AQ311" s="262"/>
      <c r="AR311" s="262"/>
      <c r="AS311" s="262"/>
      <c r="AT311" s="262"/>
    </row>
    <row r="312" spans="1:46" x14ac:dyDescent="0.2">
      <c r="A312" s="624">
        <v>13</v>
      </c>
      <c r="B312" s="261" t="str">
        <f t="shared" si="19"/>
        <v>Janek Kiisk, Marko Neemelaik</v>
      </c>
      <c r="C312" s="69">
        <v>49</v>
      </c>
      <c r="AQ312" s="262"/>
      <c r="AR312" s="262"/>
      <c r="AS312" s="262"/>
      <c r="AT312" s="262"/>
    </row>
    <row r="313" spans="1:46" x14ac:dyDescent="0.2">
      <c r="A313" s="624">
        <v>14</v>
      </c>
      <c r="B313" s="261" t="str">
        <f t="shared" si="19"/>
        <v>Kadri Arunurm, Maris Rõõm</v>
      </c>
      <c r="C313" s="69">
        <v>46</v>
      </c>
      <c r="AQ313" s="262"/>
      <c r="AR313" s="262"/>
      <c r="AS313" s="262"/>
      <c r="AT313" s="262"/>
    </row>
    <row r="314" spans="1:46" x14ac:dyDescent="0.2">
      <c r="A314" s="624">
        <v>15</v>
      </c>
      <c r="B314" s="261" t="str">
        <f t="shared" si="19"/>
        <v>Andero Kelu, Indrek Vaho</v>
      </c>
      <c r="C314" s="69">
        <v>43</v>
      </c>
      <c r="AQ314" s="262"/>
      <c r="AR314" s="262"/>
      <c r="AS314" s="262"/>
      <c r="AT314" s="262"/>
    </row>
    <row r="315" spans="1:46" x14ac:dyDescent="0.2">
      <c r="A315" s="624">
        <v>16</v>
      </c>
      <c r="B315" s="261" t="str">
        <f t="shared" si="19"/>
        <v>Kertu Palm, Urmo Auväärt</v>
      </c>
      <c r="C315" s="69">
        <v>40</v>
      </c>
      <c r="AQ315" s="262"/>
      <c r="AR315" s="262"/>
      <c r="AS315" s="262"/>
      <c r="AT315" s="262"/>
    </row>
    <row r="316" spans="1:46" x14ac:dyDescent="0.2">
      <c r="A316" s="624">
        <v>17</v>
      </c>
      <c r="B316" s="261" t="str">
        <f t="shared" si="19"/>
        <v>Aigi Orro, Kalle Orro</v>
      </c>
      <c r="C316" s="69">
        <v>37</v>
      </c>
      <c r="AQ316" s="262"/>
      <c r="AR316" s="262"/>
      <c r="AS316" s="262"/>
      <c r="AT316" s="262"/>
    </row>
    <row r="317" spans="1:46" x14ac:dyDescent="0.2">
      <c r="A317" s="624">
        <v>18</v>
      </c>
      <c r="B317" s="261" t="str">
        <f t="shared" si="19"/>
        <v>Külli Kariste, Marju Velga</v>
      </c>
      <c r="C317" s="69">
        <v>34</v>
      </c>
      <c r="AQ317" s="262"/>
      <c r="AR317" s="262"/>
      <c r="AS317" s="262"/>
      <c r="AT317" s="262"/>
    </row>
    <row r="318" spans="1:46" x14ac:dyDescent="0.2">
      <c r="A318" s="624">
        <v>19</v>
      </c>
      <c r="B318" s="261" t="str">
        <f t="shared" si="19"/>
        <v>Henri Mitt, Kenneth Muusikus</v>
      </c>
      <c r="C318" s="69">
        <v>31</v>
      </c>
      <c r="AQ318" s="262"/>
      <c r="AR318" s="262"/>
      <c r="AS318" s="262"/>
      <c r="AT318" s="262"/>
    </row>
    <row r="319" spans="1:46" x14ac:dyDescent="0.2">
      <c r="A319" s="624">
        <v>20</v>
      </c>
      <c r="B319" s="261" t="str">
        <f t="shared" si="19"/>
        <v>Angelika Tauk, Triin Gretel Tauk</v>
      </c>
      <c r="C319" s="69">
        <v>28</v>
      </c>
      <c r="AQ319" s="262"/>
      <c r="AR319" s="262"/>
      <c r="AS319" s="262"/>
      <c r="AT319" s="262"/>
    </row>
    <row r="320" spans="1:46" x14ac:dyDescent="0.2">
      <c r="A320" s="624">
        <v>21</v>
      </c>
      <c r="B320" s="261" t="str">
        <f t="shared" si="19"/>
        <v>Mare Kingissepp, Silver Kingissepp</v>
      </c>
      <c r="C320" s="69">
        <v>25</v>
      </c>
      <c r="AQ320" s="262"/>
      <c r="AR320" s="262"/>
      <c r="AS320" s="262"/>
      <c r="AT320" s="262"/>
    </row>
    <row r="321" spans="1:46" x14ac:dyDescent="0.2">
      <c r="A321" s="624">
        <v>22</v>
      </c>
      <c r="B321" s="261" t="str">
        <f t="shared" si="19"/>
        <v>Markus Erik Tommula, Ott Karl Kopel</v>
      </c>
      <c r="C321" s="69">
        <v>22</v>
      </c>
      <c r="AQ321" s="262"/>
      <c r="AR321" s="262"/>
      <c r="AS321" s="262"/>
      <c r="AT321" s="262"/>
    </row>
    <row r="322" spans="1:46" x14ac:dyDescent="0.2">
      <c r="A322" s="624">
        <v>23</v>
      </c>
      <c r="B322" s="261" t="str">
        <f t="shared" si="19"/>
        <v>Einar Juhkam, Johannes Neiland</v>
      </c>
      <c r="C322" s="69">
        <v>19</v>
      </c>
      <c r="AQ322" s="262"/>
      <c r="AR322" s="262"/>
      <c r="AS322" s="262"/>
      <c r="AT322" s="262"/>
    </row>
    <row r="323" spans="1:46" x14ac:dyDescent="0.2">
      <c r="A323" s="624">
        <v>24</v>
      </c>
      <c r="B323" s="261" t="str">
        <f t="shared" si="19"/>
        <v>Aivar Sein, Maive Sein, Varje Reede</v>
      </c>
      <c r="C323" s="69">
        <v>16</v>
      </c>
      <c r="AQ323" s="262"/>
      <c r="AR323" s="262"/>
      <c r="AS323" s="262"/>
      <c r="AT323" s="262"/>
    </row>
    <row r="324" spans="1:46" x14ac:dyDescent="0.2">
      <c r="A324" s="624">
        <v>25</v>
      </c>
      <c r="B324" s="261" t="str">
        <f t="shared" ref="B324:B326" si="20">IFERROR(INDEX(M$100:M$298,MATCH(A324&amp;". koht",M$101:M$299,0)),"")</f>
        <v>Marina Vallik, Uku Kollom</v>
      </c>
      <c r="C324" s="69">
        <v>14</v>
      </c>
      <c r="AQ324" s="262"/>
      <c r="AR324" s="262"/>
      <c r="AS324" s="262"/>
      <c r="AT324" s="262"/>
    </row>
    <row r="325" spans="1:46" x14ac:dyDescent="0.2">
      <c r="A325" s="624">
        <v>26</v>
      </c>
      <c r="B325" s="261" t="str">
        <f t="shared" si="20"/>
        <v>Egert Kingissepp, Marge Mägi</v>
      </c>
      <c r="C325" s="69">
        <v>12</v>
      </c>
      <c r="AQ325" s="262"/>
      <c r="AR325" s="262"/>
      <c r="AS325" s="262"/>
      <c r="AT325" s="262"/>
    </row>
    <row r="326" spans="1:46" x14ac:dyDescent="0.2">
      <c r="A326" s="624">
        <v>27</v>
      </c>
      <c r="B326" s="261" t="str">
        <f t="shared" si="20"/>
        <v>Grettel Kiho, Vahur Raudsepp</v>
      </c>
      <c r="C326" s="69">
        <v>10</v>
      </c>
      <c r="AQ326" s="262"/>
      <c r="AR326" s="262"/>
      <c r="AS326" s="262"/>
      <c r="AT326" s="262"/>
    </row>
    <row r="327" spans="1:46" hidden="1" x14ac:dyDescent="0.2">
      <c r="C327" s="69">
        <v>8</v>
      </c>
      <c r="AT327" s="262"/>
    </row>
    <row r="328" spans="1:46" hidden="1" x14ac:dyDescent="0.2">
      <c r="C328" s="69">
        <v>6</v>
      </c>
    </row>
    <row r="329" spans="1:46" hidden="1" x14ac:dyDescent="0.2">
      <c r="C329" s="69">
        <v>5</v>
      </c>
    </row>
    <row r="330" spans="1:46" hidden="1" x14ac:dyDescent="0.2">
      <c r="C330" s="69">
        <v>4</v>
      </c>
      <c r="M330" s="69"/>
      <c r="S330" s="675" t="str">
        <f>IFERROR(INDEX([1]Üldreiting!$K:$K,MATCH(AM29,[1]Üldreiting!$L:$L,0)),"")</f>
        <v/>
      </c>
      <c r="T330" s="676" t="str">
        <f t="shared" ref="T330:T333" si="21">IFERROR(MID($B330,FIND(", ",$B330,FIND(", ",$B330,FIND(", ",$B330))+1)+2,30000),"")</f>
        <v/>
      </c>
      <c r="U330" s="675" t="str">
        <f>IFERROR(INDEX([1]Üldreiting!$K:$K,MATCH(T330,[1]Üldreiting!$L:$L,0)),"")</f>
        <v/>
      </c>
    </row>
    <row r="331" spans="1:46" hidden="1" x14ac:dyDescent="0.2">
      <c r="C331" s="69">
        <v>3</v>
      </c>
      <c r="M331" s="69"/>
      <c r="S331" s="673"/>
      <c r="T331" s="673"/>
      <c r="U331" s="673"/>
    </row>
    <row r="332" spans="1:46" hidden="1" x14ac:dyDescent="0.2">
      <c r="C332" s="69">
        <v>1</v>
      </c>
      <c r="M332" s="69"/>
      <c r="S332" s="673"/>
      <c r="T332" s="673"/>
      <c r="U332" s="673"/>
    </row>
    <row r="333" spans="1:46" hidden="1" x14ac:dyDescent="0.2">
      <c r="C333" s="69">
        <v>0</v>
      </c>
      <c r="M333" s="69"/>
      <c r="S333" s="675" t="str">
        <f>IFERROR(INDEX([1]Üldreiting!$K:$K,MATCH(AM30,[1]Üldreiting!$L:$L,0)),"")</f>
        <v/>
      </c>
      <c r="T333" s="676" t="str">
        <f t="shared" si="21"/>
        <v/>
      </c>
      <c r="U333" s="675" t="str">
        <f>IFERROR(INDEX([1]Üldreiting!$K:$K,MATCH(T333,[1]Üldreiting!$L:$L,0)),"")</f>
        <v/>
      </c>
    </row>
    <row r="334" spans="1:46" x14ac:dyDescent="0.2">
      <c r="M334" s="238"/>
      <c r="N334" s="238"/>
      <c r="O334" s="238"/>
      <c r="P334" s="238"/>
      <c r="Q334" s="238"/>
      <c r="R334" s="238"/>
      <c r="S334" s="238"/>
      <c r="T334" s="238"/>
      <c r="U334" s="238"/>
    </row>
  </sheetData>
  <mergeCells count="24">
    <mergeCell ref="C216:E216"/>
    <mergeCell ref="G216:I216"/>
    <mergeCell ref="K216:M216"/>
    <mergeCell ref="O216:Q216"/>
    <mergeCell ref="C217:E217"/>
    <mergeCell ref="G217:I217"/>
    <mergeCell ref="K217:M217"/>
    <mergeCell ref="O217:Q217"/>
    <mergeCell ref="C218:E218"/>
    <mergeCell ref="G218:I218"/>
    <mergeCell ref="K218:M218"/>
    <mergeCell ref="O218:Q218"/>
    <mergeCell ref="C219:E219"/>
    <mergeCell ref="G219:I219"/>
    <mergeCell ref="K219:M219"/>
    <mergeCell ref="O219:Q219"/>
    <mergeCell ref="C220:E220"/>
    <mergeCell ref="G220:I220"/>
    <mergeCell ref="K220:M220"/>
    <mergeCell ref="O220:Q220"/>
    <mergeCell ref="C221:E221"/>
    <mergeCell ref="G221:I221"/>
    <mergeCell ref="K221:M221"/>
    <mergeCell ref="O221:Q221"/>
  </mergeCells>
  <conditionalFormatting sqref="A300:A326">
    <cfRule type="duplicateValues" dxfId="132" priority="146"/>
  </conditionalFormatting>
  <conditionalFormatting sqref="B300:B326">
    <cfRule type="duplicateValues" dxfId="131" priority="123"/>
  </conditionalFormatting>
  <conditionalFormatting sqref="C7:F33">
    <cfRule type="expression" dxfId="130" priority="144">
      <formula>IF($C7&gt;$E7,TRUE)</formula>
    </cfRule>
    <cfRule type="expression" dxfId="129" priority="145">
      <formula>IF($C7&lt;$E7,TRUE)</formula>
    </cfRule>
  </conditionalFormatting>
  <conditionalFormatting sqref="C7:C33">
    <cfRule type="expression" dxfId="128" priority="143">
      <formula>IF($C7&gt;$E7,TRUE)</formula>
    </cfRule>
  </conditionalFormatting>
  <conditionalFormatting sqref="E7:E33">
    <cfRule type="expression" dxfId="127" priority="142">
      <formula>IF($C7&lt;$E7,TRUE)</formula>
    </cfRule>
  </conditionalFormatting>
  <conditionalFormatting sqref="G7:J33">
    <cfRule type="expression" dxfId="126" priority="140">
      <formula>IF($G7&gt;$I7,TRUE)</formula>
    </cfRule>
    <cfRule type="expression" dxfId="125" priority="141">
      <formula>IF($G7&lt;$I7,TRUE)</formula>
    </cfRule>
  </conditionalFormatting>
  <conditionalFormatting sqref="G7:G33">
    <cfRule type="expression" dxfId="124" priority="139">
      <formula>IF($G7&gt;$I7,TRUE)</formula>
    </cfRule>
  </conditionalFormatting>
  <conditionalFormatting sqref="I7:I33">
    <cfRule type="expression" dxfId="123" priority="138">
      <formula>IF($G7&lt;$I7,TRUE)</formula>
    </cfRule>
  </conditionalFormatting>
  <conditionalFormatting sqref="K7:N33">
    <cfRule type="expression" dxfId="122" priority="136">
      <formula>IF($K7&gt;$M7,TRUE)</formula>
    </cfRule>
    <cfRule type="expression" dxfId="121" priority="137">
      <formula>IF($K7&lt;$M7,TRUE)</formula>
    </cfRule>
  </conditionalFormatting>
  <conditionalFormatting sqref="K7:K33">
    <cfRule type="expression" dxfId="120" priority="135">
      <formula>IF($K7&gt;$M7,TRUE)</formula>
    </cfRule>
  </conditionalFormatting>
  <conditionalFormatting sqref="M7:M33">
    <cfRule type="expression" dxfId="119" priority="134">
      <formula>IF($K7&lt;$M7,TRUE)</formula>
    </cfRule>
  </conditionalFormatting>
  <conditionalFormatting sqref="O7:R33">
    <cfRule type="expression" dxfId="118" priority="132">
      <formula>IF($O7&gt;$Q7,TRUE)</formula>
    </cfRule>
    <cfRule type="expression" dxfId="117" priority="133">
      <formula>IF($O7&lt;$Q7,TRUE)</formula>
    </cfRule>
  </conditionalFormatting>
  <conditionalFormatting sqref="O7:O33">
    <cfRule type="expression" dxfId="116" priority="131">
      <formula>IF($O7&gt;$Q7,TRUE)</formula>
    </cfRule>
  </conditionalFormatting>
  <conditionalFormatting sqref="Q7:Q33">
    <cfRule type="expression" dxfId="115" priority="130">
      <formula>IF($O7&lt;$Q7,TRUE)</formula>
    </cfRule>
  </conditionalFormatting>
  <conditionalFormatting sqref="S7:Z33">
    <cfRule type="expression" dxfId="114" priority="128">
      <formula>IF($S7&gt;$U7,TRUE)</formula>
    </cfRule>
    <cfRule type="expression" dxfId="113" priority="129">
      <formula>IF($S7&lt;$U7,TRUE)</formula>
    </cfRule>
  </conditionalFormatting>
  <conditionalFormatting sqref="S7:S33 W7:W33">
    <cfRule type="expression" dxfId="112" priority="127">
      <formula>IF($S7&gt;$U7,TRUE)</formula>
    </cfRule>
  </conditionalFormatting>
  <conditionalFormatting sqref="U7:U33 Y7:Y33">
    <cfRule type="expression" dxfId="111" priority="126">
      <formula>IF($S7&lt;$U7,TRUE)</formula>
    </cfRule>
  </conditionalFormatting>
  <conditionalFormatting sqref="A102:A116">
    <cfRule type="cellIs" dxfId="110" priority="124" operator="equal">
      <formula>"-"</formula>
    </cfRule>
    <cfRule type="duplicateValues" dxfId="109" priority="125"/>
  </conditionalFormatting>
  <conditionalFormatting sqref="K131 K133">
    <cfRule type="containsBlanks" dxfId="108" priority="121">
      <formula>LEN(TRIM(K131))=0</formula>
    </cfRule>
    <cfRule type="aboveAverage" dxfId="107" priority="122"/>
  </conditionalFormatting>
  <conditionalFormatting sqref="G123 G125">
    <cfRule type="containsBlanks" dxfId="106" priority="119">
      <formula>LEN(TRIM(G123))=0</formula>
    </cfRule>
    <cfRule type="aboveAverage" dxfId="105" priority="120"/>
  </conditionalFormatting>
  <conditionalFormatting sqref="K117 K119">
    <cfRule type="aboveAverage" dxfId="104" priority="118"/>
  </conditionalFormatting>
  <conditionalFormatting sqref="K117 K119">
    <cfRule type="containsBlanks" dxfId="103" priority="117">
      <formula>LEN(TRIM(K117))=0</formula>
    </cfRule>
  </conditionalFormatting>
  <conditionalFormatting sqref="G103 G107">
    <cfRule type="containsBlanks" dxfId="102" priority="115">
      <formula>LEN(TRIM(G103))=0</formula>
    </cfRule>
    <cfRule type="aboveAverage" dxfId="101" priority="116"/>
  </conditionalFormatting>
  <conditionalFormatting sqref="G111 G115">
    <cfRule type="containsBlanks" dxfId="100" priority="113">
      <formula>LEN(TRIM(G111))=0</formula>
    </cfRule>
    <cfRule type="aboveAverage" dxfId="99" priority="114"/>
  </conditionalFormatting>
  <conditionalFormatting sqref="K105 K113">
    <cfRule type="containsBlanks" dxfId="98" priority="109">
      <formula>LEN(TRIM(K105))=0</formula>
    </cfRule>
    <cfRule type="aboveAverage" dxfId="97" priority="112"/>
  </conditionalFormatting>
  <conditionalFormatting sqref="A140:A154">
    <cfRule type="cellIs" dxfId="96" priority="110" operator="equal">
      <formula>"-"</formula>
    </cfRule>
    <cfRule type="duplicateValues" dxfId="95" priority="111"/>
  </conditionalFormatting>
  <conditionalFormatting sqref="G127 G129">
    <cfRule type="containsBlanks" dxfId="94" priority="107">
      <formula>LEN(TRIM(G127))=0</formula>
    </cfRule>
    <cfRule type="aboveAverage" dxfId="93" priority="108"/>
  </conditionalFormatting>
  <conditionalFormatting sqref="C114 C116">
    <cfRule type="containsBlanks" dxfId="92" priority="97">
      <formula>LEN(TRIM(C114))=0</formula>
    </cfRule>
    <cfRule type="aboveAverage" dxfId="91" priority="98"/>
  </conditionalFormatting>
  <conditionalFormatting sqref="C110 C112">
    <cfRule type="containsBlanks" dxfId="90" priority="99">
      <formula>LEN(TRIM(C110))=0</formula>
    </cfRule>
    <cfRule type="aboveAverage" dxfId="89" priority="100"/>
  </conditionalFormatting>
  <conditionalFormatting sqref="C106 C108">
    <cfRule type="containsBlanks" dxfId="88" priority="101">
      <formula>LEN(TRIM(C106))=0</formula>
    </cfRule>
    <cfRule type="aboveAverage" dxfId="87" priority="102"/>
  </conditionalFormatting>
  <conditionalFormatting sqref="C102 C104">
    <cfRule type="containsBlanks" dxfId="86" priority="103">
      <formula>LEN(TRIM(C102))=0</formula>
    </cfRule>
    <cfRule type="aboveAverage" dxfId="85" priority="104"/>
  </conditionalFormatting>
  <conditionalFormatting sqref="K124 K128">
    <cfRule type="containsBlanks" dxfId="84" priority="105">
      <formula>LEN(TRIM(K124))=0</formula>
    </cfRule>
    <cfRule type="aboveAverage" dxfId="83" priority="106"/>
  </conditionalFormatting>
  <conditionalFormatting sqref="K169 K171">
    <cfRule type="containsBlanks" dxfId="82" priority="95">
      <formula>LEN(TRIM(K169))=0</formula>
    </cfRule>
    <cfRule type="aboveAverage" dxfId="81" priority="96"/>
  </conditionalFormatting>
  <conditionalFormatting sqref="G161 G163">
    <cfRule type="containsBlanks" dxfId="80" priority="93">
      <formula>LEN(TRIM(G161))=0</formula>
    </cfRule>
    <cfRule type="aboveAverage" dxfId="79" priority="94"/>
  </conditionalFormatting>
  <conditionalFormatting sqref="K155 K157">
    <cfRule type="aboveAverage" dxfId="78" priority="92"/>
  </conditionalFormatting>
  <conditionalFormatting sqref="K155 K157">
    <cfRule type="containsBlanks" dxfId="77" priority="91">
      <formula>LEN(TRIM(K155))=0</formula>
    </cfRule>
  </conditionalFormatting>
  <conditionalFormatting sqref="G141 G145">
    <cfRule type="containsBlanks" dxfId="76" priority="89">
      <formula>LEN(TRIM(G141))=0</formula>
    </cfRule>
    <cfRule type="aboveAverage" dxfId="75" priority="90"/>
  </conditionalFormatting>
  <conditionalFormatting sqref="G149 G153">
    <cfRule type="containsBlanks" dxfId="74" priority="87">
      <formula>LEN(TRIM(G149))=0</formula>
    </cfRule>
    <cfRule type="aboveAverage" dxfId="73" priority="88"/>
  </conditionalFormatting>
  <conditionalFormatting sqref="K143 K151">
    <cfRule type="containsBlanks" dxfId="72" priority="85">
      <formula>LEN(TRIM(K143))=0</formula>
    </cfRule>
    <cfRule type="aboveAverage" dxfId="71" priority="86"/>
  </conditionalFormatting>
  <conditionalFormatting sqref="G165 G167">
    <cfRule type="containsBlanks" dxfId="70" priority="83">
      <formula>LEN(TRIM(G165))=0</formula>
    </cfRule>
    <cfRule type="aboveAverage" dxfId="69" priority="84"/>
  </conditionalFormatting>
  <conditionalFormatting sqref="C152 C154">
    <cfRule type="containsBlanks" dxfId="68" priority="73">
      <formula>LEN(TRIM(C152))=0</formula>
    </cfRule>
    <cfRule type="aboveAverage" dxfId="67" priority="74"/>
  </conditionalFormatting>
  <conditionalFormatting sqref="C148 C150">
    <cfRule type="containsBlanks" dxfId="66" priority="75">
      <formula>LEN(TRIM(C148))=0</formula>
    </cfRule>
    <cfRule type="aboveAverage" dxfId="65" priority="76"/>
  </conditionalFormatting>
  <conditionalFormatting sqref="C144 C146">
    <cfRule type="containsBlanks" dxfId="64" priority="77">
      <formula>LEN(TRIM(C144))=0</formula>
    </cfRule>
    <cfRule type="aboveAverage" dxfId="63" priority="78"/>
  </conditionalFormatting>
  <conditionalFormatting sqref="C140 C142">
    <cfRule type="containsBlanks" dxfId="62" priority="79">
      <formula>LEN(TRIM(C140))=0</formula>
    </cfRule>
    <cfRule type="aboveAverage" dxfId="61" priority="80"/>
  </conditionalFormatting>
  <conditionalFormatting sqref="K162 K166">
    <cfRule type="containsBlanks" dxfId="60" priority="81">
      <formula>LEN(TRIM(K162))=0</formula>
    </cfRule>
    <cfRule type="aboveAverage" dxfId="59" priority="82"/>
  </conditionalFormatting>
  <conditionalFormatting sqref="B300">
    <cfRule type="expression" dxfId="58" priority="72">
      <formula>$A$300=1</formula>
    </cfRule>
  </conditionalFormatting>
  <conditionalFormatting sqref="B301">
    <cfRule type="expression" dxfId="57" priority="71">
      <formula>$A$301=2</formula>
    </cfRule>
  </conditionalFormatting>
  <conditionalFormatting sqref="B302">
    <cfRule type="expression" dxfId="56" priority="70">
      <formula>$A$302=3</formula>
    </cfRule>
  </conditionalFormatting>
  <conditionalFormatting sqref="T330 T333">
    <cfRule type="expression" dxfId="55" priority="69">
      <formula>AND(U330="",COUNTIF(T330,"*,*")=0)</formula>
    </cfRule>
  </conditionalFormatting>
  <conditionalFormatting sqref="A178:A192">
    <cfRule type="cellIs" dxfId="54" priority="67" operator="equal">
      <formula>"-"</formula>
    </cfRule>
    <cfRule type="duplicateValues" dxfId="53" priority="68"/>
  </conditionalFormatting>
  <conditionalFormatting sqref="K207 K209">
    <cfRule type="containsBlanks" dxfId="52" priority="65">
      <formula>LEN(TRIM(K207))=0</formula>
    </cfRule>
    <cfRule type="aboveAverage" dxfId="51" priority="66"/>
  </conditionalFormatting>
  <conditionalFormatting sqref="G199 G201">
    <cfRule type="containsBlanks" dxfId="50" priority="63">
      <formula>LEN(TRIM(G199))=0</formula>
    </cfRule>
    <cfRule type="aboveAverage" dxfId="49" priority="64"/>
  </conditionalFormatting>
  <conditionalFormatting sqref="K193 K195">
    <cfRule type="aboveAverage" dxfId="48" priority="62"/>
  </conditionalFormatting>
  <conditionalFormatting sqref="K193 K195">
    <cfRule type="containsBlanks" dxfId="47" priority="61">
      <formula>LEN(TRIM(K193))=0</formula>
    </cfRule>
  </conditionalFormatting>
  <conditionalFormatting sqref="G179 G183">
    <cfRule type="containsBlanks" dxfId="46" priority="59">
      <formula>LEN(TRIM(G179))=0</formula>
    </cfRule>
    <cfRule type="aboveAverage" dxfId="45" priority="60"/>
  </conditionalFormatting>
  <conditionalFormatting sqref="G187 G191">
    <cfRule type="containsBlanks" dxfId="44" priority="57">
      <formula>LEN(TRIM(G187))=0</formula>
    </cfRule>
    <cfRule type="aboveAverage" dxfId="43" priority="58"/>
  </conditionalFormatting>
  <conditionalFormatting sqref="K181 K189">
    <cfRule type="containsBlanks" dxfId="42" priority="55">
      <formula>LEN(TRIM(K181))=0</formula>
    </cfRule>
    <cfRule type="aboveAverage" dxfId="41" priority="56"/>
  </conditionalFormatting>
  <conditionalFormatting sqref="G203 G205">
    <cfRule type="containsBlanks" dxfId="40" priority="53">
      <formula>LEN(TRIM(G203))=0</formula>
    </cfRule>
    <cfRule type="aboveAverage" dxfId="39" priority="54"/>
  </conditionalFormatting>
  <conditionalFormatting sqref="C190 C192">
    <cfRule type="containsBlanks" dxfId="38" priority="43">
      <formula>LEN(TRIM(C190))=0</formula>
    </cfRule>
    <cfRule type="aboveAverage" dxfId="37" priority="44"/>
  </conditionalFormatting>
  <conditionalFormatting sqref="C186 C188">
    <cfRule type="containsBlanks" dxfId="36" priority="45">
      <formula>LEN(TRIM(C186))=0</formula>
    </cfRule>
    <cfRule type="aboveAverage" dxfId="35" priority="46"/>
  </conditionalFormatting>
  <conditionalFormatting sqref="C182 C184">
    <cfRule type="containsBlanks" dxfId="34" priority="47">
      <formula>LEN(TRIM(C182))=0</formula>
    </cfRule>
    <cfRule type="aboveAverage" dxfId="33" priority="48"/>
  </conditionalFormatting>
  <conditionalFormatting sqref="C178 C180">
    <cfRule type="containsBlanks" dxfId="32" priority="49">
      <formula>LEN(TRIM(C178))=0</formula>
    </cfRule>
    <cfRule type="aboveAverage" dxfId="31" priority="50"/>
  </conditionalFormatting>
  <conditionalFormatting sqref="K200 K204">
    <cfRule type="containsBlanks" dxfId="30" priority="51">
      <formula>LEN(TRIM(K200))=0</formula>
    </cfRule>
    <cfRule type="aboveAverage" dxfId="29" priority="52"/>
  </conditionalFormatting>
  <conditionalFormatting sqref="AO7:AO99 AM7:AM99 AI7:AI99">
    <cfRule type="expression" dxfId="28" priority="42">
      <formula>AND(AJ7="",COUNTIF(AI7,"*,*")=0)</formula>
    </cfRule>
  </conditionalFormatting>
  <conditionalFormatting sqref="AK7:AK99">
    <cfRule type="expression" dxfId="27" priority="40">
      <formula>AND(AL7="",FIND(",",AK7))</formula>
    </cfRule>
    <cfRule type="expression" dxfId="26" priority="41">
      <formula>AND(AL7="",COUNTIF(AK7,"*,*")=0)</formula>
    </cfRule>
  </conditionalFormatting>
  <conditionalFormatting sqref="C7:Z33">
    <cfRule type="containsText" dxfId="25" priority="39" operator="containsText" text="vaba voor">
      <formula>NOT(ISERROR(SEARCH("vaba voor",C7)))</formula>
    </cfRule>
  </conditionalFormatting>
  <conditionalFormatting sqref="O217:O221">
    <cfRule type="expression" dxfId="24" priority="8">
      <formula>FIND(2,O217,1)</formula>
    </cfRule>
    <cfRule type="expression" dxfId="23" priority="9">
      <formula>FIND(1,O217,1)</formula>
    </cfRule>
  </conditionalFormatting>
  <conditionalFormatting sqref="S217:S221">
    <cfRule type="expression" dxfId="22" priority="30">
      <formula>AND(R217=3,IF(COUNTIF(J$7:J$11,"=3")&gt;=2,TRUE))</formula>
    </cfRule>
    <cfRule type="expression" dxfId="21" priority="31">
      <formula>AND(R217=1,IF(COUNTIF(J$7:J$11,"=1")&gt;=2,TRUE))</formula>
    </cfRule>
    <cfRule type="expression" dxfId="20" priority="32">
      <formula>AND(R217=2,IF(COUNTIF(J$7:J$11,"=2")&gt;=2,TRUE))</formula>
    </cfRule>
  </conditionalFormatting>
  <conditionalFormatting sqref="T217:T221">
    <cfRule type="expression" dxfId="19" priority="33">
      <formula>OR(R217=0,R217=4)</formula>
    </cfRule>
    <cfRule type="expression" dxfId="18" priority="34">
      <formula>AND(R217=1,IF(COUNTIF(J$7:J$11,"=1")=1,TRUE))</formula>
    </cfRule>
    <cfRule type="expression" dxfId="17" priority="35">
      <formula>AND(R217=3,IF(COUNTIF(J$7:J$11,"=3")=1,TRUE))</formula>
    </cfRule>
  </conditionalFormatting>
  <conditionalFormatting sqref="N217:N221">
    <cfRule type="expression" dxfId="16" priority="36">
      <formula>AND(R217=1,IF(COUNTIF(J$7:J$11,"=1")&gt;=2,TRUE))</formula>
    </cfRule>
    <cfRule type="expression" dxfId="15" priority="37">
      <formula>AND(R217=3,IF(COUNTIF(J$7:J$11,"=3")&gt;=2,TRUE))</formula>
    </cfRule>
    <cfRule type="expression" dxfId="14" priority="38">
      <formula>AND(R217=2,IF(COUNTIF(J$7:J$11,"=2")&gt;=2,TRUE))</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rowBreaks count="4" manualBreakCount="4">
    <brk id="98" max="16383" man="1"/>
    <brk id="136" max="16383" man="1"/>
    <brk id="174" max="16383" man="1"/>
    <brk id="230"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J63"/>
  <sheetViews>
    <sheetView showGridLines="0" showRowColHeaders="0" zoomScaleNormal="100" workbookViewId="0">
      <pane ySplit="2" topLeftCell="A39" activePane="bottomLeft" state="frozen"/>
      <selection activeCell="B1" sqref="B1"/>
      <selection pane="bottomLeft" activeCell="I63" sqref="I63"/>
    </sheetView>
  </sheetViews>
  <sheetFormatPr defaultRowHeight="12.75" x14ac:dyDescent="0.2"/>
  <cols>
    <col min="1" max="1" width="48.140625" style="130" bestFit="1" customWidth="1"/>
    <col min="2" max="2" width="7.5703125" style="130" customWidth="1"/>
    <col min="3" max="3" width="3" style="130" bestFit="1" customWidth="1"/>
    <col min="4" max="4" width="4" style="130" customWidth="1"/>
    <col min="5" max="5" width="1.5703125" style="130" customWidth="1"/>
    <col min="6" max="6" width="4" style="130" bestFit="1" customWidth="1"/>
    <col min="7" max="7" width="3" style="130" bestFit="1" customWidth="1"/>
    <col min="8" max="8" width="7.5703125" style="130" customWidth="1"/>
    <col min="9" max="9" width="61.7109375" style="130" bestFit="1" customWidth="1"/>
    <col min="10" max="16384" width="9.140625" style="130"/>
  </cols>
  <sheetData>
    <row r="1" spans="1:10" x14ac:dyDescent="0.2">
      <c r="A1" s="68" t="str">
        <f>UPPER(((Kalend!C27)&amp;" - "&amp;(Kalend!D27)))</f>
        <v>25. EESTI-SOOME MAAVÕISTLUS - TRIO (M,N,55+,J)</v>
      </c>
      <c r="H1" s="46" t="str">
        <f>HYPERLINK("#Üldreiting!I1","Reiting")</f>
        <v>Reiting</v>
      </c>
      <c r="J1" s="46"/>
    </row>
    <row r="2" spans="1:10" x14ac:dyDescent="0.2">
      <c r="A2" s="67" t="str">
        <f>"Toimumisaeg: "&amp;(Kalend!A27)&amp;" kell "&amp;(Kalend!B27)</f>
        <v xml:space="preserve">Toimumisaeg: L, 01.09.2018 kell </v>
      </c>
    </row>
    <row r="3" spans="1:10" x14ac:dyDescent="0.2">
      <c r="A3" s="67" t="str">
        <f>"Toimumiskoht: "&amp;(Kalend!H27)</f>
        <v>Toimumiskoht: Soome, Pasila petangihall</v>
      </c>
    </row>
    <row r="4" spans="1:10" x14ac:dyDescent="0.2">
      <c r="A4" s="67" t="str">
        <f>"Korraldaja: "&amp;(Kalend!I27)</f>
        <v xml:space="preserve">Korraldaja: </v>
      </c>
    </row>
    <row r="5" spans="1:10" x14ac:dyDescent="0.2">
      <c r="B5" s="53"/>
      <c r="C5" s="53"/>
      <c r="D5" s="53"/>
      <c r="E5" s="53"/>
      <c r="F5" s="53"/>
      <c r="G5" s="53"/>
      <c r="H5" s="53"/>
      <c r="I5" s="53"/>
    </row>
    <row r="6" spans="1:10" x14ac:dyDescent="0.2">
      <c r="A6" s="455" t="s">
        <v>514</v>
      </c>
      <c r="B6" s="451" t="s">
        <v>661</v>
      </c>
      <c r="C6" s="451" t="s">
        <v>196</v>
      </c>
      <c r="D6" s="452"/>
      <c r="E6" s="534" t="s">
        <v>562</v>
      </c>
      <c r="F6" s="453"/>
      <c r="G6" s="451" t="s">
        <v>196</v>
      </c>
      <c r="H6" s="454" t="s">
        <v>662</v>
      </c>
      <c r="I6" s="451"/>
    </row>
    <row r="7" spans="1:10" x14ac:dyDescent="0.2">
      <c r="A7" s="22"/>
      <c r="B7" s="140" t="s">
        <v>658</v>
      </c>
      <c r="C7" s="459">
        <f>IF(D7&gt;F7,1,0)</f>
        <v>1</v>
      </c>
      <c r="D7" s="448">
        <v>13</v>
      </c>
      <c r="E7" s="449" t="s">
        <v>615</v>
      </c>
      <c r="F7" s="450">
        <v>0</v>
      </c>
      <c r="G7" s="460">
        <f>IF(F7&gt;D7,1,0)</f>
        <v>0</v>
      </c>
      <c r="H7" s="140" t="s">
        <v>29</v>
      </c>
      <c r="I7" s="447"/>
    </row>
    <row r="8" spans="1:10" x14ac:dyDescent="0.2">
      <c r="A8" s="447"/>
      <c r="B8" s="140" t="s">
        <v>659</v>
      </c>
      <c r="C8" s="459">
        <f t="shared" ref="C8:C12" si="0">IF(D8&gt;F8,1,0)</f>
        <v>0</v>
      </c>
      <c r="D8" s="448">
        <v>11</v>
      </c>
      <c r="E8" s="449" t="s">
        <v>615</v>
      </c>
      <c r="F8" s="450">
        <v>13</v>
      </c>
      <c r="G8" s="460">
        <f t="shared" ref="G8:G12" si="1">IF(F8&gt;D8,1,0)</f>
        <v>1</v>
      </c>
      <c r="H8" s="140" t="s">
        <v>658</v>
      </c>
      <c r="I8" s="447"/>
    </row>
    <row r="9" spans="1:10" x14ac:dyDescent="0.2">
      <c r="A9" s="447"/>
      <c r="B9" s="140" t="s">
        <v>660</v>
      </c>
      <c r="C9" s="459">
        <f t="shared" si="0"/>
        <v>0</v>
      </c>
      <c r="D9" s="448">
        <v>5</v>
      </c>
      <c r="E9" s="449" t="s">
        <v>615</v>
      </c>
      <c r="F9" s="450">
        <v>13</v>
      </c>
      <c r="G9" s="460">
        <f t="shared" si="1"/>
        <v>1</v>
      </c>
      <c r="H9" s="140" t="s">
        <v>659</v>
      </c>
      <c r="I9" s="22"/>
    </row>
    <row r="10" spans="1:10" x14ac:dyDescent="0.2">
      <c r="A10" s="22"/>
      <c r="B10" s="140" t="s">
        <v>663</v>
      </c>
      <c r="C10" s="459">
        <f t="shared" si="0"/>
        <v>1</v>
      </c>
      <c r="D10" s="456">
        <v>11</v>
      </c>
      <c r="E10" s="449" t="s">
        <v>615</v>
      </c>
      <c r="F10" s="450">
        <v>10</v>
      </c>
      <c r="G10" s="460">
        <f t="shared" si="1"/>
        <v>0</v>
      </c>
      <c r="H10" s="140" t="s">
        <v>660</v>
      </c>
      <c r="I10" s="447"/>
    </row>
    <row r="11" spans="1:10" x14ac:dyDescent="0.2">
      <c r="A11" s="22"/>
      <c r="B11" s="140" t="s">
        <v>28</v>
      </c>
      <c r="C11" s="459">
        <f t="shared" si="0"/>
        <v>1</v>
      </c>
      <c r="D11" s="448">
        <v>13</v>
      </c>
      <c r="E11" s="449" t="s">
        <v>615</v>
      </c>
      <c r="F11" s="450">
        <v>2</v>
      </c>
      <c r="G11" s="460">
        <f t="shared" si="1"/>
        <v>0</v>
      </c>
      <c r="H11" s="140" t="s">
        <v>663</v>
      </c>
      <c r="I11" s="447"/>
    </row>
    <row r="12" spans="1:10" x14ac:dyDescent="0.2">
      <c r="A12" s="22"/>
      <c r="B12" s="140" t="s">
        <v>29</v>
      </c>
      <c r="C12" s="459">
        <f t="shared" si="0"/>
        <v>0</v>
      </c>
      <c r="D12" s="448">
        <v>1</v>
      </c>
      <c r="E12" s="449" t="s">
        <v>615</v>
      </c>
      <c r="F12" s="450">
        <v>13</v>
      </c>
      <c r="G12" s="460">
        <f t="shared" si="1"/>
        <v>1</v>
      </c>
      <c r="H12" s="140" t="s">
        <v>28</v>
      </c>
      <c r="I12" s="447"/>
    </row>
    <row r="13" spans="1:10" s="131" customFormat="1" x14ac:dyDescent="0.2">
      <c r="A13" s="142"/>
      <c r="B13" s="143" t="s">
        <v>220</v>
      </c>
      <c r="C13" s="462">
        <f>SUM(C7:C12)</f>
        <v>3</v>
      </c>
      <c r="D13" s="463">
        <f>SUM(D7:D12)</f>
        <v>54</v>
      </c>
      <c r="E13" s="464" t="s">
        <v>615</v>
      </c>
      <c r="F13" s="465">
        <f>SUM(F7:F12)</f>
        <v>51</v>
      </c>
      <c r="G13" s="462">
        <f>SUM(G7:G12)</f>
        <v>3</v>
      </c>
      <c r="H13" s="142"/>
      <c r="I13" s="141"/>
    </row>
    <row r="14" spans="1:10" x14ac:dyDescent="0.2">
      <c r="B14" s="53"/>
      <c r="C14" s="53"/>
      <c r="D14" s="53"/>
      <c r="E14" s="53"/>
      <c r="F14" s="53"/>
      <c r="G14" s="53"/>
      <c r="H14" s="53"/>
      <c r="I14" s="53"/>
    </row>
    <row r="15" spans="1:10" x14ac:dyDescent="0.2">
      <c r="A15" s="455" t="s">
        <v>517</v>
      </c>
      <c r="B15" s="451" t="s">
        <v>661</v>
      </c>
      <c r="C15" s="451" t="s">
        <v>196</v>
      </c>
      <c r="D15" s="452"/>
      <c r="E15" s="534" t="s">
        <v>562</v>
      </c>
      <c r="F15" s="453"/>
      <c r="G15" s="451" t="s">
        <v>196</v>
      </c>
      <c r="H15" s="454" t="s">
        <v>662</v>
      </c>
      <c r="I15" s="451"/>
    </row>
    <row r="16" spans="1:10" x14ac:dyDescent="0.2">
      <c r="A16" s="22"/>
      <c r="B16" s="140" t="s">
        <v>658</v>
      </c>
      <c r="C16" s="459">
        <f>IF(D16&gt;F16,1,0)</f>
        <v>1</v>
      </c>
      <c r="D16" s="448">
        <v>13</v>
      </c>
      <c r="E16" s="449" t="s">
        <v>615</v>
      </c>
      <c r="F16" s="450">
        <v>6</v>
      </c>
      <c r="G16" s="460">
        <f>IF(F16&gt;D16,1,0)</f>
        <v>0</v>
      </c>
      <c r="H16" s="140" t="s">
        <v>28</v>
      </c>
      <c r="I16" s="447"/>
    </row>
    <row r="17" spans="1:9" x14ac:dyDescent="0.2">
      <c r="A17" s="447"/>
      <c r="B17" s="140" t="s">
        <v>659</v>
      </c>
      <c r="C17" s="459">
        <f t="shared" ref="C17:C21" si="2">IF(D17&gt;F17,1,0)</f>
        <v>1</v>
      </c>
      <c r="D17" s="448">
        <v>13</v>
      </c>
      <c r="E17" s="449" t="s">
        <v>615</v>
      </c>
      <c r="F17" s="450">
        <v>4</v>
      </c>
      <c r="G17" s="460">
        <f t="shared" ref="G17:G21" si="3">IF(F17&gt;D17,1,0)</f>
        <v>0</v>
      </c>
      <c r="H17" s="140" t="s">
        <v>29</v>
      </c>
      <c r="I17" s="447"/>
    </row>
    <row r="18" spans="1:9" x14ac:dyDescent="0.2">
      <c r="A18" s="447"/>
      <c r="B18" s="140" t="s">
        <v>660</v>
      </c>
      <c r="C18" s="459">
        <f t="shared" si="2"/>
        <v>1</v>
      </c>
      <c r="D18" s="448">
        <v>13</v>
      </c>
      <c r="E18" s="449" t="s">
        <v>615</v>
      </c>
      <c r="F18" s="450">
        <v>5</v>
      </c>
      <c r="G18" s="460">
        <f t="shared" si="3"/>
        <v>0</v>
      </c>
      <c r="H18" s="140" t="s">
        <v>658</v>
      </c>
      <c r="I18" s="447"/>
    </row>
    <row r="19" spans="1:9" x14ac:dyDescent="0.2">
      <c r="A19" s="22"/>
      <c r="B19" s="140" t="s">
        <v>663</v>
      </c>
      <c r="C19" s="459">
        <f t="shared" si="2"/>
        <v>0</v>
      </c>
      <c r="D19" s="448">
        <v>9</v>
      </c>
      <c r="E19" s="449" t="s">
        <v>615</v>
      </c>
      <c r="F19" s="457">
        <v>10</v>
      </c>
      <c r="G19" s="460">
        <f t="shared" si="3"/>
        <v>1</v>
      </c>
      <c r="H19" s="140" t="s">
        <v>659</v>
      </c>
      <c r="I19" s="22"/>
    </row>
    <row r="20" spans="1:9" x14ac:dyDescent="0.2">
      <c r="A20" s="22"/>
      <c r="B20" s="140" t="s">
        <v>28</v>
      </c>
      <c r="C20" s="459">
        <f t="shared" si="2"/>
        <v>0</v>
      </c>
      <c r="D20" s="448">
        <v>7</v>
      </c>
      <c r="E20" s="449" t="s">
        <v>615</v>
      </c>
      <c r="F20" s="450">
        <v>13</v>
      </c>
      <c r="G20" s="460">
        <f t="shared" si="3"/>
        <v>1</v>
      </c>
      <c r="H20" s="140" t="s">
        <v>660</v>
      </c>
      <c r="I20" s="447"/>
    </row>
    <row r="21" spans="1:9" x14ac:dyDescent="0.2">
      <c r="A21" s="22"/>
      <c r="B21" s="140" t="s">
        <v>29</v>
      </c>
      <c r="C21" s="459">
        <f t="shared" si="2"/>
        <v>0</v>
      </c>
      <c r="D21" s="448">
        <v>6</v>
      </c>
      <c r="E21" s="449" t="s">
        <v>615</v>
      </c>
      <c r="F21" s="450">
        <v>13</v>
      </c>
      <c r="G21" s="460">
        <f t="shared" si="3"/>
        <v>1</v>
      </c>
      <c r="H21" s="140" t="s">
        <v>663</v>
      </c>
      <c r="I21" s="447"/>
    </row>
    <row r="22" spans="1:9" s="131" customFormat="1" x14ac:dyDescent="0.2">
      <c r="A22" s="142"/>
      <c r="B22" s="143" t="s">
        <v>220</v>
      </c>
      <c r="C22" s="462">
        <f>SUM(C16:C21)</f>
        <v>3</v>
      </c>
      <c r="D22" s="463">
        <f>SUM(D16:D21)</f>
        <v>61</v>
      </c>
      <c r="E22" s="464" t="s">
        <v>615</v>
      </c>
      <c r="F22" s="465">
        <f>SUM(F16:F21)</f>
        <v>51</v>
      </c>
      <c r="G22" s="462">
        <f>SUM(G16:G21)</f>
        <v>3</v>
      </c>
      <c r="H22" s="142"/>
      <c r="I22" s="141"/>
    </row>
    <row r="23" spans="1:9" x14ac:dyDescent="0.2">
      <c r="B23" s="145" t="s">
        <v>27</v>
      </c>
      <c r="C23" s="466">
        <f>C13+C22</f>
        <v>6</v>
      </c>
      <c r="D23" s="467">
        <f>D13+D22</f>
        <v>115</v>
      </c>
      <c r="E23" s="468" t="s">
        <v>615</v>
      </c>
      <c r="F23" s="469">
        <f>F13+F22</f>
        <v>102</v>
      </c>
      <c r="G23" s="466">
        <f>G13+G22</f>
        <v>6</v>
      </c>
    </row>
    <row r="24" spans="1:9" x14ac:dyDescent="0.2">
      <c r="B24" s="53"/>
      <c r="C24" s="53"/>
      <c r="D24" s="53"/>
      <c r="E24" s="53"/>
      <c r="F24" s="53"/>
      <c r="G24" s="53"/>
      <c r="H24" s="53"/>
      <c r="I24" s="53"/>
    </row>
    <row r="25" spans="1:9" x14ac:dyDescent="0.2">
      <c r="A25" s="455" t="s">
        <v>520</v>
      </c>
      <c r="B25" s="451" t="s">
        <v>661</v>
      </c>
      <c r="C25" s="451" t="s">
        <v>196</v>
      </c>
      <c r="D25" s="452"/>
      <c r="E25" s="534" t="s">
        <v>562</v>
      </c>
      <c r="F25" s="453"/>
      <c r="G25" s="451" t="s">
        <v>196</v>
      </c>
      <c r="H25" s="454" t="s">
        <v>662</v>
      </c>
      <c r="I25" s="451"/>
    </row>
    <row r="26" spans="1:9" x14ac:dyDescent="0.2">
      <c r="A26" s="22"/>
      <c r="B26" s="140" t="s">
        <v>658</v>
      </c>
      <c r="C26" s="459">
        <f>IF(D26&gt;F26,1,0)</f>
        <v>1</v>
      </c>
      <c r="D26" s="448">
        <v>13</v>
      </c>
      <c r="E26" s="449" t="s">
        <v>615</v>
      </c>
      <c r="F26" s="450">
        <v>6</v>
      </c>
      <c r="G26" s="460">
        <f>IF(F26&gt;D26,1,0)</f>
        <v>0</v>
      </c>
      <c r="H26" s="140" t="s">
        <v>663</v>
      </c>
      <c r="I26" s="447"/>
    </row>
    <row r="27" spans="1:9" x14ac:dyDescent="0.2">
      <c r="A27" s="447"/>
      <c r="B27" s="140" t="s">
        <v>659</v>
      </c>
      <c r="C27" s="459">
        <f t="shared" ref="C27:C31" si="4">IF(D27&gt;F27,1,0)</f>
        <v>1</v>
      </c>
      <c r="D27" s="456">
        <v>11</v>
      </c>
      <c r="E27" s="449" t="s">
        <v>615</v>
      </c>
      <c r="F27" s="450">
        <v>5</v>
      </c>
      <c r="G27" s="460">
        <f t="shared" ref="G27:G31" si="5">IF(F27&gt;D27,1,0)</f>
        <v>0</v>
      </c>
      <c r="H27" s="140" t="s">
        <v>28</v>
      </c>
      <c r="I27" s="447"/>
    </row>
    <row r="28" spans="1:9" x14ac:dyDescent="0.2">
      <c r="A28" s="447"/>
      <c r="B28" s="140" t="s">
        <v>660</v>
      </c>
      <c r="C28" s="459">
        <f t="shared" si="4"/>
        <v>1</v>
      </c>
      <c r="D28" s="448">
        <v>13</v>
      </c>
      <c r="E28" s="449" t="s">
        <v>615</v>
      </c>
      <c r="F28" s="450">
        <v>5</v>
      </c>
      <c r="G28" s="460">
        <f t="shared" si="5"/>
        <v>0</v>
      </c>
      <c r="H28" s="140" t="s">
        <v>29</v>
      </c>
      <c r="I28" s="447"/>
    </row>
    <row r="29" spans="1:9" x14ac:dyDescent="0.2">
      <c r="A29" s="22"/>
      <c r="B29" s="140" t="s">
        <v>663</v>
      </c>
      <c r="C29" s="459">
        <f t="shared" si="4"/>
        <v>0</v>
      </c>
      <c r="D29" s="448">
        <v>1</v>
      </c>
      <c r="E29" s="449" t="s">
        <v>615</v>
      </c>
      <c r="F29" s="450">
        <v>13</v>
      </c>
      <c r="G29" s="460">
        <f t="shared" si="5"/>
        <v>1</v>
      </c>
      <c r="H29" s="140" t="s">
        <v>658</v>
      </c>
      <c r="I29" s="447"/>
    </row>
    <row r="30" spans="1:9" x14ac:dyDescent="0.2">
      <c r="A30" s="22"/>
      <c r="B30" s="140" t="s">
        <v>28</v>
      </c>
      <c r="C30" s="459">
        <f t="shared" si="4"/>
        <v>0</v>
      </c>
      <c r="D30" s="448">
        <v>2</v>
      </c>
      <c r="E30" s="449" t="s">
        <v>615</v>
      </c>
      <c r="F30" s="450">
        <v>13</v>
      </c>
      <c r="G30" s="460">
        <f t="shared" si="5"/>
        <v>1</v>
      </c>
      <c r="H30" s="140" t="s">
        <v>659</v>
      </c>
      <c r="I30" s="22"/>
    </row>
    <row r="31" spans="1:9" x14ac:dyDescent="0.2">
      <c r="A31" s="22"/>
      <c r="B31" s="140" t="s">
        <v>29</v>
      </c>
      <c r="C31" s="459">
        <f t="shared" si="4"/>
        <v>0</v>
      </c>
      <c r="D31" s="448">
        <v>1</v>
      </c>
      <c r="E31" s="449" t="s">
        <v>615</v>
      </c>
      <c r="F31" s="450">
        <v>13</v>
      </c>
      <c r="G31" s="460">
        <f t="shared" si="5"/>
        <v>1</v>
      </c>
      <c r="H31" s="140" t="s">
        <v>660</v>
      </c>
      <c r="I31" s="447"/>
    </row>
    <row r="32" spans="1:9" s="131" customFormat="1" x14ac:dyDescent="0.2">
      <c r="A32" s="142"/>
      <c r="B32" s="143" t="s">
        <v>220</v>
      </c>
      <c r="C32" s="462">
        <f>SUM(C26:C31)</f>
        <v>3</v>
      </c>
      <c r="D32" s="463">
        <f>SUM(D26:D31)</f>
        <v>41</v>
      </c>
      <c r="E32" s="464" t="s">
        <v>615</v>
      </c>
      <c r="F32" s="465">
        <f>SUM(F26:F31)</f>
        <v>55</v>
      </c>
      <c r="G32" s="462">
        <f>SUM(G26:G31)</f>
        <v>3</v>
      </c>
      <c r="H32" s="142"/>
      <c r="I32" s="141"/>
    </row>
    <row r="33" spans="1:9" x14ac:dyDescent="0.2">
      <c r="B33" s="145" t="s">
        <v>27</v>
      </c>
      <c r="C33" s="466">
        <f>C23+C32</f>
        <v>9</v>
      </c>
      <c r="D33" s="467">
        <f>D23+D32</f>
        <v>156</v>
      </c>
      <c r="E33" s="468" t="s">
        <v>615</v>
      </c>
      <c r="F33" s="469">
        <f>F23+F32</f>
        <v>157</v>
      </c>
      <c r="G33" s="466">
        <f>G23+G32</f>
        <v>9</v>
      </c>
    </row>
    <row r="34" spans="1:9" x14ac:dyDescent="0.2">
      <c r="B34" s="53"/>
      <c r="C34" s="53"/>
      <c r="D34" s="53"/>
      <c r="E34" s="53"/>
      <c r="F34" s="53"/>
      <c r="G34" s="53"/>
      <c r="H34" s="53"/>
      <c r="I34" s="53"/>
    </row>
    <row r="35" spans="1:9" x14ac:dyDescent="0.2">
      <c r="A35" s="455" t="s">
        <v>523</v>
      </c>
      <c r="B35" s="451" t="s">
        <v>661</v>
      </c>
      <c r="C35" s="451" t="s">
        <v>196</v>
      </c>
      <c r="D35" s="452"/>
      <c r="E35" s="534" t="s">
        <v>562</v>
      </c>
      <c r="F35" s="453"/>
      <c r="G35" s="451" t="s">
        <v>196</v>
      </c>
      <c r="H35" s="454" t="s">
        <v>662</v>
      </c>
      <c r="I35" s="451"/>
    </row>
    <row r="36" spans="1:9" x14ac:dyDescent="0.2">
      <c r="A36" s="22"/>
      <c r="B36" s="140" t="s">
        <v>658</v>
      </c>
      <c r="C36" s="459">
        <f>IF(D36&gt;F36,1,0)</f>
        <v>1</v>
      </c>
      <c r="D36" s="448">
        <v>13</v>
      </c>
      <c r="E36" s="449" t="s">
        <v>615</v>
      </c>
      <c r="F36" s="450">
        <v>4</v>
      </c>
      <c r="G36" s="460">
        <f>IF(F36&gt;D36,1,0)</f>
        <v>0</v>
      </c>
      <c r="H36" s="140" t="s">
        <v>660</v>
      </c>
      <c r="I36" s="447"/>
    </row>
    <row r="37" spans="1:9" x14ac:dyDescent="0.2">
      <c r="A37" s="447"/>
      <c r="B37" s="140" t="s">
        <v>659</v>
      </c>
      <c r="C37" s="459">
        <f t="shared" ref="C37:C41" si="6">IF(D37&gt;F37,1,0)</f>
        <v>0</v>
      </c>
      <c r="D37" s="448">
        <v>1</v>
      </c>
      <c r="E37" s="449" t="s">
        <v>615</v>
      </c>
      <c r="F37" s="450">
        <v>13</v>
      </c>
      <c r="G37" s="460">
        <f t="shared" ref="G37:G41" si="7">IF(F37&gt;D37,1,0)</f>
        <v>1</v>
      </c>
      <c r="H37" s="140" t="s">
        <v>663</v>
      </c>
      <c r="I37" s="447"/>
    </row>
    <row r="38" spans="1:9" x14ac:dyDescent="0.2">
      <c r="A38" s="447"/>
      <c r="B38" s="140" t="s">
        <v>660</v>
      </c>
      <c r="C38" s="459">
        <f t="shared" si="6"/>
        <v>1</v>
      </c>
      <c r="D38" s="456">
        <v>11</v>
      </c>
      <c r="E38" s="449" t="s">
        <v>615</v>
      </c>
      <c r="F38" s="450">
        <v>9</v>
      </c>
      <c r="G38" s="460">
        <f t="shared" si="7"/>
        <v>0</v>
      </c>
      <c r="H38" s="140" t="s">
        <v>28</v>
      </c>
      <c r="I38" s="447"/>
    </row>
    <row r="39" spans="1:9" x14ac:dyDescent="0.2">
      <c r="A39" s="22"/>
      <c r="B39" s="140" t="s">
        <v>663</v>
      </c>
      <c r="C39" s="459">
        <f t="shared" si="6"/>
        <v>1</v>
      </c>
      <c r="D39" s="448">
        <v>13</v>
      </c>
      <c r="E39" s="449" t="s">
        <v>615</v>
      </c>
      <c r="F39" s="450">
        <v>2</v>
      </c>
      <c r="G39" s="460">
        <f t="shared" si="7"/>
        <v>0</v>
      </c>
      <c r="H39" s="140" t="s">
        <v>29</v>
      </c>
      <c r="I39" s="447"/>
    </row>
    <row r="40" spans="1:9" x14ac:dyDescent="0.2">
      <c r="A40" s="22"/>
      <c r="B40" s="140" t="s">
        <v>28</v>
      </c>
      <c r="C40" s="459">
        <f t="shared" si="6"/>
        <v>0</v>
      </c>
      <c r="D40" s="448">
        <v>7</v>
      </c>
      <c r="E40" s="449" t="s">
        <v>615</v>
      </c>
      <c r="F40" s="450">
        <v>13</v>
      </c>
      <c r="G40" s="460">
        <f t="shared" si="7"/>
        <v>1</v>
      </c>
      <c r="H40" s="140" t="s">
        <v>658</v>
      </c>
      <c r="I40" s="447"/>
    </row>
    <row r="41" spans="1:9" x14ac:dyDescent="0.2">
      <c r="A41" s="22"/>
      <c r="B41" s="140" t="s">
        <v>29</v>
      </c>
      <c r="C41" s="178">
        <f t="shared" si="6"/>
        <v>0</v>
      </c>
      <c r="D41" s="448">
        <v>3</v>
      </c>
      <c r="E41" s="449" t="s">
        <v>615</v>
      </c>
      <c r="F41" s="450">
        <v>13</v>
      </c>
      <c r="G41" s="460">
        <f t="shared" si="7"/>
        <v>1</v>
      </c>
      <c r="H41" s="140" t="s">
        <v>659</v>
      </c>
      <c r="I41" s="22"/>
    </row>
    <row r="42" spans="1:9" x14ac:dyDescent="0.2">
      <c r="A42" s="142"/>
      <c r="B42" s="143" t="s">
        <v>220</v>
      </c>
      <c r="C42" s="462">
        <f>SUM(C36:C41)</f>
        <v>3</v>
      </c>
      <c r="D42" s="463">
        <f>SUM(D36:D41)</f>
        <v>48</v>
      </c>
      <c r="E42" s="464" t="s">
        <v>615</v>
      </c>
      <c r="F42" s="465">
        <f>SUM(F36:F41)</f>
        <v>54</v>
      </c>
      <c r="G42" s="462">
        <f>SUM(G36:G41)</f>
        <v>3</v>
      </c>
      <c r="H42" s="142"/>
      <c r="I42" s="141"/>
    </row>
    <row r="43" spans="1:9" x14ac:dyDescent="0.2">
      <c r="B43" s="145" t="s">
        <v>27</v>
      </c>
      <c r="C43" s="466">
        <f>C33+C42</f>
        <v>12</v>
      </c>
      <c r="D43" s="467">
        <f>D33+D42</f>
        <v>204</v>
      </c>
      <c r="E43" s="468" t="s">
        <v>615</v>
      </c>
      <c r="F43" s="469">
        <f>F33+F42</f>
        <v>211</v>
      </c>
      <c r="G43" s="466">
        <f>G33+G42</f>
        <v>12</v>
      </c>
    </row>
    <row r="44" spans="1:9" x14ac:dyDescent="0.2">
      <c r="B44" s="53"/>
      <c r="C44" s="53"/>
      <c r="D44" s="53"/>
      <c r="E44" s="53"/>
      <c r="F44" s="53"/>
      <c r="G44" s="53"/>
      <c r="H44" s="53"/>
      <c r="I44" s="53"/>
    </row>
    <row r="45" spans="1:9" x14ac:dyDescent="0.2">
      <c r="A45" s="455" t="s">
        <v>525</v>
      </c>
      <c r="B45" s="451" t="s">
        <v>661</v>
      </c>
      <c r="C45" s="451" t="s">
        <v>196</v>
      </c>
      <c r="D45" s="452"/>
      <c r="E45" s="534" t="s">
        <v>562</v>
      </c>
      <c r="F45" s="453"/>
      <c r="G45" s="451" t="s">
        <v>196</v>
      </c>
      <c r="H45" s="454" t="s">
        <v>662</v>
      </c>
      <c r="I45" s="451"/>
    </row>
    <row r="46" spans="1:9" x14ac:dyDescent="0.2">
      <c r="A46" s="22"/>
      <c r="B46" s="140" t="s">
        <v>658</v>
      </c>
      <c r="C46" s="459">
        <f>IF(D46&gt;F46,1,0)</f>
        <v>0</v>
      </c>
      <c r="D46" s="448">
        <v>11</v>
      </c>
      <c r="E46" s="449" t="s">
        <v>615</v>
      </c>
      <c r="F46" s="450">
        <v>13</v>
      </c>
      <c r="G46" s="460">
        <f>IF(F46&gt;D46,1,0)</f>
        <v>1</v>
      </c>
      <c r="H46" s="140" t="s">
        <v>659</v>
      </c>
      <c r="I46" s="22"/>
    </row>
    <row r="47" spans="1:9" x14ac:dyDescent="0.2">
      <c r="A47" s="447"/>
      <c r="B47" s="140" t="s">
        <v>659</v>
      </c>
      <c r="C47" s="459">
        <f t="shared" ref="C47:C51" si="8">IF(D47&gt;F47,1,0)</f>
        <v>0</v>
      </c>
      <c r="D47" s="448">
        <v>5</v>
      </c>
      <c r="E47" s="449" t="s">
        <v>615</v>
      </c>
      <c r="F47" s="457">
        <v>6</v>
      </c>
      <c r="G47" s="460">
        <f t="shared" ref="G47:G51" si="9">IF(F47&gt;D47,1,0)</f>
        <v>1</v>
      </c>
      <c r="H47" s="140" t="s">
        <v>660</v>
      </c>
      <c r="I47" s="447"/>
    </row>
    <row r="48" spans="1:9" x14ac:dyDescent="0.2">
      <c r="A48" s="447"/>
      <c r="B48" s="140" t="s">
        <v>660</v>
      </c>
      <c r="C48" s="459">
        <f t="shared" si="8"/>
        <v>0</v>
      </c>
      <c r="D48" s="448">
        <v>0</v>
      </c>
      <c r="E48" s="449" t="s">
        <v>615</v>
      </c>
      <c r="F48" s="450">
        <v>13</v>
      </c>
      <c r="G48" s="460">
        <f t="shared" si="9"/>
        <v>1</v>
      </c>
      <c r="H48" s="140" t="s">
        <v>663</v>
      </c>
      <c r="I48" s="447"/>
    </row>
    <row r="49" spans="1:9" x14ac:dyDescent="0.2">
      <c r="A49" s="22"/>
      <c r="B49" s="140" t="s">
        <v>663</v>
      </c>
      <c r="C49" s="459">
        <f t="shared" si="8"/>
        <v>1</v>
      </c>
      <c r="D49" s="448">
        <v>13</v>
      </c>
      <c r="E49" s="449" t="s">
        <v>615</v>
      </c>
      <c r="F49" s="450">
        <v>4</v>
      </c>
      <c r="G49" s="460">
        <f t="shared" si="9"/>
        <v>0</v>
      </c>
      <c r="H49" s="140" t="s">
        <v>28</v>
      </c>
      <c r="I49" s="447"/>
    </row>
    <row r="50" spans="1:9" x14ac:dyDescent="0.2">
      <c r="A50" s="22"/>
      <c r="B50" s="140" t="s">
        <v>28</v>
      </c>
      <c r="C50" s="459">
        <f t="shared" si="8"/>
        <v>1</v>
      </c>
      <c r="D50" s="448">
        <v>13</v>
      </c>
      <c r="E50" s="449" t="s">
        <v>615</v>
      </c>
      <c r="F50" s="450">
        <v>2</v>
      </c>
      <c r="G50" s="460">
        <f t="shared" si="9"/>
        <v>0</v>
      </c>
      <c r="H50" s="140" t="s">
        <v>29</v>
      </c>
      <c r="I50" s="447"/>
    </row>
    <row r="51" spans="1:9" x14ac:dyDescent="0.2">
      <c r="A51" s="22"/>
      <c r="B51" s="140" t="s">
        <v>29</v>
      </c>
      <c r="C51" s="459">
        <f t="shared" si="8"/>
        <v>1</v>
      </c>
      <c r="D51" s="456">
        <v>11</v>
      </c>
      <c r="E51" s="449" t="s">
        <v>615</v>
      </c>
      <c r="F51" s="450">
        <v>5</v>
      </c>
      <c r="G51" s="460">
        <f t="shared" si="9"/>
        <v>0</v>
      </c>
      <c r="H51" s="140" t="s">
        <v>658</v>
      </c>
      <c r="I51" s="447"/>
    </row>
    <row r="52" spans="1:9" x14ac:dyDescent="0.2">
      <c r="A52" s="142"/>
      <c r="B52" s="143" t="s">
        <v>220</v>
      </c>
      <c r="C52" s="462">
        <f>SUM(C46:C51)</f>
        <v>3</v>
      </c>
      <c r="D52" s="463">
        <f>SUM(D46:D51)</f>
        <v>53</v>
      </c>
      <c r="E52" s="464" t="s">
        <v>615</v>
      </c>
      <c r="F52" s="465">
        <f>SUM(F46:F51)</f>
        <v>43</v>
      </c>
      <c r="G52" s="462">
        <f>SUM(G46:G51)</f>
        <v>3</v>
      </c>
      <c r="H52" s="142"/>
      <c r="I52" s="141"/>
    </row>
    <row r="53" spans="1:9" x14ac:dyDescent="0.2">
      <c r="B53" s="145" t="s">
        <v>27</v>
      </c>
      <c r="C53" s="466">
        <f>C43+C52</f>
        <v>15</v>
      </c>
      <c r="D53" s="467">
        <f>D43+D52</f>
        <v>257</v>
      </c>
      <c r="E53" s="468" t="s">
        <v>615</v>
      </c>
      <c r="F53" s="469">
        <f>F43+F52</f>
        <v>254</v>
      </c>
      <c r="G53" s="466">
        <f>G43+G52</f>
        <v>15</v>
      </c>
    </row>
    <row r="54" spans="1:9" x14ac:dyDescent="0.2">
      <c r="B54" s="53"/>
      <c r="C54" s="53"/>
      <c r="D54" s="53"/>
      <c r="E54" s="53"/>
      <c r="F54" s="53"/>
      <c r="G54" s="53"/>
      <c r="H54" s="53"/>
      <c r="I54" s="53"/>
    </row>
    <row r="55" spans="1:9" x14ac:dyDescent="0.2">
      <c r="A55" s="455" t="s">
        <v>664</v>
      </c>
      <c r="B55" s="451" t="s">
        <v>661</v>
      </c>
      <c r="C55" s="451" t="s">
        <v>196</v>
      </c>
      <c r="D55" s="452"/>
      <c r="E55" s="534" t="s">
        <v>562</v>
      </c>
      <c r="F55" s="453"/>
      <c r="G55" s="451" t="s">
        <v>196</v>
      </c>
      <c r="H55" s="454" t="s">
        <v>662</v>
      </c>
      <c r="I55" s="451"/>
    </row>
    <row r="56" spans="1:9" x14ac:dyDescent="0.2">
      <c r="A56" s="22"/>
      <c r="B56" s="140" t="s">
        <v>658</v>
      </c>
      <c r="C56" s="459">
        <f>IF(D56&gt;F56,1,0)</f>
        <v>0</v>
      </c>
      <c r="D56" s="448">
        <v>11</v>
      </c>
      <c r="E56" s="449" t="s">
        <v>615</v>
      </c>
      <c r="F56" s="450">
        <v>13</v>
      </c>
      <c r="G56" s="460">
        <f>IF(F56&gt;D56,1,0)</f>
        <v>1</v>
      </c>
      <c r="H56" s="140" t="s">
        <v>658</v>
      </c>
      <c r="I56" s="447"/>
    </row>
    <row r="57" spans="1:9" x14ac:dyDescent="0.2">
      <c r="A57" s="447"/>
      <c r="B57" s="140" t="s">
        <v>659</v>
      </c>
      <c r="C57" s="459">
        <f t="shared" ref="C57:C61" si="10">IF(D57&gt;F57,1,0)</f>
        <v>0</v>
      </c>
      <c r="D57" s="448">
        <v>4</v>
      </c>
      <c r="E57" s="449" t="s">
        <v>615</v>
      </c>
      <c r="F57" s="450">
        <v>13</v>
      </c>
      <c r="G57" s="460">
        <f t="shared" ref="G57:G61" si="11">IF(F57&gt;D57,1,0)</f>
        <v>1</v>
      </c>
      <c r="H57" s="140" t="s">
        <v>659</v>
      </c>
      <c r="I57" s="22"/>
    </row>
    <row r="58" spans="1:9" x14ac:dyDescent="0.2">
      <c r="A58" s="447"/>
      <c r="B58" s="140" t="s">
        <v>660</v>
      </c>
      <c r="C58" s="459">
        <f t="shared" si="10"/>
        <v>0</v>
      </c>
      <c r="D58" s="448">
        <v>8</v>
      </c>
      <c r="E58" s="449" t="s">
        <v>615</v>
      </c>
      <c r="F58" s="450">
        <v>13</v>
      </c>
      <c r="G58" s="460">
        <f t="shared" si="11"/>
        <v>1</v>
      </c>
      <c r="H58" s="140" t="s">
        <v>660</v>
      </c>
      <c r="I58" s="447"/>
    </row>
    <row r="59" spans="1:9" x14ac:dyDescent="0.2">
      <c r="A59" s="22"/>
      <c r="B59" s="140" t="s">
        <v>663</v>
      </c>
      <c r="C59" s="459">
        <f t="shared" si="10"/>
        <v>1</v>
      </c>
      <c r="D59" s="448">
        <v>13</v>
      </c>
      <c r="E59" s="449" t="s">
        <v>615</v>
      </c>
      <c r="F59" s="450">
        <v>1</v>
      </c>
      <c r="G59" s="460">
        <f t="shared" si="11"/>
        <v>0</v>
      </c>
      <c r="H59" s="140" t="s">
        <v>663</v>
      </c>
      <c r="I59" s="447"/>
    </row>
    <row r="60" spans="1:9" x14ac:dyDescent="0.2">
      <c r="A60" s="22"/>
      <c r="B60" s="140" t="s">
        <v>28</v>
      </c>
      <c r="C60" s="459">
        <f t="shared" si="10"/>
        <v>1</v>
      </c>
      <c r="D60" s="456">
        <v>11</v>
      </c>
      <c r="E60" s="449" t="s">
        <v>615</v>
      </c>
      <c r="F60" s="450">
        <v>9</v>
      </c>
      <c r="G60" s="460">
        <f t="shared" si="11"/>
        <v>0</v>
      </c>
      <c r="H60" s="140" t="s">
        <v>28</v>
      </c>
      <c r="I60" s="447"/>
    </row>
    <row r="61" spans="1:9" x14ac:dyDescent="0.2">
      <c r="A61" s="22"/>
      <c r="B61" s="140" t="s">
        <v>29</v>
      </c>
      <c r="C61" s="459">
        <f t="shared" si="10"/>
        <v>1</v>
      </c>
      <c r="D61" s="448">
        <v>13</v>
      </c>
      <c r="E61" s="449" t="s">
        <v>615</v>
      </c>
      <c r="F61" s="450">
        <v>2</v>
      </c>
      <c r="G61" s="460">
        <f t="shared" si="11"/>
        <v>0</v>
      </c>
      <c r="H61" s="140" t="s">
        <v>29</v>
      </c>
      <c r="I61" s="447"/>
    </row>
    <row r="62" spans="1:9" ht="13.5" thickBot="1" x14ac:dyDescent="0.25">
      <c r="A62" s="142"/>
      <c r="B62" s="143" t="s">
        <v>220</v>
      </c>
      <c r="C62" s="470">
        <f>SUM(C56:C61)</f>
        <v>3</v>
      </c>
      <c r="D62" s="471">
        <f>SUM(D56:D61)</f>
        <v>60</v>
      </c>
      <c r="E62" s="472" t="s">
        <v>615</v>
      </c>
      <c r="F62" s="473">
        <f>SUM(F56:F61)</f>
        <v>51</v>
      </c>
      <c r="G62" s="470">
        <f>SUM(G56:G61)</f>
        <v>3</v>
      </c>
      <c r="H62" s="142"/>
      <c r="I62" s="141"/>
    </row>
    <row r="63" spans="1:9" ht="13.5" thickBot="1" x14ac:dyDescent="0.25">
      <c r="B63" s="461" t="s">
        <v>227</v>
      </c>
      <c r="C63" s="477">
        <f>C53+C62</f>
        <v>18</v>
      </c>
      <c r="D63" s="476">
        <f>D53+D62</f>
        <v>317</v>
      </c>
      <c r="E63" s="474" t="s">
        <v>615</v>
      </c>
      <c r="F63" s="475">
        <f>F53+F62</f>
        <v>305</v>
      </c>
      <c r="G63" s="478">
        <f>G53+G62</f>
        <v>18</v>
      </c>
    </row>
  </sheetData>
  <conditionalFormatting sqref="D7:F14 D24:F24 D34:F34 D44:F44 D54:F54 D16:F21 D26:F31 D36:F41 D46:F51 D56:F61">
    <cfRule type="cellIs" dxfId="13" priority="11" operator="equal">
      <formula>13</formula>
    </cfRule>
  </conditionalFormatting>
  <conditionalFormatting sqref="D22:F22">
    <cfRule type="cellIs" dxfId="12" priority="10" operator="equal">
      <formula>13</formula>
    </cfRule>
  </conditionalFormatting>
  <conditionalFormatting sqref="D23:F23">
    <cfRule type="cellIs" dxfId="11" priority="9" operator="equal">
      <formula>13</formula>
    </cfRule>
  </conditionalFormatting>
  <conditionalFormatting sqref="D32:F32">
    <cfRule type="cellIs" dxfId="10" priority="8" operator="equal">
      <formula>13</formula>
    </cfRule>
  </conditionalFormatting>
  <conditionalFormatting sqref="D33:F33">
    <cfRule type="cellIs" dxfId="9" priority="7" operator="equal">
      <formula>13</formula>
    </cfRule>
  </conditionalFormatting>
  <conditionalFormatting sqref="D63:F63">
    <cfRule type="cellIs" dxfId="8" priority="1" operator="equal">
      <formula>13</formula>
    </cfRule>
  </conditionalFormatting>
  <conditionalFormatting sqref="D42:F42">
    <cfRule type="cellIs" dxfId="7" priority="6" operator="equal">
      <formula>13</formula>
    </cfRule>
  </conditionalFormatting>
  <conditionalFormatting sqref="D43:F43">
    <cfRule type="cellIs" dxfId="6" priority="5" operator="equal">
      <formula>13</formula>
    </cfRule>
  </conditionalFormatting>
  <conditionalFormatting sqref="D52:F52">
    <cfRule type="cellIs" dxfId="5" priority="4" operator="equal">
      <formula>13</formula>
    </cfRule>
  </conditionalFormatting>
  <conditionalFormatting sqref="D53:F53">
    <cfRule type="cellIs" dxfId="4" priority="3" operator="equal">
      <formula>13</formula>
    </cfRule>
  </conditionalFormatting>
  <conditionalFormatting sqref="D62:F62">
    <cfRule type="cellIs" dxfId="3" priority="2"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1" manualBreakCount="1">
    <brk id="33"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169"/>
  <sheetViews>
    <sheetView showGridLines="0" showRowColHeaders="0" zoomScaleNormal="100" zoomScaleSheetLayoutView="100" workbookViewId="0">
      <pane ySplit="1" topLeftCell="A2" activePane="bottomLeft" state="frozen"/>
      <selection activeCell="B1" sqref="B1"/>
      <selection pane="bottomLeft" activeCell="B1" sqref="B1"/>
    </sheetView>
  </sheetViews>
  <sheetFormatPr defaultRowHeight="12.75" x14ac:dyDescent="0.2"/>
  <cols>
    <col min="1" max="1" width="87.140625" style="180" customWidth="1"/>
    <col min="2" max="16384" width="9.140625" style="180"/>
  </cols>
  <sheetData>
    <row r="1" spans="1:7" x14ac:dyDescent="0.2">
      <c r="A1" s="179" t="s">
        <v>1059</v>
      </c>
      <c r="G1" s="181"/>
    </row>
    <row r="2" spans="1:7" x14ac:dyDescent="0.2">
      <c r="A2" s="180" t="s">
        <v>382</v>
      </c>
    </row>
    <row r="4" spans="1:7" x14ac:dyDescent="0.2">
      <c r="A4" s="180" t="s">
        <v>121</v>
      </c>
    </row>
    <row r="5" spans="1:7" ht="25.5" x14ac:dyDescent="0.2">
      <c r="A5" s="180" t="s">
        <v>1018</v>
      </c>
    </row>
    <row r="6" spans="1:7" x14ac:dyDescent="0.2">
      <c r="A6" s="180" t="s">
        <v>1019</v>
      </c>
    </row>
    <row r="7" spans="1:7" x14ac:dyDescent="0.2">
      <c r="A7" s="180" t="s">
        <v>1020</v>
      </c>
    </row>
    <row r="8" spans="1:7" ht="25.5" x14ac:dyDescent="0.2">
      <c r="A8" s="180" t="s">
        <v>1021</v>
      </c>
    </row>
    <row r="9" spans="1:7" ht="38.25" x14ac:dyDescent="0.2">
      <c r="A9" s="182" t="s">
        <v>1022</v>
      </c>
    </row>
    <row r="10" spans="1:7" x14ac:dyDescent="0.2">
      <c r="A10" s="182"/>
    </row>
    <row r="11" spans="1:7" x14ac:dyDescent="0.2">
      <c r="A11" s="182" t="s">
        <v>122</v>
      </c>
    </row>
    <row r="12" spans="1:7" ht="51" x14ac:dyDescent="0.2">
      <c r="A12" s="180" t="s">
        <v>1023</v>
      </c>
    </row>
    <row r="13" spans="1:7" ht="38.25" x14ac:dyDescent="0.2">
      <c r="A13" s="180" t="s">
        <v>1024</v>
      </c>
    </row>
    <row r="15" spans="1:7" x14ac:dyDescent="0.2">
      <c r="A15" s="180" t="s">
        <v>123</v>
      </c>
    </row>
    <row r="16" spans="1:7" ht="25.5" x14ac:dyDescent="0.2">
      <c r="A16" s="180" t="s">
        <v>1025</v>
      </c>
    </row>
    <row r="17" spans="1:1" ht="25.5" x14ac:dyDescent="0.2">
      <c r="A17" s="180" t="s">
        <v>1026</v>
      </c>
    </row>
    <row r="18" spans="1:1" ht="25.5" x14ac:dyDescent="0.2">
      <c r="A18" s="180" t="s">
        <v>1027</v>
      </c>
    </row>
    <row r="19" spans="1:1" ht="25.5" x14ac:dyDescent="0.2">
      <c r="A19" s="180" t="s">
        <v>1028</v>
      </c>
    </row>
    <row r="20" spans="1:1" ht="25.5" x14ac:dyDescent="0.2">
      <c r="A20" s="180" t="s">
        <v>1029</v>
      </c>
    </row>
    <row r="22" spans="1:1" x14ac:dyDescent="0.2">
      <c r="A22" s="180" t="s">
        <v>124</v>
      </c>
    </row>
    <row r="23" spans="1:1" x14ac:dyDescent="0.2">
      <c r="A23" s="180" t="s">
        <v>383</v>
      </c>
    </row>
    <row r="24" spans="1:1" ht="38.25" x14ac:dyDescent="0.2">
      <c r="A24" s="180" t="s">
        <v>384</v>
      </c>
    </row>
    <row r="25" spans="1:1" ht="51" x14ac:dyDescent="0.2">
      <c r="A25" s="180" t="s">
        <v>1030</v>
      </c>
    </row>
    <row r="26" spans="1:1" x14ac:dyDescent="0.2">
      <c r="A26" s="180" t="s">
        <v>1031</v>
      </c>
    </row>
    <row r="27" spans="1:1" x14ac:dyDescent="0.2">
      <c r="A27" s="180" t="s">
        <v>1032</v>
      </c>
    </row>
    <row r="28" spans="1:1" x14ac:dyDescent="0.2">
      <c r="A28" s="180" t="s">
        <v>1033</v>
      </c>
    </row>
    <row r="29" spans="1:1" ht="63.75" x14ac:dyDescent="0.2">
      <c r="A29" s="180" t="s">
        <v>1034</v>
      </c>
    </row>
    <row r="30" spans="1:1" ht="25.5" x14ac:dyDescent="0.2">
      <c r="A30" s="180" t="s">
        <v>1035</v>
      </c>
    </row>
    <row r="31" spans="1:1" x14ac:dyDescent="0.2">
      <c r="A31" s="180" t="s">
        <v>1036</v>
      </c>
    </row>
    <row r="32" spans="1:1" ht="25.5" x14ac:dyDescent="0.2">
      <c r="A32" s="180" t="s">
        <v>1037</v>
      </c>
    </row>
    <row r="33" spans="1:1" ht="25.5" x14ac:dyDescent="0.2">
      <c r="A33" s="180" t="s">
        <v>1038</v>
      </c>
    </row>
    <row r="35" spans="1:1" x14ac:dyDescent="0.2">
      <c r="A35" s="180" t="s">
        <v>125</v>
      </c>
    </row>
    <row r="36" spans="1:1" x14ac:dyDescent="0.2">
      <c r="A36" s="180" t="s">
        <v>126</v>
      </c>
    </row>
    <row r="37" spans="1:1" ht="25.5" x14ac:dyDescent="0.2">
      <c r="A37" s="180" t="s">
        <v>385</v>
      </c>
    </row>
    <row r="38" spans="1:1" ht="25.5" x14ac:dyDescent="0.2">
      <c r="A38" s="180" t="s">
        <v>386</v>
      </c>
    </row>
    <row r="40" spans="1:1" x14ac:dyDescent="0.2">
      <c r="A40" s="180" t="s">
        <v>127</v>
      </c>
    </row>
    <row r="42" spans="1:1" x14ac:dyDescent="0.2">
      <c r="A42" s="180" t="s">
        <v>128</v>
      </c>
    </row>
    <row r="43" spans="1:1" ht="38.25" x14ac:dyDescent="0.2">
      <c r="A43" s="180" t="s">
        <v>387</v>
      </c>
    </row>
    <row r="44" spans="1:1" x14ac:dyDescent="0.2">
      <c r="A44" s="180" t="s">
        <v>129</v>
      </c>
    </row>
    <row r="45" spans="1:1" ht="25.5" x14ac:dyDescent="0.2">
      <c r="A45" s="180" t="s">
        <v>388</v>
      </c>
    </row>
    <row r="46" spans="1:1" ht="25.5" x14ac:dyDescent="0.2">
      <c r="A46" s="180" t="s">
        <v>389</v>
      </c>
    </row>
    <row r="48" spans="1:1" x14ac:dyDescent="0.2">
      <c r="A48" s="180" t="s">
        <v>390</v>
      </c>
    </row>
    <row r="49" spans="1:1" ht="63.75" x14ac:dyDescent="0.2">
      <c r="A49" s="180" t="s">
        <v>391</v>
      </c>
    </row>
    <row r="50" spans="1:1" x14ac:dyDescent="0.2">
      <c r="A50" s="180" t="s">
        <v>1039</v>
      </c>
    </row>
    <row r="51" spans="1:1" ht="63.75" x14ac:dyDescent="0.2">
      <c r="A51" s="180" t="s">
        <v>1040</v>
      </c>
    </row>
    <row r="53" spans="1:1" x14ac:dyDescent="0.2">
      <c r="A53" s="180" t="s">
        <v>130</v>
      </c>
    </row>
    <row r="54" spans="1:1" ht="38.25" x14ac:dyDescent="0.2">
      <c r="A54" s="180" t="s">
        <v>392</v>
      </c>
    </row>
    <row r="55" spans="1:1" x14ac:dyDescent="0.2">
      <c r="A55" s="180" t="s">
        <v>1041</v>
      </c>
    </row>
    <row r="56" spans="1:1" ht="38.25" x14ac:dyDescent="0.2">
      <c r="A56" s="180" t="s">
        <v>393</v>
      </c>
    </row>
    <row r="58" spans="1:1" x14ac:dyDescent="0.2">
      <c r="A58" s="180" t="s">
        <v>131</v>
      </c>
    </row>
    <row r="59" spans="1:1" ht="25.5" x14ac:dyDescent="0.2">
      <c r="A59" s="180" t="s">
        <v>394</v>
      </c>
    </row>
    <row r="60" spans="1:1" x14ac:dyDescent="0.2">
      <c r="A60" s="180" t="s">
        <v>395</v>
      </c>
    </row>
    <row r="61" spans="1:1" x14ac:dyDescent="0.2">
      <c r="A61" s="180" t="s">
        <v>396</v>
      </c>
    </row>
    <row r="62" spans="1:1" x14ac:dyDescent="0.2">
      <c r="A62" s="180" t="s">
        <v>397</v>
      </c>
    </row>
    <row r="63" spans="1:1" x14ac:dyDescent="0.2">
      <c r="A63" s="180" t="s">
        <v>398</v>
      </c>
    </row>
    <row r="64" spans="1:1" x14ac:dyDescent="0.2">
      <c r="A64" s="180" t="s">
        <v>399</v>
      </c>
    </row>
    <row r="65" spans="1:1" x14ac:dyDescent="0.2">
      <c r="A65" s="180" t="s">
        <v>400</v>
      </c>
    </row>
    <row r="66" spans="1:1" x14ac:dyDescent="0.2">
      <c r="A66" s="180" t="s">
        <v>401</v>
      </c>
    </row>
    <row r="67" spans="1:1" ht="25.5" x14ac:dyDescent="0.2">
      <c r="A67" s="180" t="s">
        <v>402</v>
      </c>
    </row>
    <row r="68" spans="1:1" x14ac:dyDescent="0.2">
      <c r="A68" s="180" t="s">
        <v>403</v>
      </c>
    </row>
    <row r="69" spans="1:1" x14ac:dyDescent="0.2">
      <c r="A69" s="180" t="s">
        <v>404</v>
      </c>
    </row>
    <row r="70" spans="1:1" x14ac:dyDescent="0.2">
      <c r="A70" s="180" t="s">
        <v>405</v>
      </c>
    </row>
    <row r="71" spans="1:1" x14ac:dyDescent="0.2">
      <c r="A71" s="180" t="s">
        <v>406</v>
      </c>
    </row>
    <row r="72" spans="1:1" x14ac:dyDescent="0.2">
      <c r="A72" s="180" t="s">
        <v>407</v>
      </c>
    </row>
    <row r="73" spans="1:1" x14ac:dyDescent="0.2">
      <c r="A73" s="180" t="s">
        <v>408</v>
      </c>
    </row>
    <row r="74" spans="1:1" x14ac:dyDescent="0.2">
      <c r="A74" s="180" t="s">
        <v>409</v>
      </c>
    </row>
    <row r="76" spans="1:1" x14ac:dyDescent="0.2">
      <c r="A76" s="180" t="s">
        <v>132</v>
      </c>
    </row>
    <row r="77" spans="1:1" ht="51" x14ac:dyDescent="0.2">
      <c r="A77" s="180" t="s">
        <v>410</v>
      </c>
    </row>
    <row r="78" spans="1:1" x14ac:dyDescent="0.2">
      <c r="A78" s="180" t="s">
        <v>411</v>
      </c>
    </row>
    <row r="80" spans="1:1" x14ac:dyDescent="0.2">
      <c r="A80" s="180" t="s">
        <v>133</v>
      </c>
    </row>
    <row r="81" spans="1:1" x14ac:dyDescent="0.2">
      <c r="A81" s="180" t="s">
        <v>134</v>
      </c>
    </row>
    <row r="82" spans="1:1" ht="63.75" x14ac:dyDescent="0.2">
      <c r="A82" s="180" t="s">
        <v>412</v>
      </c>
    </row>
    <row r="84" spans="1:1" x14ac:dyDescent="0.2">
      <c r="A84" s="180" t="s">
        <v>413</v>
      </c>
    </row>
    <row r="85" spans="1:1" ht="38.25" x14ac:dyDescent="0.2">
      <c r="A85" s="180" t="s">
        <v>414</v>
      </c>
    </row>
    <row r="87" spans="1:1" x14ac:dyDescent="0.2">
      <c r="A87" s="180" t="s">
        <v>415</v>
      </c>
    </row>
    <row r="88" spans="1:1" ht="25.5" x14ac:dyDescent="0.2">
      <c r="A88" s="180" t="s">
        <v>1042</v>
      </c>
    </row>
    <row r="89" spans="1:1" ht="38.25" x14ac:dyDescent="0.2">
      <c r="A89" s="180" t="s">
        <v>1043</v>
      </c>
    </row>
    <row r="90" spans="1:1" ht="76.5" x14ac:dyDescent="0.2">
      <c r="A90" s="180" t="s">
        <v>1044</v>
      </c>
    </row>
    <row r="92" spans="1:1" x14ac:dyDescent="0.2">
      <c r="A92" s="180" t="s">
        <v>135</v>
      </c>
    </row>
    <row r="93" spans="1:1" x14ac:dyDescent="0.2">
      <c r="A93" s="180" t="s">
        <v>416</v>
      </c>
    </row>
    <row r="94" spans="1:1" ht="38.25" x14ac:dyDescent="0.2">
      <c r="A94" s="180" t="s">
        <v>417</v>
      </c>
    </row>
    <row r="95" spans="1:1" ht="25.5" x14ac:dyDescent="0.2">
      <c r="A95" s="180" t="s">
        <v>418</v>
      </c>
    </row>
    <row r="96" spans="1:1" ht="25.5" x14ac:dyDescent="0.2">
      <c r="A96" s="180" t="s">
        <v>419</v>
      </c>
    </row>
    <row r="97" spans="1:1" ht="25.5" x14ac:dyDescent="0.2">
      <c r="A97" s="180" t="s">
        <v>420</v>
      </c>
    </row>
    <row r="98" spans="1:1" x14ac:dyDescent="0.2">
      <c r="A98" s="180" t="s">
        <v>136</v>
      </c>
    </row>
    <row r="99" spans="1:1" ht="51" x14ac:dyDescent="0.2">
      <c r="A99" s="180" t="s">
        <v>421</v>
      </c>
    </row>
    <row r="100" spans="1:1" x14ac:dyDescent="0.2">
      <c r="A100" s="180" t="s">
        <v>422</v>
      </c>
    </row>
    <row r="101" spans="1:1" x14ac:dyDescent="0.2">
      <c r="A101" s="180" t="s">
        <v>423</v>
      </c>
    </row>
    <row r="102" spans="1:1" x14ac:dyDescent="0.2">
      <c r="A102" s="180" t="s">
        <v>424</v>
      </c>
    </row>
    <row r="103" spans="1:1" ht="25.5" x14ac:dyDescent="0.2">
      <c r="A103" s="180" t="s">
        <v>425</v>
      </c>
    </row>
    <row r="104" spans="1:1" x14ac:dyDescent="0.2">
      <c r="A104" s="180" t="s">
        <v>426</v>
      </c>
    </row>
    <row r="105" spans="1:1" ht="25.5" x14ac:dyDescent="0.2">
      <c r="A105" s="180" t="s">
        <v>427</v>
      </c>
    </row>
    <row r="106" spans="1:1" ht="25.5" x14ac:dyDescent="0.2">
      <c r="A106" s="180" t="s">
        <v>1045</v>
      </c>
    </row>
    <row r="107" spans="1:1" ht="25.5" x14ac:dyDescent="0.2">
      <c r="A107" s="180" t="s">
        <v>428</v>
      </c>
    </row>
    <row r="108" spans="1:1" ht="89.25" x14ac:dyDescent="0.2">
      <c r="A108" s="180" t="s">
        <v>429</v>
      </c>
    </row>
    <row r="109" spans="1:1" ht="25.5" x14ac:dyDescent="0.2">
      <c r="A109" s="180" t="s">
        <v>430</v>
      </c>
    </row>
    <row r="110" spans="1:1" ht="63.75" x14ac:dyDescent="0.2">
      <c r="A110" s="180" t="s">
        <v>1046</v>
      </c>
    </row>
    <row r="111" spans="1:1" ht="63.75" x14ac:dyDescent="0.2">
      <c r="A111" s="180" t="s">
        <v>1047</v>
      </c>
    </row>
    <row r="112" spans="1:1" ht="25.5" x14ac:dyDescent="0.2">
      <c r="A112" s="180" t="s">
        <v>431</v>
      </c>
    </row>
    <row r="113" spans="1:1" ht="76.5" x14ac:dyDescent="0.2">
      <c r="A113" s="180" t="s">
        <v>432</v>
      </c>
    </row>
    <row r="114" spans="1:1" ht="38.25" x14ac:dyDescent="0.2">
      <c r="A114" s="180" t="s">
        <v>433</v>
      </c>
    </row>
    <row r="115" spans="1:1" ht="25.5" x14ac:dyDescent="0.2">
      <c r="A115" s="180" t="s">
        <v>434</v>
      </c>
    </row>
    <row r="116" spans="1:1" x14ac:dyDescent="0.2">
      <c r="A116" s="180" t="s">
        <v>435</v>
      </c>
    </row>
    <row r="117" spans="1:1" ht="25.5" x14ac:dyDescent="0.2">
      <c r="A117" s="180" t="s">
        <v>436</v>
      </c>
    </row>
    <row r="118" spans="1:1" x14ac:dyDescent="0.2">
      <c r="A118" s="180" t="s">
        <v>437</v>
      </c>
    </row>
    <row r="119" spans="1:1" ht="25.5" x14ac:dyDescent="0.2">
      <c r="A119" s="180" t="s">
        <v>438</v>
      </c>
    </row>
    <row r="120" spans="1:1" ht="25.5" x14ac:dyDescent="0.2">
      <c r="A120" s="180" t="s">
        <v>439</v>
      </c>
    </row>
    <row r="121" spans="1:1" ht="25.5" x14ac:dyDescent="0.2">
      <c r="A121" s="180" t="s">
        <v>440</v>
      </c>
    </row>
    <row r="122" spans="1:1" x14ac:dyDescent="0.2">
      <c r="A122" s="180" t="s">
        <v>441</v>
      </c>
    </row>
    <row r="123" spans="1:1" ht="25.5" x14ac:dyDescent="0.2">
      <c r="A123" s="180" t="s">
        <v>442</v>
      </c>
    </row>
    <row r="124" spans="1:1" ht="25.5" x14ac:dyDescent="0.2">
      <c r="A124" s="180" t="s">
        <v>443</v>
      </c>
    </row>
    <row r="125" spans="1:1" ht="25.5" x14ac:dyDescent="0.2">
      <c r="A125" s="180" t="s">
        <v>137</v>
      </c>
    </row>
    <row r="126" spans="1:1" ht="63.75" x14ac:dyDescent="0.2">
      <c r="A126" s="180" t="s">
        <v>1048</v>
      </c>
    </row>
    <row r="127" spans="1:1" ht="76.5" x14ac:dyDescent="0.2">
      <c r="A127" s="180" t="s">
        <v>1049</v>
      </c>
    </row>
    <row r="128" spans="1:1" ht="38.25" x14ac:dyDescent="0.2">
      <c r="A128" s="180" t="s">
        <v>1050</v>
      </c>
    </row>
    <row r="129" spans="1:1" ht="51" x14ac:dyDescent="0.2">
      <c r="A129" s="180" t="s">
        <v>1051</v>
      </c>
    </row>
    <row r="130" spans="1:1" x14ac:dyDescent="0.2">
      <c r="A130" s="180" t="s">
        <v>1052</v>
      </c>
    </row>
    <row r="131" spans="1:1" x14ac:dyDescent="0.2">
      <c r="A131" s="180" t="s">
        <v>1053</v>
      </c>
    </row>
    <row r="132" spans="1:1" x14ac:dyDescent="0.2">
      <c r="A132" s="180" t="s">
        <v>1054</v>
      </c>
    </row>
    <row r="133" spans="1:1" x14ac:dyDescent="0.2">
      <c r="A133" s="180" t="s">
        <v>1055</v>
      </c>
    </row>
    <row r="134" spans="1:1" ht="38.25" x14ac:dyDescent="0.2">
      <c r="A134" s="180" t="s">
        <v>1056</v>
      </c>
    </row>
    <row r="135" spans="1:1" x14ac:dyDescent="0.2">
      <c r="A135" s="180" t="s">
        <v>1057</v>
      </c>
    </row>
    <row r="137" spans="1:1" x14ac:dyDescent="0.2">
      <c r="A137" s="180" t="s">
        <v>138</v>
      </c>
    </row>
    <row r="138" spans="1:1" x14ac:dyDescent="0.2">
      <c r="A138" s="180" t="s">
        <v>444</v>
      </c>
    </row>
    <row r="139" spans="1:1" ht="38.25" x14ac:dyDescent="0.2">
      <c r="A139" s="180" t="s">
        <v>445</v>
      </c>
    </row>
    <row r="140" spans="1:1" ht="25.5" x14ac:dyDescent="0.2">
      <c r="A140" s="180" t="s">
        <v>446</v>
      </c>
    </row>
    <row r="142" spans="1:1" x14ac:dyDescent="0.2">
      <c r="A142" s="180" t="s">
        <v>139</v>
      </c>
    </row>
    <row r="143" spans="1:1" ht="63.75" x14ac:dyDescent="0.2">
      <c r="A143" s="180" t="s">
        <v>447</v>
      </c>
    </row>
    <row r="144" spans="1:1" x14ac:dyDescent="0.2">
      <c r="A144" s="180" t="s">
        <v>140</v>
      </c>
    </row>
    <row r="145" spans="1:1" x14ac:dyDescent="0.2">
      <c r="A145" s="180" t="s">
        <v>141</v>
      </c>
    </row>
    <row r="146" spans="1:1" x14ac:dyDescent="0.2">
      <c r="A146" s="180" t="s">
        <v>142</v>
      </c>
    </row>
    <row r="147" spans="1:1" ht="89.25" x14ac:dyDescent="0.2">
      <c r="A147" s="180" t="s">
        <v>448</v>
      </c>
    </row>
    <row r="148" spans="1:1" ht="76.5" x14ac:dyDescent="0.2">
      <c r="A148" s="180" t="s">
        <v>449</v>
      </c>
    </row>
    <row r="149" spans="1:1" ht="25.5" x14ac:dyDescent="0.2">
      <c r="A149" s="180" t="s">
        <v>450</v>
      </c>
    </row>
    <row r="150" spans="1:1" x14ac:dyDescent="0.2">
      <c r="A150" s="180" t="s">
        <v>451</v>
      </c>
    </row>
    <row r="151" spans="1:1" x14ac:dyDescent="0.2">
      <c r="A151" s="180" t="s">
        <v>452</v>
      </c>
    </row>
    <row r="152" spans="1:1" x14ac:dyDescent="0.2">
      <c r="A152" s="180" t="s">
        <v>453</v>
      </c>
    </row>
    <row r="153" spans="1:1" x14ac:dyDescent="0.2">
      <c r="A153" s="180" t="s">
        <v>454</v>
      </c>
    </row>
    <row r="154" spans="1:1" x14ac:dyDescent="0.2">
      <c r="A154" s="180" t="s">
        <v>455</v>
      </c>
    </row>
    <row r="155" spans="1:1" x14ac:dyDescent="0.2">
      <c r="A155" s="180" t="s">
        <v>456</v>
      </c>
    </row>
    <row r="156" spans="1:1" x14ac:dyDescent="0.2">
      <c r="A156" s="180" t="s">
        <v>457</v>
      </c>
    </row>
    <row r="157" spans="1:1" ht="38.25" x14ac:dyDescent="0.2">
      <c r="A157" s="180" t="s">
        <v>458</v>
      </c>
    </row>
    <row r="159" spans="1:1" x14ac:dyDescent="0.2">
      <c r="A159" s="180" t="s">
        <v>143</v>
      </c>
    </row>
    <row r="160" spans="1:1" ht="51" x14ac:dyDescent="0.2">
      <c r="A160" s="180" t="s">
        <v>459</v>
      </c>
    </row>
    <row r="161" spans="1:1" x14ac:dyDescent="0.2">
      <c r="A161" s="180" t="s">
        <v>460</v>
      </c>
    </row>
    <row r="162" spans="1:1" x14ac:dyDescent="0.2">
      <c r="A162" s="180" t="s">
        <v>461</v>
      </c>
    </row>
    <row r="163" spans="1:1" ht="38.25" x14ac:dyDescent="0.2">
      <c r="A163" s="180" t="s">
        <v>462</v>
      </c>
    </row>
    <row r="164" spans="1:1" ht="25.5" x14ac:dyDescent="0.2">
      <c r="A164" s="180" t="s">
        <v>463</v>
      </c>
    </row>
    <row r="165" spans="1:1" ht="25.5" x14ac:dyDescent="0.2">
      <c r="A165" s="180" t="s">
        <v>464</v>
      </c>
    </row>
    <row r="166" spans="1:1" ht="38.25" x14ac:dyDescent="0.2">
      <c r="A166" s="180" t="s">
        <v>465</v>
      </c>
    </row>
    <row r="167" spans="1:1" x14ac:dyDescent="0.2">
      <c r="A167" s="180" t="s">
        <v>466</v>
      </c>
    </row>
    <row r="169" spans="1:1" ht="25.5" x14ac:dyDescent="0.2">
      <c r="A169" s="180" t="s">
        <v>1058</v>
      </c>
    </row>
  </sheetData>
  <pageMargins left="0.78740157480314965" right="0.39370078740157483" top="0.59055118110236227" bottom="0.39370078740157483" header="0.39370078740157483" footer="0"/>
  <pageSetup paperSize="9" fitToHeight="0" orientation="portrait" r:id="rId1"/>
  <headerFooter>
    <oddHeader>&amp;RPage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31"/>
  <sheetViews>
    <sheetView showGridLines="0" showRowColHeaders="0" zoomScaleNormal="100" workbookViewId="0">
      <pane ySplit="1" topLeftCell="A2" activePane="bottomLeft" state="frozen"/>
      <selection activeCell="B1" sqref="B1"/>
      <selection pane="bottomLeft" activeCell="B1" sqref="B1"/>
    </sheetView>
  </sheetViews>
  <sheetFormatPr defaultRowHeight="12.75" x14ac:dyDescent="0.2"/>
  <cols>
    <col min="1" max="1" width="89.5703125" style="54" customWidth="1"/>
    <col min="2" max="16384" width="9.140625" style="54"/>
  </cols>
  <sheetData>
    <row r="1" spans="1:1" x14ac:dyDescent="0.2">
      <c r="A1" s="36" t="s">
        <v>485</v>
      </c>
    </row>
    <row r="2" spans="1:1" x14ac:dyDescent="0.2">
      <c r="A2" s="54" t="s">
        <v>467</v>
      </c>
    </row>
    <row r="4" spans="1:1" x14ac:dyDescent="0.2">
      <c r="A4" s="54" t="s">
        <v>468</v>
      </c>
    </row>
    <row r="5" spans="1:1" ht="25.5" x14ac:dyDescent="0.2">
      <c r="A5" s="54" t="s">
        <v>487</v>
      </c>
    </row>
    <row r="6" spans="1:1" ht="38.25" x14ac:dyDescent="0.2">
      <c r="A6" s="54" t="s">
        <v>486</v>
      </c>
    </row>
    <row r="7" spans="1:1" ht="25.5" x14ac:dyDescent="0.2">
      <c r="A7" s="54" t="s">
        <v>469</v>
      </c>
    </row>
    <row r="9" spans="1:1" ht="38.25" x14ac:dyDescent="0.2">
      <c r="A9" s="54" t="s">
        <v>470</v>
      </c>
    </row>
    <row r="11" spans="1:1" x14ac:dyDescent="0.2">
      <c r="A11" s="54" t="s">
        <v>471</v>
      </c>
    </row>
    <row r="12" spans="1:1" ht="25.5" x14ac:dyDescent="0.2">
      <c r="A12" s="54" t="s">
        <v>472</v>
      </c>
    </row>
    <row r="13" spans="1:1" x14ac:dyDescent="0.2">
      <c r="A13" s="54" t="s">
        <v>473</v>
      </c>
    </row>
    <row r="14" spans="1:1" x14ac:dyDescent="0.2">
      <c r="A14" s="54" t="s">
        <v>488</v>
      </c>
    </row>
    <row r="15" spans="1:1" x14ac:dyDescent="0.2">
      <c r="A15" s="54" t="s">
        <v>474</v>
      </c>
    </row>
    <row r="17" spans="1:1" ht="25.5" x14ac:dyDescent="0.2">
      <c r="A17" s="54" t="s">
        <v>475</v>
      </c>
    </row>
    <row r="19" spans="1:1" ht="89.25" x14ac:dyDescent="0.2">
      <c r="A19" s="54" t="s">
        <v>476</v>
      </c>
    </row>
    <row r="21" spans="1:1" ht="25.5" x14ac:dyDescent="0.2">
      <c r="A21" s="54" t="s">
        <v>477</v>
      </c>
    </row>
    <row r="23" spans="1:1" x14ac:dyDescent="0.2">
      <c r="A23" s="54" t="s">
        <v>478</v>
      </c>
    </row>
    <row r="24" spans="1:1" ht="25.5" x14ac:dyDescent="0.2">
      <c r="A24" s="54" t="s">
        <v>479</v>
      </c>
    </row>
    <row r="25" spans="1:1" ht="25.5" x14ac:dyDescent="0.2">
      <c r="A25" s="54" t="s">
        <v>480</v>
      </c>
    </row>
    <row r="26" spans="1:1" ht="25.5" x14ac:dyDescent="0.2">
      <c r="A26" s="54" t="s">
        <v>481</v>
      </c>
    </row>
    <row r="27" spans="1:1" x14ac:dyDescent="0.2">
      <c r="A27" s="54" t="s">
        <v>482</v>
      </c>
    </row>
    <row r="29" spans="1:1" x14ac:dyDescent="0.2">
      <c r="A29" s="54" t="s">
        <v>483</v>
      </c>
    </row>
    <row r="31" spans="1:1" x14ac:dyDescent="0.2">
      <c r="A31" s="54" t="s">
        <v>484</v>
      </c>
    </row>
  </sheetData>
  <pageMargins left="0.78740157480314965" right="0.39370078740157483" top="0.78740157480314965" bottom="0.39370078740157483" header="0.59055118110236227" footer="0"/>
  <pageSetup paperSize="9" fitToWidth="0" fitToHeight="0" pageOrder="overThenDown" orientation="portrait" r:id="rId1"/>
  <headerFooter>
    <oddHeader>&amp;RPage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K36"/>
  <sheetViews>
    <sheetView showGridLines="0" showRowColHeaders="0" workbookViewId="0">
      <pane ySplit="3" topLeftCell="A4" activePane="bottomLeft" state="frozen"/>
      <selection activeCell="B1" sqref="B1"/>
      <selection pane="bottomLeft" activeCell="F1" sqref="F1"/>
    </sheetView>
  </sheetViews>
  <sheetFormatPr defaultRowHeight="12.75" x14ac:dyDescent="0.2"/>
  <cols>
    <col min="1" max="16384" width="9.140625" style="50"/>
  </cols>
  <sheetData>
    <row r="1" spans="1:11" x14ac:dyDescent="0.2">
      <c r="A1" s="35" t="s">
        <v>961</v>
      </c>
      <c r="G1" s="44"/>
    </row>
    <row r="3" spans="1:11" ht="25.5" x14ac:dyDescent="0.2">
      <c r="A3" s="43" t="s">
        <v>25</v>
      </c>
      <c r="B3" s="43" t="s">
        <v>1</v>
      </c>
      <c r="C3" s="43" t="s">
        <v>154</v>
      </c>
      <c r="D3" s="43" t="s">
        <v>155</v>
      </c>
      <c r="E3" s="43" t="s">
        <v>156</v>
      </c>
    </row>
    <row r="4" spans="1:11" x14ac:dyDescent="0.2">
      <c r="A4" s="42" t="s">
        <v>157</v>
      </c>
      <c r="B4" s="42">
        <v>173</v>
      </c>
      <c r="C4" s="42">
        <v>115</v>
      </c>
      <c r="D4" s="42">
        <v>105</v>
      </c>
      <c r="E4" s="42">
        <v>53</v>
      </c>
    </row>
    <row r="5" spans="1:11" x14ac:dyDescent="0.2">
      <c r="A5" s="42" t="s">
        <v>158</v>
      </c>
      <c r="B5" s="42">
        <v>158</v>
      </c>
      <c r="C5" s="42">
        <v>105</v>
      </c>
      <c r="D5" s="42">
        <v>93</v>
      </c>
      <c r="E5" s="42">
        <v>42</v>
      </c>
    </row>
    <row r="6" spans="1:11" x14ac:dyDescent="0.2">
      <c r="A6" s="42" t="s">
        <v>159</v>
      </c>
      <c r="B6" s="42">
        <v>146</v>
      </c>
      <c r="C6" s="42">
        <v>97</v>
      </c>
      <c r="D6" s="42">
        <v>83</v>
      </c>
      <c r="E6" s="42">
        <v>33</v>
      </c>
    </row>
    <row r="7" spans="1:11" x14ac:dyDescent="0.2">
      <c r="A7" s="42" t="s">
        <v>91</v>
      </c>
      <c r="B7" s="42">
        <v>135</v>
      </c>
      <c r="C7" s="42">
        <v>90</v>
      </c>
      <c r="D7" s="42">
        <v>74</v>
      </c>
      <c r="E7" s="42">
        <v>27</v>
      </c>
    </row>
    <row r="8" spans="1:11" x14ac:dyDescent="0.2">
      <c r="A8" s="42" t="s">
        <v>92</v>
      </c>
      <c r="B8" s="42">
        <v>126</v>
      </c>
      <c r="C8" s="42">
        <v>84</v>
      </c>
      <c r="D8" s="42">
        <v>65</v>
      </c>
      <c r="E8" s="42">
        <v>23</v>
      </c>
      <c r="K8" s="44"/>
    </row>
    <row r="9" spans="1:11" x14ac:dyDescent="0.2">
      <c r="A9" s="42" t="s">
        <v>93</v>
      </c>
      <c r="B9" s="42">
        <v>119</v>
      </c>
      <c r="C9" s="42">
        <v>79</v>
      </c>
      <c r="D9" s="42">
        <v>57</v>
      </c>
      <c r="E9" s="42">
        <v>18</v>
      </c>
    </row>
    <row r="10" spans="1:11" x14ac:dyDescent="0.2">
      <c r="A10" s="42" t="s">
        <v>94</v>
      </c>
      <c r="B10" s="42">
        <v>111</v>
      </c>
      <c r="C10" s="42">
        <v>74</v>
      </c>
      <c r="D10" s="42">
        <v>50</v>
      </c>
      <c r="E10" s="42">
        <v>14</v>
      </c>
    </row>
    <row r="11" spans="1:11" x14ac:dyDescent="0.2">
      <c r="A11" s="42" t="s">
        <v>95</v>
      </c>
      <c r="B11" s="42">
        <v>104</v>
      </c>
      <c r="C11" s="42">
        <v>69</v>
      </c>
      <c r="D11" s="42">
        <v>42</v>
      </c>
      <c r="E11" s="42">
        <v>9</v>
      </c>
    </row>
    <row r="12" spans="1:11" x14ac:dyDescent="0.2">
      <c r="A12" s="42" t="s">
        <v>96</v>
      </c>
      <c r="B12" s="42">
        <v>96</v>
      </c>
      <c r="C12" s="42">
        <v>64</v>
      </c>
      <c r="D12" s="42">
        <v>35</v>
      </c>
      <c r="E12" s="42">
        <v>5</v>
      </c>
    </row>
    <row r="13" spans="1:11" x14ac:dyDescent="0.2">
      <c r="A13" s="42" t="s">
        <v>97</v>
      </c>
      <c r="B13" s="42">
        <v>90</v>
      </c>
      <c r="C13" s="42">
        <v>60</v>
      </c>
      <c r="D13" s="42">
        <v>29</v>
      </c>
      <c r="E13" s="42">
        <v>2</v>
      </c>
    </row>
    <row r="14" spans="1:11" x14ac:dyDescent="0.2">
      <c r="A14" s="42" t="s">
        <v>98</v>
      </c>
      <c r="B14" s="42">
        <v>84</v>
      </c>
      <c r="C14" s="42">
        <v>56</v>
      </c>
      <c r="D14" s="42">
        <v>23</v>
      </c>
      <c r="E14" s="42">
        <v>1</v>
      </c>
    </row>
    <row r="15" spans="1:11" x14ac:dyDescent="0.2">
      <c r="A15" s="42" t="s">
        <v>99</v>
      </c>
      <c r="B15" s="42">
        <v>78</v>
      </c>
      <c r="C15" s="42">
        <v>52</v>
      </c>
      <c r="D15" s="42">
        <v>17</v>
      </c>
      <c r="E15" s="42">
        <v>1</v>
      </c>
    </row>
    <row r="16" spans="1:11" x14ac:dyDescent="0.2">
      <c r="A16" s="42" t="s">
        <v>100</v>
      </c>
      <c r="B16" s="42">
        <v>74</v>
      </c>
      <c r="C16" s="42">
        <v>49</v>
      </c>
      <c r="D16" s="42">
        <v>12</v>
      </c>
      <c r="E16" s="42">
        <v>1</v>
      </c>
    </row>
    <row r="17" spans="1:5" x14ac:dyDescent="0.2">
      <c r="A17" s="42" t="s">
        <v>101</v>
      </c>
      <c r="B17" s="42">
        <v>69</v>
      </c>
      <c r="C17" s="42">
        <v>46</v>
      </c>
      <c r="D17" s="42">
        <v>8</v>
      </c>
      <c r="E17" s="42">
        <v>1</v>
      </c>
    </row>
    <row r="18" spans="1:5" x14ac:dyDescent="0.2">
      <c r="A18" s="42" t="s">
        <v>102</v>
      </c>
      <c r="B18" s="42">
        <v>65</v>
      </c>
      <c r="C18" s="42">
        <v>43</v>
      </c>
      <c r="D18" s="42">
        <v>5</v>
      </c>
      <c r="E18" s="42">
        <v>1</v>
      </c>
    </row>
    <row r="19" spans="1:5" x14ac:dyDescent="0.2">
      <c r="A19" s="42" t="s">
        <v>103</v>
      </c>
      <c r="B19" s="42">
        <v>60</v>
      </c>
      <c r="C19" s="42">
        <v>40</v>
      </c>
      <c r="D19" s="42">
        <v>3</v>
      </c>
      <c r="E19" s="42">
        <v>1</v>
      </c>
    </row>
    <row r="20" spans="1:5" x14ac:dyDescent="0.2">
      <c r="A20" s="42" t="s">
        <v>104</v>
      </c>
      <c r="B20" s="42">
        <v>56</v>
      </c>
      <c r="C20" s="42">
        <v>37</v>
      </c>
      <c r="D20" s="42">
        <v>1</v>
      </c>
      <c r="E20" s="42">
        <v>1</v>
      </c>
    </row>
    <row r="21" spans="1:5" x14ac:dyDescent="0.2">
      <c r="A21" s="42" t="s">
        <v>105</v>
      </c>
      <c r="B21" s="42">
        <v>51</v>
      </c>
      <c r="C21" s="42">
        <v>34</v>
      </c>
      <c r="D21" s="42">
        <v>1</v>
      </c>
      <c r="E21" s="42">
        <v>1</v>
      </c>
    </row>
    <row r="22" spans="1:5" x14ac:dyDescent="0.2">
      <c r="A22" s="42" t="s">
        <v>106</v>
      </c>
      <c r="B22" s="42">
        <v>47</v>
      </c>
      <c r="C22" s="42">
        <v>31</v>
      </c>
      <c r="D22" s="42">
        <v>1</v>
      </c>
      <c r="E22" s="42">
        <v>1</v>
      </c>
    </row>
    <row r="23" spans="1:5" x14ac:dyDescent="0.2">
      <c r="A23" s="42" t="s">
        <v>107</v>
      </c>
      <c r="B23" s="42">
        <v>42</v>
      </c>
      <c r="C23" s="42">
        <v>28</v>
      </c>
      <c r="D23" s="42">
        <v>1</v>
      </c>
      <c r="E23" s="42">
        <v>1</v>
      </c>
    </row>
    <row r="24" spans="1:5" x14ac:dyDescent="0.2">
      <c r="A24" s="42" t="s">
        <v>108</v>
      </c>
      <c r="B24" s="42">
        <v>38</v>
      </c>
      <c r="C24" s="42">
        <v>25</v>
      </c>
      <c r="D24" s="42">
        <v>1</v>
      </c>
      <c r="E24" s="42">
        <v>1</v>
      </c>
    </row>
    <row r="25" spans="1:5" x14ac:dyDescent="0.2">
      <c r="A25" s="42" t="s">
        <v>109</v>
      </c>
      <c r="B25" s="42">
        <v>33</v>
      </c>
      <c r="C25" s="42">
        <v>22</v>
      </c>
      <c r="D25" s="42">
        <v>1</v>
      </c>
      <c r="E25" s="42">
        <v>1</v>
      </c>
    </row>
    <row r="26" spans="1:5" x14ac:dyDescent="0.2">
      <c r="A26" s="42" t="s">
        <v>110</v>
      </c>
      <c r="B26" s="42">
        <v>29</v>
      </c>
      <c r="C26" s="42">
        <v>19</v>
      </c>
      <c r="D26" s="42">
        <v>1</v>
      </c>
      <c r="E26" s="42">
        <v>1</v>
      </c>
    </row>
    <row r="27" spans="1:5" x14ac:dyDescent="0.2">
      <c r="A27" s="42" t="s">
        <v>111</v>
      </c>
      <c r="B27" s="42">
        <v>24</v>
      </c>
      <c r="C27" s="42">
        <v>16</v>
      </c>
      <c r="D27" s="42">
        <v>1</v>
      </c>
      <c r="E27" s="42">
        <v>1</v>
      </c>
    </row>
    <row r="28" spans="1:5" x14ac:dyDescent="0.2">
      <c r="A28" s="42" t="s">
        <v>112</v>
      </c>
      <c r="B28" s="42">
        <v>21</v>
      </c>
      <c r="C28" s="42">
        <v>14</v>
      </c>
      <c r="D28" s="42">
        <v>1</v>
      </c>
      <c r="E28" s="42">
        <v>1</v>
      </c>
    </row>
    <row r="29" spans="1:5" x14ac:dyDescent="0.2">
      <c r="A29" s="42" t="s">
        <v>113</v>
      </c>
      <c r="B29" s="42">
        <v>18</v>
      </c>
      <c r="C29" s="42">
        <v>12</v>
      </c>
      <c r="D29" s="42">
        <v>1</v>
      </c>
      <c r="E29" s="42">
        <v>1</v>
      </c>
    </row>
    <row r="30" spans="1:5" x14ac:dyDescent="0.2">
      <c r="A30" s="42" t="s">
        <v>114</v>
      </c>
      <c r="B30" s="42">
        <v>16</v>
      </c>
      <c r="C30" s="42">
        <v>10</v>
      </c>
      <c r="D30" s="42">
        <v>1</v>
      </c>
      <c r="E30" s="42">
        <v>1</v>
      </c>
    </row>
    <row r="31" spans="1:5" x14ac:dyDescent="0.2">
      <c r="A31" s="42" t="s">
        <v>115</v>
      </c>
      <c r="B31" s="42">
        <v>14</v>
      </c>
      <c r="C31" s="42">
        <v>8</v>
      </c>
      <c r="D31" s="42">
        <v>1</v>
      </c>
      <c r="E31" s="42">
        <v>1</v>
      </c>
    </row>
    <row r="32" spans="1:5" x14ac:dyDescent="0.2">
      <c r="A32" s="42" t="s">
        <v>116</v>
      </c>
      <c r="B32" s="42">
        <v>12</v>
      </c>
      <c r="C32" s="42">
        <v>6</v>
      </c>
      <c r="D32" s="42">
        <v>1</v>
      </c>
      <c r="E32" s="42">
        <v>1</v>
      </c>
    </row>
    <row r="33" spans="1:5" x14ac:dyDescent="0.2">
      <c r="A33" s="42" t="s">
        <v>117</v>
      </c>
      <c r="B33" s="42">
        <v>10</v>
      </c>
      <c r="C33" s="42">
        <v>5</v>
      </c>
      <c r="D33" s="42">
        <v>1</v>
      </c>
      <c r="E33" s="42">
        <v>1</v>
      </c>
    </row>
    <row r="34" spans="1:5" x14ac:dyDescent="0.2">
      <c r="A34" s="42" t="s">
        <v>118</v>
      </c>
      <c r="B34" s="42">
        <v>8</v>
      </c>
      <c r="C34" s="42">
        <v>4</v>
      </c>
      <c r="D34" s="42">
        <v>1</v>
      </c>
      <c r="E34" s="42">
        <v>1</v>
      </c>
    </row>
    <row r="35" spans="1:5" x14ac:dyDescent="0.2">
      <c r="A35" s="42" t="s">
        <v>119</v>
      </c>
      <c r="B35" s="42">
        <v>6</v>
      </c>
      <c r="C35" s="42">
        <v>3</v>
      </c>
      <c r="D35" s="42">
        <v>1</v>
      </c>
      <c r="E35" s="42">
        <v>1</v>
      </c>
    </row>
    <row r="36" spans="1:5" x14ac:dyDescent="0.2">
      <c r="A36" s="42" t="s">
        <v>120</v>
      </c>
      <c r="B36" s="42">
        <v>3</v>
      </c>
      <c r="C36" s="42">
        <v>1</v>
      </c>
      <c r="D36" s="42">
        <v>1</v>
      </c>
      <c r="E36" s="42">
        <v>1</v>
      </c>
    </row>
  </sheetData>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70"/>
  <sheetViews>
    <sheetView showGridLines="0" showRowColHeaders="0" workbookViewId="0">
      <pane ySplit="1" topLeftCell="A2" activePane="bottomLeft" state="frozen"/>
      <selection activeCell="B1" sqref="B1"/>
      <selection pane="bottomLeft" activeCell="I1" sqref="I1"/>
    </sheetView>
  </sheetViews>
  <sheetFormatPr defaultRowHeight="12.75" x14ac:dyDescent="0.2"/>
  <cols>
    <col min="1" max="1" width="3" customWidth="1"/>
    <col min="2" max="2" width="24.28515625" bestFit="1" customWidth="1"/>
    <col min="3" max="4" width="9.140625" customWidth="1"/>
    <col min="5" max="5" width="3" customWidth="1"/>
    <col min="6" max="6" width="18.28515625" bestFit="1" customWidth="1"/>
  </cols>
  <sheetData>
    <row r="1" spans="1:7" x14ac:dyDescent="0.2">
      <c r="A1" s="35" t="s">
        <v>366</v>
      </c>
      <c r="D1" s="46" t="str">
        <f>HYPERLINK("http://www.petanque.ee/litsentsid/litsentsid-2018/","Jooksvalt näeb siit")</f>
        <v>Jooksvalt näeb siit</v>
      </c>
      <c r="G1" s="198" t="s">
        <v>962</v>
      </c>
    </row>
    <row r="2" spans="1:7" x14ac:dyDescent="0.2">
      <c r="A2" s="35"/>
    </row>
    <row r="3" spans="1:7" x14ac:dyDescent="0.2">
      <c r="A3" s="35" t="s">
        <v>334</v>
      </c>
      <c r="B3" s="415"/>
      <c r="C3" s="415"/>
      <c r="D3" s="415"/>
      <c r="E3" s="35" t="s">
        <v>199</v>
      </c>
      <c r="F3" s="415"/>
      <c r="G3" s="415"/>
    </row>
    <row r="4" spans="1:7" x14ac:dyDescent="0.2">
      <c r="A4" s="415">
        <v>1</v>
      </c>
      <c r="B4" s="415" t="s">
        <v>336</v>
      </c>
      <c r="C4" s="415" t="s">
        <v>200</v>
      </c>
      <c r="D4" s="415"/>
      <c r="E4" s="916">
        <v>1</v>
      </c>
      <c r="F4" s="415" t="s">
        <v>318</v>
      </c>
      <c r="G4" s="415" t="s">
        <v>200</v>
      </c>
    </row>
    <row r="5" spans="1:7" x14ac:dyDescent="0.2">
      <c r="A5" s="415">
        <v>2</v>
      </c>
      <c r="B5" s="415" t="s">
        <v>338</v>
      </c>
      <c r="C5" s="415" t="s">
        <v>200</v>
      </c>
      <c r="D5" s="415"/>
      <c r="E5" s="916">
        <v>2</v>
      </c>
      <c r="F5" s="415" t="s">
        <v>320</v>
      </c>
      <c r="G5" s="415" t="s">
        <v>200</v>
      </c>
    </row>
    <row r="6" spans="1:7" x14ac:dyDescent="0.2">
      <c r="A6" s="415">
        <v>3</v>
      </c>
      <c r="B6" s="415" t="s">
        <v>340</v>
      </c>
      <c r="C6" s="415" t="s">
        <v>200</v>
      </c>
      <c r="D6" s="415"/>
      <c r="E6" s="916">
        <v>3</v>
      </c>
      <c r="F6" s="415" t="s">
        <v>554</v>
      </c>
      <c r="G6" s="415" t="s">
        <v>200</v>
      </c>
    </row>
    <row r="7" spans="1:7" x14ac:dyDescent="0.2">
      <c r="A7" s="415">
        <v>4</v>
      </c>
      <c r="B7" s="415" t="s">
        <v>341</v>
      </c>
      <c r="C7" s="415" t="s">
        <v>200</v>
      </c>
      <c r="D7" s="415"/>
      <c r="E7" s="916">
        <v>4</v>
      </c>
      <c r="F7" s="415" t="s">
        <v>963</v>
      </c>
      <c r="G7" s="415" t="s">
        <v>200</v>
      </c>
    </row>
    <row r="8" spans="1:7" x14ac:dyDescent="0.2">
      <c r="A8" s="415">
        <v>5</v>
      </c>
      <c r="B8" s="415" t="s">
        <v>343</v>
      </c>
      <c r="C8" s="415" t="s">
        <v>200</v>
      </c>
      <c r="D8" s="415"/>
      <c r="E8" s="916">
        <v>5</v>
      </c>
      <c r="F8" s="415" t="s">
        <v>964</v>
      </c>
      <c r="G8" s="415" t="s">
        <v>200</v>
      </c>
    </row>
    <row r="9" spans="1:7" x14ac:dyDescent="0.2">
      <c r="A9" s="415">
        <v>6</v>
      </c>
      <c r="B9" s="415" t="s">
        <v>345</v>
      </c>
      <c r="C9" s="415" t="s">
        <v>200</v>
      </c>
      <c r="D9" s="415"/>
      <c r="E9" s="916">
        <v>6</v>
      </c>
      <c r="F9" s="415" t="s">
        <v>327</v>
      </c>
      <c r="G9" s="415" t="s">
        <v>200</v>
      </c>
    </row>
    <row r="10" spans="1:7" x14ac:dyDescent="0.2">
      <c r="A10" s="415">
        <v>7</v>
      </c>
      <c r="B10" s="415" t="s">
        <v>347</v>
      </c>
      <c r="C10" s="415" t="s">
        <v>200</v>
      </c>
      <c r="D10" s="415"/>
      <c r="E10" s="916">
        <v>7</v>
      </c>
      <c r="F10" s="415" t="s">
        <v>329</v>
      </c>
      <c r="G10" s="415" t="s">
        <v>200</v>
      </c>
    </row>
    <row r="11" spans="1:7" x14ac:dyDescent="0.2">
      <c r="A11" s="415">
        <v>8</v>
      </c>
      <c r="B11" s="415" t="s">
        <v>349</v>
      </c>
      <c r="C11" s="415" t="s">
        <v>200</v>
      </c>
      <c r="D11" s="415"/>
      <c r="E11" s="916">
        <v>8</v>
      </c>
      <c r="F11" s="415" t="s">
        <v>330</v>
      </c>
      <c r="G11" s="415" t="s">
        <v>200</v>
      </c>
    </row>
    <row r="12" spans="1:7" x14ac:dyDescent="0.2">
      <c r="A12" s="415">
        <v>9</v>
      </c>
      <c r="B12" s="415" t="s">
        <v>351</v>
      </c>
      <c r="C12" s="415" t="s">
        <v>200</v>
      </c>
      <c r="D12" s="415"/>
      <c r="E12" s="916">
        <v>9</v>
      </c>
      <c r="F12" s="415" t="s">
        <v>331</v>
      </c>
      <c r="G12" s="415" t="s">
        <v>200</v>
      </c>
    </row>
    <row r="13" spans="1:7" x14ac:dyDescent="0.2">
      <c r="A13" s="415">
        <v>10</v>
      </c>
      <c r="B13" s="415" t="s">
        <v>965</v>
      </c>
      <c r="C13" s="415" t="s">
        <v>200</v>
      </c>
      <c r="D13" s="415"/>
      <c r="E13" s="916">
        <v>10</v>
      </c>
      <c r="F13" s="415" t="s">
        <v>323</v>
      </c>
      <c r="G13" s="415" t="s">
        <v>200</v>
      </c>
    </row>
    <row r="14" spans="1:7" x14ac:dyDescent="0.2">
      <c r="A14" s="415">
        <v>11</v>
      </c>
      <c r="B14" s="415" t="s">
        <v>354</v>
      </c>
      <c r="C14" s="415" t="s">
        <v>200</v>
      </c>
      <c r="D14" s="415"/>
      <c r="E14" s="916">
        <v>11</v>
      </c>
      <c r="F14" s="415" t="s">
        <v>966</v>
      </c>
      <c r="G14" s="415" t="s">
        <v>200</v>
      </c>
    </row>
    <row r="15" spans="1:7" x14ac:dyDescent="0.2">
      <c r="A15" s="415">
        <v>12</v>
      </c>
      <c r="B15" s="415" t="s">
        <v>355</v>
      </c>
      <c r="C15" s="415" t="s">
        <v>200</v>
      </c>
      <c r="D15" s="415"/>
      <c r="E15" s="916">
        <v>12</v>
      </c>
      <c r="F15" s="415" t="s">
        <v>325</v>
      </c>
      <c r="G15" s="415" t="s">
        <v>200</v>
      </c>
    </row>
    <row r="16" spans="1:7" x14ac:dyDescent="0.2">
      <c r="A16" s="415">
        <v>13</v>
      </c>
      <c r="B16" s="415" t="s">
        <v>356</v>
      </c>
      <c r="C16" s="415" t="s">
        <v>200</v>
      </c>
      <c r="D16" s="415"/>
      <c r="E16" s="916">
        <v>13</v>
      </c>
      <c r="F16" s="415" t="s">
        <v>967</v>
      </c>
      <c r="G16" s="415" t="s">
        <v>200</v>
      </c>
    </row>
    <row r="17" spans="1:7" x14ac:dyDescent="0.2">
      <c r="A17" s="415">
        <v>14</v>
      </c>
      <c r="B17" s="415" t="s">
        <v>1016</v>
      </c>
      <c r="C17" s="415" t="s">
        <v>200</v>
      </c>
      <c r="D17" s="415"/>
      <c r="E17" s="916">
        <v>14</v>
      </c>
      <c r="F17" s="415" t="s">
        <v>968</v>
      </c>
      <c r="G17" s="415" t="s">
        <v>200</v>
      </c>
    </row>
    <row r="18" spans="1:7" x14ac:dyDescent="0.2">
      <c r="A18" s="415">
        <v>15</v>
      </c>
      <c r="B18" s="415" t="s">
        <v>969</v>
      </c>
      <c r="C18" s="415" t="s">
        <v>200</v>
      </c>
      <c r="D18" s="415"/>
      <c r="E18" s="916">
        <v>15</v>
      </c>
      <c r="F18" s="415" t="s">
        <v>970</v>
      </c>
      <c r="G18" s="415" t="s">
        <v>200</v>
      </c>
    </row>
    <row r="19" spans="1:7" x14ac:dyDescent="0.2">
      <c r="A19" s="415">
        <v>16</v>
      </c>
      <c r="B19" s="415" t="s">
        <v>1017</v>
      </c>
      <c r="C19" s="415" t="s">
        <v>200</v>
      </c>
      <c r="D19" s="415"/>
      <c r="E19" s="916">
        <v>16</v>
      </c>
      <c r="F19" s="415" t="s">
        <v>971</v>
      </c>
      <c r="G19" s="415" t="s">
        <v>200</v>
      </c>
    </row>
    <row r="20" spans="1:7" x14ac:dyDescent="0.2">
      <c r="A20" s="415">
        <v>17</v>
      </c>
      <c r="B20" s="415" t="s">
        <v>972</v>
      </c>
      <c r="C20" s="415" t="s">
        <v>200</v>
      </c>
      <c r="D20" s="415"/>
      <c r="E20" s="916">
        <v>17</v>
      </c>
      <c r="F20" s="415" t="s">
        <v>553</v>
      </c>
      <c r="G20" s="415" t="s">
        <v>200</v>
      </c>
    </row>
    <row r="21" spans="1:7" x14ac:dyDescent="0.2">
      <c r="A21" s="415">
        <v>18</v>
      </c>
      <c r="B21" s="415" t="s">
        <v>973</v>
      </c>
      <c r="C21" s="415" t="s">
        <v>200</v>
      </c>
      <c r="D21" s="415"/>
      <c r="E21" s="916">
        <v>18</v>
      </c>
      <c r="F21" s="415" t="s">
        <v>974</v>
      </c>
      <c r="G21" s="415" t="s">
        <v>200</v>
      </c>
    </row>
    <row r="22" spans="1:7" x14ac:dyDescent="0.2">
      <c r="A22" s="415"/>
      <c r="B22" s="415"/>
      <c r="C22" s="415"/>
      <c r="D22" s="415"/>
      <c r="E22" s="916">
        <v>19</v>
      </c>
      <c r="F22" s="415" t="s">
        <v>975</v>
      </c>
      <c r="G22" s="415" t="s">
        <v>200</v>
      </c>
    </row>
    <row r="23" spans="1:7" ht="12.75" customHeight="1" x14ac:dyDescent="0.2">
      <c r="A23" s="35" t="s">
        <v>977</v>
      </c>
      <c r="B23" s="415"/>
      <c r="C23" s="415"/>
      <c r="D23" s="415"/>
      <c r="E23" s="916">
        <v>20</v>
      </c>
      <c r="F23" s="415" t="s">
        <v>976</v>
      </c>
      <c r="G23" s="415" t="s">
        <v>200</v>
      </c>
    </row>
    <row r="24" spans="1:7" s="415" customFormat="1" ht="12.75" customHeight="1" x14ac:dyDescent="0.2">
      <c r="A24" s="415">
        <v>1</v>
      </c>
      <c r="B24" s="415" t="s">
        <v>350</v>
      </c>
      <c r="C24" s="415" t="s">
        <v>200</v>
      </c>
      <c r="E24" s="916"/>
    </row>
    <row r="25" spans="1:7" ht="12.75" customHeight="1" x14ac:dyDescent="0.2">
      <c r="A25" s="415">
        <v>2</v>
      </c>
      <c r="B25" s="415" t="s">
        <v>978</v>
      </c>
      <c r="C25" s="415" t="s">
        <v>200</v>
      </c>
      <c r="D25" s="415"/>
      <c r="E25" s="917" t="s">
        <v>202</v>
      </c>
      <c r="G25" s="415"/>
    </row>
    <row r="26" spans="1:7" x14ac:dyDescent="0.2">
      <c r="A26" s="415">
        <v>3</v>
      </c>
      <c r="B26" s="415" t="s">
        <v>979</v>
      </c>
      <c r="C26" s="415" t="s">
        <v>200</v>
      </c>
      <c r="D26" s="415"/>
      <c r="E26" s="415">
        <v>1</v>
      </c>
      <c r="F26" s="415" t="s">
        <v>332</v>
      </c>
      <c r="G26" s="415" t="s">
        <v>200</v>
      </c>
    </row>
    <row r="27" spans="1:7" ht="12.75" customHeight="1" x14ac:dyDescent="0.2">
      <c r="A27" s="415">
        <v>4</v>
      </c>
      <c r="B27" s="415" t="s">
        <v>346</v>
      </c>
      <c r="C27" s="415" t="s">
        <v>200</v>
      </c>
      <c r="D27" s="415"/>
      <c r="E27" s="415">
        <v>2</v>
      </c>
      <c r="F27" s="415" t="s">
        <v>333</v>
      </c>
      <c r="G27" s="415" t="s">
        <v>200</v>
      </c>
    </row>
    <row r="28" spans="1:7" ht="12.75" customHeight="1" x14ac:dyDescent="0.2">
      <c r="A28" s="415">
        <v>5</v>
      </c>
      <c r="B28" s="415" t="s">
        <v>339</v>
      </c>
      <c r="C28" s="415" t="s">
        <v>200</v>
      </c>
      <c r="D28" s="415"/>
      <c r="E28" s="415">
        <v>3</v>
      </c>
      <c r="F28" s="415" t="s">
        <v>335</v>
      </c>
      <c r="G28" s="415" t="s">
        <v>200</v>
      </c>
    </row>
    <row r="29" spans="1:7" ht="12.75" customHeight="1" x14ac:dyDescent="0.2">
      <c r="A29" s="415">
        <v>6</v>
      </c>
      <c r="B29" s="415" t="s">
        <v>980</v>
      </c>
      <c r="C29" s="415" t="s">
        <v>200</v>
      </c>
      <c r="D29" s="415"/>
      <c r="E29" s="415">
        <v>4</v>
      </c>
      <c r="F29" s="415" t="s">
        <v>337</v>
      </c>
      <c r="G29" s="415" t="s">
        <v>200</v>
      </c>
    </row>
    <row r="30" spans="1:7" ht="12.75" customHeight="1" x14ac:dyDescent="0.2">
      <c r="A30" s="415">
        <v>7</v>
      </c>
      <c r="B30" s="415" t="s">
        <v>1067</v>
      </c>
      <c r="C30" s="415" t="s">
        <v>200</v>
      </c>
      <c r="D30" s="415"/>
      <c r="E30" s="415">
        <v>5</v>
      </c>
      <c r="F30" s="415" t="s">
        <v>348</v>
      </c>
      <c r="G30" s="415" t="s">
        <v>200</v>
      </c>
    </row>
    <row r="31" spans="1:7" x14ac:dyDescent="0.2">
      <c r="A31" s="415">
        <v>8</v>
      </c>
      <c r="B31" s="415" t="s">
        <v>981</v>
      </c>
      <c r="C31" s="415" t="s">
        <v>200</v>
      </c>
      <c r="D31" s="415"/>
      <c r="E31" s="415">
        <v>6</v>
      </c>
      <c r="F31" s="415" t="s">
        <v>344</v>
      </c>
      <c r="G31" s="415" t="s">
        <v>200</v>
      </c>
    </row>
    <row r="32" spans="1:7" x14ac:dyDescent="0.2">
      <c r="A32" s="415">
        <v>9</v>
      </c>
      <c r="B32" s="415" t="s">
        <v>982</v>
      </c>
      <c r="C32" s="415" t="s">
        <v>200</v>
      </c>
      <c r="D32" s="415"/>
      <c r="E32" s="415">
        <v>7</v>
      </c>
      <c r="F32" s="415" t="s">
        <v>342</v>
      </c>
      <c r="G32" s="415" t="s">
        <v>200</v>
      </c>
    </row>
    <row r="33" spans="1:7" x14ac:dyDescent="0.2">
      <c r="A33" s="415">
        <v>10</v>
      </c>
      <c r="B33" s="415" t="s">
        <v>983</v>
      </c>
      <c r="C33" s="415" t="s">
        <v>200</v>
      </c>
      <c r="D33" s="415"/>
      <c r="E33" s="415">
        <v>8</v>
      </c>
      <c r="F33" s="415" t="s">
        <v>352</v>
      </c>
      <c r="G33" s="415" t="s">
        <v>200</v>
      </c>
    </row>
    <row r="34" spans="1:7" x14ac:dyDescent="0.2">
      <c r="A34" s="415">
        <v>11</v>
      </c>
      <c r="B34" s="415" t="s">
        <v>985</v>
      </c>
      <c r="C34" s="415" t="s">
        <v>200</v>
      </c>
      <c r="D34" s="415"/>
      <c r="E34" s="415">
        <v>9</v>
      </c>
      <c r="F34" s="415" t="s">
        <v>353</v>
      </c>
      <c r="G34" s="415" t="s">
        <v>200</v>
      </c>
    </row>
    <row r="35" spans="1:7" x14ac:dyDescent="0.2">
      <c r="A35" s="415">
        <v>12</v>
      </c>
      <c r="B35" s="415" t="s">
        <v>987</v>
      </c>
      <c r="C35" s="415" t="s">
        <v>200</v>
      </c>
      <c r="D35" s="415"/>
      <c r="E35" s="415">
        <v>10</v>
      </c>
      <c r="F35" s="415" t="s">
        <v>984</v>
      </c>
      <c r="G35" s="415" t="s">
        <v>200</v>
      </c>
    </row>
    <row r="36" spans="1:7" x14ac:dyDescent="0.2">
      <c r="A36" s="415">
        <v>13</v>
      </c>
      <c r="B36" s="415" t="s">
        <v>989</v>
      </c>
      <c r="C36" s="415" t="s">
        <v>200</v>
      </c>
      <c r="D36" s="415"/>
      <c r="E36" s="415">
        <v>11</v>
      </c>
      <c r="F36" s="415" t="s">
        <v>986</v>
      </c>
      <c r="G36" s="415" t="s">
        <v>200</v>
      </c>
    </row>
    <row r="37" spans="1:7" x14ac:dyDescent="0.2">
      <c r="A37" s="415"/>
      <c r="B37" s="415"/>
      <c r="C37" s="415"/>
      <c r="D37" s="415"/>
      <c r="E37" s="415">
        <v>12</v>
      </c>
      <c r="F37" s="415" t="s">
        <v>988</v>
      </c>
      <c r="G37" s="415" t="s">
        <v>200</v>
      </c>
    </row>
    <row r="38" spans="1:7" x14ac:dyDescent="0.2">
      <c r="A38" s="35" t="s">
        <v>362</v>
      </c>
      <c r="B38" s="415"/>
      <c r="C38" s="415"/>
      <c r="D38" s="415"/>
      <c r="E38" s="415"/>
      <c r="F38" s="415"/>
      <c r="G38" s="415"/>
    </row>
    <row r="39" spans="1:7" s="415" customFormat="1" x14ac:dyDescent="0.2">
      <c r="A39" s="415">
        <v>1</v>
      </c>
      <c r="B39" s="415" t="s">
        <v>364</v>
      </c>
      <c r="C39" s="415" t="s">
        <v>200</v>
      </c>
      <c r="E39" s="917" t="s">
        <v>201</v>
      </c>
    </row>
    <row r="40" spans="1:7" x14ac:dyDescent="0.2">
      <c r="A40" s="415">
        <v>2</v>
      </c>
      <c r="B40" s="415" t="s">
        <v>365</v>
      </c>
      <c r="C40" s="415" t="s">
        <v>200</v>
      </c>
      <c r="D40" s="415"/>
      <c r="E40" s="415">
        <v>1</v>
      </c>
      <c r="F40" s="415" t="s">
        <v>990</v>
      </c>
      <c r="G40" s="415" t="s">
        <v>200</v>
      </c>
    </row>
    <row r="41" spans="1:7" x14ac:dyDescent="0.2">
      <c r="A41" s="415">
        <v>3</v>
      </c>
      <c r="B41" s="415" t="s">
        <v>555</v>
      </c>
      <c r="C41" s="415" t="s">
        <v>200</v>
      </c>
      <c r="D41" s="415"/>
      <c r="E41" s="415">
        <v>2</v>
      </c>
      <c r="F41" s="415" t="s">
        <v>319</v>
      </c>
      <c r="G41" s="415" t="s">
        <v>200</v>
      </c>
    </row>
    <row r="42" spans="1:7" x14ac:dyDescent="0.2">
      <c r="A42" s="415">
        <v>4</v>
      </c>
      <c r="B42" s="415" t="s">
        <v>556</v>
      </c>
      <c r="C42" s="415" t="s">
        <v>200</v>
      </c>
      <c r="D42" s="415"/>
      <c r="E42" s="415">
        <v>3</v>
      </c>
      <c r="F42" s="415" t="s">
        <v>322</v>
      </c>
      <c r="G42" s="415" t="s">
        <v>200</v>
      </c>
    </row>
    <row r="43" spans="1:7" x14ac:dyDescent="0.2">
      <c r="A43" s="415">
        <v>5</v>
      </c>
      <c r="B43" s="415" t="s">
        <v>557</v>
      </c>
      <c r="C43" s="415" t="s">
        <v>200</v>
      </c>
      <c r="D43" s="415"/>
      <c r="E43" s="415">
        <v>4</v>
      </c>
      <c r="F43" s="415" t="s">
        <v>991</v>
      </c>
      <c r="G43" s="415" t="s">
        <v>200</v>
      </c>
    </row>
    <row r="44" spans="1:7" x14ac:dyDescent="0.2">
      <c r="A44" s="415">
        <v>6</v>
      </c>
      <c r="B44" s="415" t="s">
        <v>558</v>
      </c>
      <c r="C44" s="415" t="s">
        <v>200</v>
      </c>
      <c r="D44" s="415"/>
      <c r="E44" s="415">
        <v>5</v>
      </c>
      <c r="F44" s="415" t="s">
        <v>326</v>
      </c>
      <c r="G44" s="415" t="s">
        <v>200</v>
      </c>
    </row>
    <row r="45" spans="1:7" x14ac:dyDescent="0.2">
      <c r="A45" s="415">
        <v>7</v>
      </c>
      <c r="B45" s="415" t="s">
        <v>992</v>
      </c>
      <c r="C45" s="415" t="s">
        <v>200</v>
      </c>
      <c r="D45" s="415"/>
      <c r="E45" s="415">
        <v>6</v>
      </c>
      <c r="F45" s="415" t="s">
        <v>328</v>
      </c>
      <c r="G45" s="415" t="s">
        <v>200</v>
      </c>
    </row>
    <row r="46" spans="1:7" x14ac:dyDescent="0.2">
      <c r="A46" s="415">
        <v>8</v>
      </c>
      <c r="B46" s="415" t="s">
        <v>994</v>
      </c>
      <c r="C46" s="415" t="s">
        <v>200</v>
      </c>
      <c r="D46" s="415"/>
      <c r="E46" s="415">
        <v>7</v>
      </c>
      <c r="F46" s="415" t="s">
        <v>993</v>
      </c>
      <c r="G46" s="415" t="s">
        <v>200</v>
      </c>
    </row>
    <row r="47" spans="1:7" x14ac:dyDescent="0.2">
      <c r="A47" s="415">
        <v>9</v>
      </c>
      <c r="B47" s="415" t="s">
        <v>996</v>
      </c>
      <c r="C47" s="415" t="s">
        <v>200</v>
      </c>
      <c r="D47" s="415"/>
      <c r="E47" s="415">
        <v>8</v>
      </c>
      <c r="F47" s="415" t="s">
        <v>995</v>
      </c>
      <c r="G47" s="415" t="s">
        <v>200</v>
      </c>
    </row>
    <row r="48" spans="1:7" x14ac:dyDescent="0.2">
      <c r="A48" s="415">
        <v>10</v>
      </c>
      <c r="B48" s="415" t="s">
        <v>997</v>
      </c>
      <c r="C48" s="415" t="s">
        <v>200</v>
      </c>
      <c r="D48" s="415"/>
      <c r="E48" s="415">
        <v>9</v>
      </c>
      <c r="F48" s="415" t="s">
        <v>321</v>
      </c>
      <c r="G48" s="415" t="s">
        <v>200</v>
      </c>
    </row>
    <row r="49" spans="1:7" x14ac:dyDescent="0.2">
      <c r="A49" s="415">
        <v>11</v>
      </c>
      <c r="B49" s="415" t="s">
        <v>998</v>
      </c>
      <c r="C49" s="415" t="s">
        <v>200</v>
      </c>
      <c r="D49" s="415"/>
      <c r="E49" s="415">
        <v>10</v>
      </c>
      <c r="F49" s="415" t="s">
        <v>324</v>
      </c>
      <c r="G49" s="415" t="s">
        <v>200</v>
      </c>
    </row>
    <row r="50" spans="1:7" x14ac:dyDescent="0.2">
      <c r="A50" s="415">
        <v>12</v>
      </c>
      <c r="B50" s="415" t="s">
        <v>999</v>
      </c>
      <c r="C50" s="415" t="s">
        <v>200</v>
      </c>
      <c r="D50" s="415"/>
      <c r="E50" s="415"/>
      <c r="F50" s="415"/>
      <c r="G50" s="415"/>
    </row>
    <row r="51" spans="1:7" x14ac:dyDescent="0.2">
      <c r="A51" s="415">
        <v>13</v>
      </c>
      <c r="B51" s="415" t="s">
        <v>1000</v>
      </c>
      <c r="C51" s="415" t="s">
        <v>200</v>
      </c>
      <c r="D51" s="415"/>
      <c r="E51" s="35" t="s">
        <v>203</v>
      </c>
      <c r="F51" s="415"/>
      <c r="G51" s="415"/>
    </row>
    <row r="52" spans="1:7" x14ac:dyDescent="0.2">
      <c r="A52" s="415">
        <v>14</v>
      </c>
      <c r="B52" s="415" t="s">
        <v>1001</v>
      </c>
      <c r="C52" s="415" t="s">
        <v>200</v>
      </c>
      <c r="D52" s="415"/>
      <c r="E52" s="415">
        <v>1</v>
      </c>
      <c r="F52" s="415" t="s">
        <v>357</v>
      </c>
      <c r="G52" s="415" t="s">
        <v>200</v>
      </c>
    </row>
    <row r="53" spans="1:7" x14ac:dyDescent="0.2">
      <c r="A53" s="415"/>
      <c r="B53" s="415"/>
      <c r="C53" s="415"/>
      <c r="D53" s="415"/>
      <c r="E53" s="415">
        <v>2</v>
      </c>
      <c r="F53" s="415" t="s">
        <v>359</v>
      </c>
      <c r="G53" s="415" t="s">
        <v>200</v>
      </c>
    </row>
    <row r="54" spans="1:7" x14ac:dyDescent="0.2">
      <c r="A54" s="35" t="s">
        <v>1002</v>
      </c>
      <c r="B54" s="415"/>
      <c r="C54" s="415"/>
      <c r="D54" s="415"/>
      <c r="E54" s="415">
        <v>3</v>
      </c>
      <c r="F54" s="415" t="s">
        <v>1015</v>
      </c>
      <c r="G54" s="415" t="s">
        <v>200</v>
      </c>
    </row>
    <row r="55" spans="1:7" s="415" customFormat="1" x14ac:dyDescent="0.2">
      <c r="A55" s="415">
        <v>1</v>
      </c>
      <c r="B55" s="415" t="s">
        <v>1003</v>
      </c>
      <c r="C55" s="415" t="s">
        <v>200</v>
      </c>
    </row>
    <row r="56" spans="1:7" x14ac:dyDescent="0.2">
      <c r="A56" s="415">
        <v>2</v>
      </c>
      <c r="B56" s="415" t="s">
        <v>1004</v>
      </c>
      <c r="C56" s="415" t="s">
        <v>200</v>
      </c>
      <c r="D56" s="415"/>
      <c r="E56" s="35" t="s">
        <v>358</v>
      </c>
      <c r="F56" s="415"/>
      <c r="G56" s="415"/>
    </row>
    <row r="57" spans="1:7" x14ac:dyDescent="0.2">
      <c r="A57" s="415">
        <v>3</v>
      </c>
      <c r="B57" s="415" t="s">
        <v>1005</v>
      </c>
      <c r="C57" s="415" t="s">
        <v>200</v>
      </c>
      <c r="D57" s="415"/>
      <c r="E57" s="415">
        <v>1</v>
      </c>
      <c r="F57" s="415" t="s">
        <v>360</v>
      </c>
      <c r="G57" s="415" t="s">
        <v>200</v>
      </c>
    </row>
    <row r="58" spans="1:7" x14ac:dyDescent="0.2">
      <c r="A58" s="415">
        <v>4</v>
      </c>
      <c r="B58" s="415" t="s">
        <v>559</v>
      </c>
      <c r="C58" s="415" t="s">
        <v>200</v>
      </c>
      <c r="D58" s="415"/>
      <c r="E58" s="415">
        <v>2</v>
      </c>
      <c r="F58" s="415" t="s">
        <v>361</v>
      </c>
      <c r="G58" s="415" t="s">
        <v>200</v>
      </c>
    </row>
    <row r="59" spans="1:7" x14ac:dyDescent="0.2">
      <c r="A59" s="415">
        <v>5</v>
      </c>
      <c r="B59" s="415" t="s">
        <v>560</v>
      </c>
      <c r="C59" s="415" t="s">
        <v>200</v>
      </c>
      <c r="D59" s="415"/>
      <c r="E59" s="415">
        <v>3</v>
      </c>
      <c r="F59" s="415" t="s">
        <v>1006</v>
      </c>
      <c r="G59" s="415" t="s">
        <v>200</v>
      </c>
    </row>
    <row r="60" spans="1:7" x14ac:dyDescent="0.2">
      <c r="A60" s="415">
        <v>6</v>
      </c>
      <c r="B60" s="415" t="s">
        <v>1009</v>
      </c>
      <c r="C60" s="415" t="s">
        <v>200</v>
      </c>
      <c r="D60" s="415"/>
      <c r="E60" s="415">
        <v>4</v>
      </c>
      <c r="F60" s="415" t="s">
        <v>1007</v>
      </c>
      <c r="G60" s="415" t="s">
        <v>200</v>
      </c>
    </row>
    <row r="61" spans="1:7" x14ac:dyDescent="0.2">
      <c r="A61" s="415">
        <v>7</v>
      </c>
      <c r="B61" s="415" t="s">
        <v>363</v>
      </c>
      <c r="C61" s="415" t="s">
        <v>200</v>
      </c>
      <c r="D61" s="415"/>
      <c r="E61" s="415">
        <v>5</v>
      </c>
      <c r="F61" s="415" t="s">
        <v>1008</v>
      </c>
      <c r="G61" s="415" t="s">
        <v>200</v>
      </c>
    </row>
    <row r="62" spans="1:7" x14ac:dyDescent="0.2">
      <c r="A62" s="415">
        <v>8</v>
      </c>
      <c r="B62" s="415" t="s">
        <v>1012</v>
      </c>
      <c r="C62" s="415" t="s">
        <v>200</v>
      </c>
      <c r="D62" s="415"/>
      <c r="E62" s="415">
        <v>6</v>
      </c>
      <c r="F62" s="415" t="s">
        <v>1010</v>
      </c>
      <c r="G62" s="415" t="s">
        <v>200</v>
      </c>
    </row>
    <row r="63" spans="1:7" x14ac:dyDescent="0.2">
      <c r="A63" s="415">
        <v>9</v>
      </c>
      <c r="B63" s="415" t="s">
        <v>1014</v>
      </c>
      <c r="C63" s="415" t="s">
        <v>200</v>
      </c>
      <c r="D63" s="415"/>
      <c r="E63" s="415">
        <v>7</v>
      </c>
      <c r="F63" s="415" t="s">
        <v>1011</v>
      </c>
      <c r="G63" s="415" t="s">
        <v>200</v>
      </c>
    </row>
    <row r="64" spans="1:7" x14ac:dyDescent="0.2">
      <c r="D64" s="415"/>
      <c r="E64" s="415">
        <v>8</v>
      </c>
      <c r="F64" s="415" t="s">
        <v>1013</v>
      </c>
      <c r="G64" s="415" t="s">
        <v>200</v>
      </c>
    </row>
    <row r="65" spans="1:7" x14ac:dyDescent="0.2">
      <c r="D65" s="415"/>
      <c r="E65" s="415"/>
      <c r="F65" s="415"/>
      <c r="G65" s="415"/>
    </row>
    <row r="66" spans="1:7" s="415" customFormat="1" x14ac:dyDescent="0.2"/>
    <row r="67" spans="1:7" x14ac:dyDescent="0.2">
      <c r="A67" s="415"/>
      <c r="B67" s="415"/>
      <c r="C67" s="415"/>
      <c r="D67" s="415"/>
    </row>
    <row r="68" spans="1:7" x14ac:dyDescent="0.2">
      <c r="A68" s="415"/>
      <c r="B68" s="415"/>
      <c r="C68" s="415"/>
      <c r="D68" s="415"/>
    </row>
    <row r="69" spans="1:7" x14ac:dyDescent="0.2">
      <c r="A69" s="415"/>
      <c r="B69" s="415"/>
      <c r="C69" s="415"/>
      <c r="D69" s="415"/>
    </row>
    <row r="70" spans="1:7" x14ac:dyDescent="0.2">
      <c r="A70" s="415"/>
      <c r="B70" s="415"/>
      <c r="C70" s="415"/>
      <c r="D70" s="415"/>
    </row>
  </sheetData>
  <pageMargins left="0.78740157480314965" right="0.39370078740157483" top="0.39370078740157483" bottom="0.27559055118110237" header="0.39370078740157483" footer="0"/>
  <pageSetup paperSize="9" fitToHeight="0"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77"/>
  <sheetViews>
    <sheetView showGridLines="0" showRowColHeaders="0" workbookViewId="0">
      <pane ySplit="1" topLeftCell="A2" activePane="bottomLeft" state="frozen"/>
      <selection activeCell="B1" sqref="B1"/>
      <selection pane="bottomLeft" activeCell="B1" sqref="B1"/>
    </sheetView>
  </sheetViews>
  <sheetFormatPr defaultRowHeight="12.75" x14ac:dyDescent="0.2"/>
  <cols>
    <col min="1" max="1" width="85.85546875" customWidth="1"/>
  </cols>
  <sheetData>
    <row r="1" spans="1:1" x14ac:dyDescent="0.2">
      <c r="A1" s="36" t="s">
        <v>282</v>
      </c>
    </row>
    <row r="2" spans="1:1" x14ac:dyDescent="0.2">
      <c r="A2" s="183"/>
    </row>
    <row r="3" spans="1:1" x14ac:dyDescent="0.2">
      <c r="A3" s="183" t="s">
        <v>228</v>
      </c>
    </row>
    <row r="4" spans="1:1" x14ac:dyDescent="0.2">
      <c r="A4" s="183"/>
    </row>
    <row r="5" spans="1:1" x14ac:dyDescent="0.2">
      <c r="A5" s="183" t="s">
        <v>229</v>
      </c>
    </row>
    <row r="6" spans="1:1" ht="51" x14ac:dyDescent="0.2">
      <c r="A6" s="183" t="s">
        <v>230</v>
      </c>
    </row>
    <row r="7" spans="1:1" ht="38.25" x14ac:dyDescent="0.2">
      <c r="A7" s="183" t="s">
        <v>231</v>
      </c>
    </row>
    <row r="8" spans="1:1" x14ac:dyDescent="0.2">
      <c r="A8" s="183"/>
    </row>
    <row r="9" spans="1:1" x14ac:dyDescent="0.2">
      <c r="A9" s="183" t="s">
        <v>232</v>
      </c>
    </row>
    <row r="10" spans="1:1" ht="25.5" x14ac:dyDescent="0.2">
      <c r="A10" s="183" t="s">
        <v>233</v>
      </c>
    </row>
    <row r="11" spans="1:1" ht="25.5" x14ac:dyDescent="0.2">
      <c r="A11" s="183" t="s">
        <v>234</v>
      </c>
    </row>
    <row r="12" spans="1:1" ht="38.25" x14ac:dyDescent="0.2">
      <c r="A12" s="183" t="s">
        <v>235</v>
      </c>
    </row>
    <row r="13" spans="1:1" ht="51" x14ac:dyDescent="0.2">
      <c r="A13" s="183" t="s">
        <v>236</v>
      </c>
    </row>
    <row r="14" spans="1:1" ht="25.5" x14ac:dyDescent="0.2">
      <c r="A14" s="183" t="s">
        <v>237</v>
      </c>
    </row>
    <row r="15" spans="1:1" x14ac:dyDescent="0.2">
      <c r="A15" s="183" t="s">
        <v>238</v>
      </c>
    </row>
    <row r="16" spans="1:1" ht="25.5" x14ac:dyDescent="0.2">
      <c r="A16" s="183" t="s">
        <v>239</v>
      </c>
    </row>
    <row r="17" spans="1:1" x14ac:dyDescent="0.2">
      <c r="A17" s="183"/>
    </row>
    <row r="18" spans="1:1" x14ac:dyDescent="0.2">
      <c r="A18" s="183" t="s">
        <v>240</v>
      </c>
    </row>
    <row r="19" spans="1:1" ht="25.5" x14ac:dyDescent="0.2">
      <c r="A19" s="183" t="s">
        <v>241</v>
      </c>
    </row>
    <row r="20" spans="1:1" ht="25.5" x14ac:dyDescent="0.2">
      <c r="A20" s="183" t="s">
        <v>242</v>
      </c>
    </row>
    <row r="21" spans="1:1" x14ac:dyDescent="0.2">
      <c r="A21" s="183" t="s">
        <v>243</v>
      </c>
    </row>
    <row r="22" spans="1:1" x14ac:dyDescent="0.2">
      <c r="A22" s="183" t="s">
        <v>244</v>
      </c>
    </row>
    <row r="23" spans="1:1" x14ac:dyDescent="0.2">
      <c r="A23" s="183"/>
    </row>
    <row r="24" spans="1:1" x14ac:dyDescent="0.2">
      <c r="A24" s="183" t="s">
        <v>245</v>
      </c>
    </row>
    <row r="25" spans="1:1" x14ac:dyDescent="0.2">
      <c r="A25" s="183" t="s">
        <v>286</v>
      </c>
    </row>
    <row r="26" spans="1:1" x14ac:dyDescent="0.2">
      <c r="A26" s="183" t="s">
        <v>246</v>
      </c>
    </row>
    <row r="27" spans="1:1" x14ac:dyDescent="0.2">
      <c r="A27" s="183" t="s">
        <v>287</v>
      </c>
    </row>
    <row r="28" spans="1:1" x14ac:dyDescent="0.2">
      <c r="A28" s="183" t="s">
        <v>288</v>
      </c>
    </row>
    <row r="29" spans="1:1" x14ac:dyDescent="0.2">
      <c r="A29" s="183" t="s">
        <v>289</v>
      </c>
    </row>
    <row r="30" spans="1:1" x14ac:dyDescent="0.2">
      <c r="A30" s="183"/>
    </row>
    <row r="31" spans="1:1" x14ac:dyDescent="0.2">
      <c r="A31" s="183" t="s">
        <v>247</v>
      </c>
    </row>
    <row r="32" spans="1:1" x14ac:dyDescent="0.2">
      <c r="A32" s="183" t="s">
        <v>290</v>
      </c>
    </row>
    <row r="33" spans="1:1" x14ac:dyDescent="0.2">
      <c r="A33" s="183" t="s">
        <v>248</v>
      </c>
    </row>
    <row r="34" spans="1:1" x14ac:dyDescent="0.2">
      <c r="A34" s="183" t="s">
        <v>291</v>
      </c>
    </row>
    <row r="35" spans="1:1" x14ac:dyDescent="0.2">
      <c r="A35" s="183" t="s">
        <v>292</v>
      </c>
    </row>
    <row r="36" spans="1:1" x14ac:dyDescent="0.2">
      <c r="A36" s="183" t="s">
        <v>249</v>
      </c>
    </row>
    <row r="37" spans="1:1" ht="25.5" x14ac:dyDescent="0.2">
      <c r="A37" s="183" t="s">
        <v>250</v>
      </c>
    </row>
    <row r="38" spans="1:1" x14ac:dyDescent="0.2">
      <c r="A38" s="183"/>
    </row>
    <row r="39" spans="1:1" x14ac:dyDescent="0.2">
      <c r="A39" s="183" t="s">
        <v>251</v>
      </c>
    </row>
    <row r="40" spans="1:1" ht="38.25" x14ac:dyDescent="0.2">
      <c r="A40" s="183" t="s">
        <v>252</v>
      </c>
    </row>
    <row r="41" spans="1:1" ht="51" x14ac:dyDescent="0.2">
      <c r="A41" s="183" t="s">
        <v>253</v>
      </c>
    </row>
    <row r="42" spans="1:1" x14ac:dyDescent="0.2">
      <c r="A42" s="183"/>
    </row>
    <row r="43" spans="1:1" x14ac:dyDescent="0.2">
      <c r="A43" s="183" t="s">
        <v>254</v>
      </c>
    </row>
    <row r="44" spans="1:1" ht="63.75" x14ac:dyDescent="0.2">
      <c r="A44" s="183" t="s">
        <v>255</v>
      </c>
    </row>
    <row r="45" spans="1:1" ht="25.5" x14ac:dyDescent="0.2">
      <c r="A45" s="183" t="s">
        <v>256</v>
      </c>
    </row>
    <row r="46" spans="1:1" x14ac:dyDescent="0.2">
      <c r="A46" s="183"/>
    </row>
    <row r="47" spans="1:1" x14ac:dyDescent="0.2">
      <c r="A47" s="183" t="s">
        <v>257</v>
      </c>
    </row>
    <row r="48" spans="1:1" x14ac:dyDescent="0.2">
      <c r="A48" s="183" t="s">
        <v>258</v>
      </c>
    </row>
    <row r="49" spans="1:1" ht="38.25" x14ac:dyDescent="0.2">
      <c r="A49" s="183" t="s">
        <v>259</v>
      </c>
    </row>
    <row r="50" spans="1:1" x14ac:dyDescent="0.2">
      <c r="A50" s="183" t="s">
        <v>260</v>
      </c>
    </row>
    <row r="51" spans="1:1" x14ac:dyDescent="0.2">
      <c r="A51" s="183" t="s">
        <v>261</v>
      </c>
    </row>
    <row r="52" spans="1:1" x14ac:dyDescent="0.2">
      <c r="A52" s="183" t="s">
        <v>262</v>
      </c>
    </row>
    <row r="53" spans="1:1" ht="25.5" x14ac:dyDescent="0.2">
      <c r="A53" s="183" t="s">
        <v>263</v>
      </c>
    </row>
    <row r="54" spans="1:1" x14ac:dyDescent="0.2">
      <c r="A54" s="183" t="s">
        <v>264</v>
      </c>
    </row>
    <row r="55" spans="1:1" x14ac:dyDescent="0.2">
      <c r="A55" s="183" t="s">
        <v>265</v>
      </c>
    </row>
    <row r="56" spans="1:1" x14ac:dyDescent="0.2">
      <c r="A56" s="183" t="s">
        <v>266</v>
      </c>
    </row>
    <row r="57" spans="1:1" x14ac:dyDescent="0.2">
      <c r="A57" s="183" t="s">
        <v>267</v>
      </c>
    </row>
    <row r="58" spans="1:1" x14ac:dyDescent="0.2">
      <c r="A58" s="183" t="s">
        <v>284</v>
      </c>
    </row>
    <row r="59" spans="1:1" x14ac:dyDescent="0.2">
      <c r="A59" s="183" t="s">
        <v>268</v>
      </c>
    </row>
    <row r="60" spans="1:1" x14ac:dyDescent="0.2">
      <c r="A60" s="183" t="s">
        <v>269</v>
      </c>
    </row>
    <row r="61" spans="1:1" x14ac:dyDescent="0.2">
      <c r="A61" s="183" t="s">
        <v>270</v>
      </c>
    </row>
    <row r="62" spans="1:1" x14ac:dyDescent="0.2">
      <c r="A62" s="183" t="s">
        <v>285</v>
      </c>
    </row>
    <row r="63" spans="1:1" ht="38.25" x14ac:dyDescent="0.2">
      <c r="A63" s="183" t="s">
        <v>271</v>
      </c>
    </row>
    <row r="64" spans="1:1" ht="25.5" x14ac:dyDescent="0.2">
      <c r="A64" s="183" t="s">
        <v>272</v>
      </c>
    </row>
    <row r="65" spans="1:1" ht="25.5" x14ac:dyDescent="0.2">
      <c r="A65" s="183" t="s">
        <v>273</v>
      </c>
    </row>
    <row r="66" spans="1:1" ht="38.25" x14ac:dyDescent="0.2">
      <c r="A66" s="183" t="s">
        <v>274</v>
      </c>
    </row>
    <row r="67" spans="1:1" ht="25.5" x14ac:dyDescent="0.2">
      <c r="A67" s="183" t="s">
        <v>275</v>
      </c>
    </row>
    <row r="68" spans="1:1" x14ac:dyDescent="0.2">
      <c r="A68" s="183"/>
    </row>
    <row r="69" spans="1:1" x14ac:dyDescent="0.2">
      <c r="A69" s="183" t="s">
        <v>276</v>
      </c>
    </row>
    <row r="70" spans="1:1" x14ac:dyDescent="0.2">
      <c r="A70" s="183" t="s">
        <v>277</v>
      </c>
    </row>
    <row r="71" spans="1:1" ht="25.5" x14ac:dyDescent="0.2">
      <c r="A71" s="183" t="s">
        <v>278</v>
      </c>
    </row>
    <row r="72" spans="1:1" ht="25.5" x14ac:dyDescent="0.2">
      <c r="A72" s="183" t="s">
        <v>279</v>
      </c>
    </row>
    <row r="73" spans="1:1" ht="25.5" x14ac:dyDescent="0.2">
      <c r="A73" s="183" t="s">
        <v>280</v>
      </c>
    </row>
    <row r="74" spans="1:1" ht="25.5" x14ac:dyDescent="0.2">
      <c r="A74" s="183" t="s">
        <v>283</v>
      </c>
    </row>
    <row r="75" spans="1:1" x14ac:dyDescent="0.2">
      <c r="A75" s="183"/>
    </row>
    <row r="76" spans="1:1" x14ac:dyDescent="0.2">
      <c r="A76" s="183" t="s">
        <v>167</v>
      </c>
    </row>
    <row r="77" spans="1:1" x14ac:dyDescent="0.2">
      <c r="A77" s="183" t="s">
        <v>281</v>
      </c>
    </row>
  </sheetData>
  <pageMargins left="0.78740157480314965" right="0.78740157480314965" top="0.78740157480314965" bottom="0.39370078740157483" header="0.59055118110236227" footer="0.31496062992125984"/>
  <pageSetup paperSize="9" fitToHeight="0" orientation="portrait" verticalDpi="0" r:id="rId1"/>
  <headerFooter>
    <oddHeader>&amp;RPage &amp;P of &amp;N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C1" sqref="C1"/>
    </sheetView>
  </sheetViews>
  <sheetFormatPr defaultRowHeight="12.75" x14ac:dyDescent="0.2"/>
  <cols>
    <col min="1" max="16384" width="9.140625" style="415"/>
  </cols>
  <sheetData>
    <row r="1" spans="1:9" x14ac:dyDescent="0.2">
      <c r="A1" s="660">
        <v>173</v>
      </c>
      <c r="E1" s="415" t="s">
        <v>762</v>
      </c>
    </row>
    <row r="2" spans="1:9" x14ac:dyDescent="0.2">
      <c r="A2" s="660">
        <v>158</v>
      </c>
    </row>
    <row r="3" spans="1:9" x14ac:dyDescent="0.2">
      <c r="A3" s="660">
        <v>146</v>
      </c>
      <c r="E3" s="659" t="s">
        <v>758</v>
      </c>
      <c r="F3" s="659"/>
      <c r="G3" s="659"/>
      <c r="H3" s="659"/>
      <c r="I3" s="659"/>
    </row>
    <row r="4" spans="1:9" x14ac:dyDescent="0.2">
      <c r="A4" s="660">
        <v>135</v>
      </c>
    </row>
    <row r="5" spans="1:9" x14ac:dyDescent="0.2">
      <c r="A5" s="660">
        <v>126</v>
      </c>
    </row>
    <row r="6" spans="1:9" x14ac:dyDescent="0.2">
      <c r="A6" s="660">
        <v>119</v>
      </c>
    </row>
    <row r="7" spans="1:9" x14ac:dyDescent="0.2">
      <c r="A7" s="660">
        <v>111</v>
      </c>
    </row>
    <row r="8" spans="1:9" x14ac:dyDescent="0.2">
      <c r="A8" s="660">
        <v>104</v>
      </c>
    </row>
    <row r="9" spans="1:9" x14ac:dyDescent="0.2">
      <c r="A9" s="660">
        <v>96</v>
      </c>
    </row>
    <row r="10" spans="1:9" x14ac:dyDescent="0.2">
      <c r="A10" s="660">
        <v>90</v>
      </c>
    </row>
    <row r="11" spans="1:9" x14ac:dyDescent="0.2">
      <c r="A11" s="660">
        <v>84</v>
      </c>
    </row>
    <row r="12" spans="1:9" x14ac:dyDescent="0.2">
      <c r="A12" s="660">
        <v>78</v>
      </c>
    </row>
    <row r="13" spans="1:9" x14ac:dyDescent="0.2">
      <c r="A13" s="660">
        <v>74</v>
      </c>
    </row>
    <row r="14" spans="1:9" x14ac:dyDescent="0.2">
      <c r="A14" s="660">
        <v>69</v>
      </c>
    </row>
    <row r="15" spans="1:9" x14ac:dyDescent="0.2">
      <c r="A15" s="660">
        <v>65</v>
      </c>
    </row>
    <row r="16" spans="1:9" x14ac:dyDescent="0.2">
      <c r="A16" s="660">
        <v>60</v>
      </c>
    </row>
    <row r="17" spans="1:1" x14ac:dyDescent="0.2">
      <c r="A17" s="660">
        <v>56</v>
      </c>
    </row>
    <row r="18" spans="1:1" x14ac:dyDescent="0.2">
      <c r="A18" s="660">
        <v>51</v>
      </c>
    </row>
    <row r="19" spans="1:1" x14ac:dyDescent="0.2">
      <c r="A19" s="660">
        <v>47</v>
      </c>
    </row>
    <row r="20" spans="1:1" x14ac:dyDescent="0.2">
      <c r="A20" s="660">
        <v>42</v>
      </c>
    </row>
    <row r="21" spans="1:1" x14ac:dyDescent="0.2">
      <c r="A21" s="660">
        <v>38</v>
      </c>
    </row>
    <row r="22" spans="1:1" x14ac:dyDescent="0.2">
      <c r="A22" s="660">
        <v>33</v>
      </c>
    </row>
    <row r="23" spans="1:1" x14ac:dyDescent="0.2">
      <c r="A23" s="660">
        <v>29</v>
      </c>
    </row>
    <row r="24" spans="1:1" x14ac:dyDescent="0.2">
      <c r="A24" s="660">
        <v>24</v>
      </c>
    </row>
    <row r="25" spans="1:1" x14ac:dyDescent="0.2">
      <c r="A25" s="660">
        <v>21</v>
      </c>
    </row>
    <row r="26" spans="1:1" x14ac:dyDescent="0.2">
      <c r="A26" s="660">
        <v>18</v>
      </c>
    </row>
    <row r="27" spans="1:1" x14ac:dyDescent="0.2">
      <c r="A27" s="660">
        <v>16</v>
      </c>
    </row>
    <row r="28" spans="1:1" x14ac:dyDescent="0.2">
      <c r="A28" s="660">
        <v>14</v>
      </c>
    </row>
    <row r="29" spans="1:1" x14ac:dyDescent="0.2">
      <c r="A29" s="660">
        <v>12</v>
      </c>
    </row>
    <row r="30" spans="1:1" x14ac:dyDescent="0.2">
      <c r="A30" s="660">
        <v>10</v>
      </c>
    </row>
    <row r="31" spans="1:1" x14ac:dyDescent="0.2">
      <c r="A31" s="660">
        <v>8</v>
      </c>
    </row>
    <row r="32" spans="1:1" x14ac:dyDescent="0.2">
      <c r="A32" s="660">
        <v>6</v>
      </c>
    </row>
    <row r="33" spans="1:2" x14ac:dyDescent="0.2">
      <c r="A33" s="660">
        <v>3</v>
      </c>
    </row>
    <row r="34" spans="1:2" x14ac:dyDescent="0.2">
      <c r="A34" s="661">
        <v>0</v>
      </c>
      <c r="B34" s="415" t="s">
        <v>759</v>
      </c>
    </row>
    <row r="35" spans="1:2" x14ac:dyDescent="0.2">
      <c r="A35" s="662" t="s">
        <v>760</v>
      </c>
      <c r="B35" s="415" t="s">
        <v>761</v>
      </c>
    </row>
  </sheetData>
  <conditionalFormatting sqref="A34">
    <cfRule type="duplicateValues" dxfId="2" priority="1"/>
  </conditionalFormatting>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election activeCell="D3" sqref="D3"/>
    </sheetView>
  </sheetViews>
  <sheetFormatPr defaultRowHeight="12.75" x14ac:dyDescent="0.2"/>
  <cols>
    <col min="1" max="16384" width="9.140625" style="415"/>
  </cols>
  <sheetData>
    <row r="1" spans="1:4" x14ac:dyDescent="0.2">
      <c r="A1" s="42">
        <v>173</v>
      </c>
      <c r="B1" s="415">
        <v>1</v>
      </c>
      <c r="D1" s="415" t="s">
        <v>763</v>
      </c>
    </row>
    <row r="2" spans="1:4" x14ac:dyDescent="0.2">
      <c r="A2" s="42">
        <v>158</v>
      </c>
      <c r="B2" s="415">
        <v>2</v>
      </c>
    </row>
    <row r="3" spans="1:4" x14ac:dyDescent="0.2">
      <c r="A3" s="42">
        <v>146</v>
      </c>
      <c r="B3" s="415">
        <v>3</v>
      </c>
    </row>
    <row r="4" spans="1:4" x14ac:dyDescent="0.2">
      <c r="A4" s="42">
        <v>135</v>
      </c>
      <c r="B4" s="415">
        <v>4</v>
      </c>
    </row>
    <row r="5" spans="1:4" x14ac:dyDescent="0.2">
      <c r="A5" s="42">
        <v>126</v>
      </c>
      <c r="B5" s="415">
        <v>5</v>
      </c>
    </row>
    <row r="6" spans="1:4" x14ac:dyDescent="0.2">
      <c r="A6" s="42">
        <v>119</v>
      </c>
      <c r="B6" s="415">
        <v>6</v>
      </c>
    </row>
    <row r="7" spans="1:4" x14ac:dyDescent="0.2">
      <c r="A7" s="42">
        <v>115</v>
      </c>
      <c r="B7" s="415">
        <v>7</v>
      </c>
    </row>
    <row r="8" spans="1:4" x14ac:dyDescent="0.2">
      <c r="A8" s="42">
        <v>111</v>
      </c>
      <c r="B8" s="415">
        <v>8</v>
      </c>
    </row>
    <row r="9" spans="1:4" x14ac:dyDescent="0.2">
      <c r="A9" s="42">
        <v>105</v>
      </c>
      <c r="B9" s="415">
        <v>9</v>
      </c>
    </row>
    <row r="10" spans="1:4" x14ac:dyDescent="0.2">
      <c r="A10" s="42">
        <v>104</v>
      </c>
      <c r="B10" s="415">
        <v>10</v>
      </c>
    </row>
    <row r="11" spans="1:4" x14ac:dyDescent="0.2">
      <c r="A11" s="42">
        <v>97</v>
      </c>
      <c r="B11" s="415">
        <v>11</v>
      </c>
    </row>
    <row r="12" spans="1:4" x14ac:dyDescent="0.2">
      <c r="A12" s="42">
        <v>96</v>
      </c>
      <c r="B12" s="415">
        <v>12</v>
      </c>
    </row>
    <row r="13" spans="1:4" x14ac:dyDescent="0.2">
      <c r="A13" s="42">
        <v>93</v>
      </c>
      <c r="B13" s="415">
        <v>13</v>
      </c>
    </row>
    <row r="14" spans="1:4" x14ac:dyDescent="0.2">
      <c r="A14" s="42">
        <v>90</v>
      </c>
      <c r="B14" s="415">
        <v>14</v>
      </c>
    </row>
    <row r="15" spans="1:4" x14ac:dyDescent="0.2">
      <c r="A15" s="42">
        <v>84</v>
      </c>
      <c r="B15" s="415">
        <v>15</v>
      </c>
    </row>
    <row r="16" spans="1:4" x14ac:dyDescent="0.2">
      <c r="A16" s="42">
        <v>83</v>
      </c>
      <c r="B16" s="415">
        <v>16</v>
      </c>
    </row>
    <row r="17" spans="1:2" x14ac:dyDescent="0.2">
      <c r="A17" s="42">
        <v>79</v>
      </c>
      <c r="B17" s="415">
        <v>17</v>
      </c>
    </row>
    <row r="18" spans="1:2" x14ac:dyDescent="0.2">
      <c r="A18" s="42">
        <v>78</v>
      </c>
      <c r="B18" s="415">
        <v>18</v>
      </c>
    </row>
    <row r="19" spans="1:2" x14ac:dyDescent="0.2">
      <c r="A19" s="42">
        <v>74</v>
      </c>
      <c r="B19" s="415">
        <v>19</v>
      </c>
    </row>
    <row r="20" spans="1:2" x14ac:dyDescent="0.2">
      <c r="A20" s="42">
        <v>69</v>
      </c>
      <c r="B20" s="415">
        <v>20</v>
      </c>
    </row>
    <row r="21" spans="1:2" x14ac:dyDescent="0.2">
      <c r="A21" s="42">
        <v>65</v>
      </c>
      <c r="B21" s="415">
        <v>21</v>
      </c>
    </row>
    <row r="22" spans="1:2" x14ac:dyDescent="0.2">
      <c r="A22" s="42">
        <v>64</v>
      </c>
      <c r="B22" s="415">
        <v>22</v>
      </c>
    </row>
    <row r="23" spans="1:2" x14ac:dyDescent="0.2">
      <c r="A23" s="42">
        <v>60</v>
      </c>
      <c r="B23" s="415">
        <v>23</v>
      </c>
    </row>
    <row r="24" spans="1:2" x14ac:dyDescent="0.2">
      <c r="A24" s="42">
        <v>57</v>
      </c>
      <c r="B24" s="415">
        <v>24</v>
      </c>
    </row>
    <row r="25" spans="1:2" x14ac:dyDescent="0.2">
      <c r="A25" s="42">
        <v>56</v>
      </c>
      <c r="B25" s="415">
        <v>25</v>
      </c>
    </row>
    <row r="26" spans="1:2" x14ac:dyDescent="0.2">
      <c r="A26" s="42">
        <v>53</v>
      </c>
      <c r="B26" s="415">
        <v>26</v>
      </c>
    </row>
    <row r="27" spans="1:2" x14ac:dyDescent="0.2">
      <c r="A27" s="42">
        <v>52</v>
      </c>
      <c r="B27" s="415">
        <v>27</v>
      </c>
    </row>
    <row r="28" spans="1:2" x14ac:dyDescent="0.2">
      <c r="A28" s="42">
        <v>51</v>
      </c>
      <c r="B28" s="415">
        <v>28</v>
      </c>
    </row>
    <row r="29" spans="1:2" x14ac:dyDescent="0.2">
      <c r="A29" s="42">
        <v>50</v>
      </c>
      <c r="B29" s="415">
        <v>29</v>
      </c>
    </row>
    <row r="30" spans="1:2" x14ac:dyDescent="0.2">
      <c r="A30" s="42">
        <v>49</v>
      </c>
      <c r="B30" s="415">
        <v>30</v>
      </c>
    </row>
    <row r="31" spans="1:2" x14ac:dyDescent="0.2">
      <c r="A31" s="42">
        <v>47</v>
      </c>
      <c r="B31" s="415">
        <v>31</v>
      </c>
    </row>
    <row r="32" spans="1:2" x14ac:dyDescent="0.2">
      <c r="A32" s="42">
        <v>46</v>
      </c>
      <c r="B32" s="415">
        <v>32</v>
      </c>
    </row>
    <row r="33" spans="1:2" x14ac:dyDescent="0.2">
      <c r="A33" s="42">
        <v>43</v>
      </c>
      <c r="B33" s="415">
        <v>33</v>
      </c>
    </row>
    <row r="34" spans="1:2" x14ac:dyDescent="0.2">
      <c r="A34" s="42">
        <v>42</v>
      </c>
      <c r="B34" s="415">
        <v>34</v>
      </c>
    </row>
    <row r="35" spans="1:2" x14ac:dyDescent="0.2">
      <c r="A35" s="42">
        <v>40</v>
      </c>
      <c r="B35" s="415">
        <v>35</v>
      </c>
    </row>
    <row r="36" spans="1:2" x14ac:dyDescent="0.2">
      <c r="A36" s="42">
        <v>38</v>
      </c>
      <c r="B36" s="415">
        <v>36</v>
      </c>
    </row>
    <row r="37" spans="1:2" x14ac:dyDescent="0.2">
      <c r="A37" s="42">
        <v>37</v>
      </c>
      <c r="B37" s="415">
        <v>37</v>
      </c>
    </row>
    <row r="38" spans="1:2" x14ac:dyDescent="0.2">
      <c r="A38" s="42">
        <v>35</v>
      </c>
      <c r="B38" s="415">
        <v>38</v>
      </c>
    </row>
    <row r="39" spans="1:2" x14ac:dyDescent="0.2">
      <c r="A39" s="42">
        <v>34</v>
      </c>
      <c r="B39" s="415">
        <v>39</v>
      </c>
    </row>
    <row r="40" spans="1:2" x14ac:dyDescent="0.2">
      <c r="A40" s="42">
        <v>33</v>
      </c>
      <c r="B40" s="415">
        <v>40</v>
      </c>
    </row>
    <row r="41" spans="1:2" x14ac:dyDescent="0.2">
      <c r="A41" s="42">
        <v>31</v>
      </c>
      <c r="B41" s="415">
        <v>41</v>
      </c>
    </row>
    <row r="42" spans="1:2" x14ac:dyDescent="0.2">
      <c r="A42" s="42">
        <v>29</v>
      </c>
      <c r="B42" s="415">
        <v>42</v>
      </c>
    </row>
    <row r="43" spans="1:2" x14ac:dyDescent="0.2">
      <c r="A43" s="42">
        <v>28</v>
      </c>
      <c r="B43" s="415">
        <v>43</v>
      </c>
    </row>
    <row r="44" spans="1:2" x14ac:dyDescent="0.2">
      <c r="A44" s="42">
        <v>27</v>
      </c>
      <c r="B44" s="415">
        <v>44</v>
      </c>
    </row>
    <row r="45" spans="1:2" x14ac:dyDescent="0.2">
      <c r="A45" s="42">
        <v>25</v>
      </c>
      <c r="B45" s="415">
        <v>45</v>
      </c>
    </row>
    <row r="46" spans="1:2" x14ac:dyDescent="0.2">
      <c r="A46" s="42">
        <v>24</v>
      </c>
      <c r="B46" s="415">
        <v>46</v>
      </c>
    </row>
    <row r="47" spans="1:2" x14ac:dyDescent="0.2">
      <c r="A47" s="42">
        <v>23</v>
      </c>
      <c r="B47" s="415">
        <v>47</v>
      </c>
    </row>
    <row r="48" spans="1:2" x14ac:dyDescent="0.2">
      <c r="A48" s="42">
        <v>22</v>
      </c>
      <c r="B48" s="415">
        <v>48</v>
      </c>
    </row>
    <row r="49" spans="1:2" x14ac:dyDescent="0.2">
      <c r="A49" s="42">
        <v>21</v>
      </c>
      <c r="B49" s="415">
        <v>49</v>
      </c>
    </row>
    <row r="50" spans="1:2" x14ac:dyDescent="0.2">
      <c r="A50" s="42">
        <v>19</v>
      </c>
      <c r="B50" s="415">
        <v>50</v>
      </c>
    </row>
    <row r="51" spans="1:2" x14ac:dyDescent="0.2">
      <c r="A51" s="42">
        <v>18</v>
      </c>
      <c r="B51" s="415">
        <v>51</v>
      </c>
    </row>
    <row r="52" spans="1:2" x14ac:dyDescent="0.2">
      <c r="A52" s="42">
        <v>17</v>
      </c>
      <c r="B52" s="415">
        <v>52</v>
      </c>
    </row>
    <row r="53" spans="1:2" x14ac:dyDescent="0.2">
      <c r="A53" s="42">
        <v>16</v>
      </c>
      <c r="B53" s="415">
        <v>53</v>
      </c>
    </row>
    <row r="54" spans="1:2" x14ac:dyDescent="0.2">
      <c r="A54" s="42">
        <v>14</v>
      </c>
      <c r="B54" s="415">
        <v>54</v>
      </c>
    </row>
    <row r="55" spans="1:2" x14ac:dyDescent="0.2">
      <c r="A55" s="42">
        <v>12</v>
      </c>
      <c r="B55" s="415">
        <v>55</v>
      </c>
    </row>
    <row r="56" spans="1:2" x14ac:dyDescent="0.2">
      <c r="A56" s="42">
        <v>10</v>
      </c>
      <c r="B56" s="415">
        <v>56</v>
      </c>
    </row>
    <row r="57" spans="1:2" x14ac:dyDescent="0.2">
      <c r="A57" s="42">
        <v>9</v>
      </c>
      <c r="B57" s="415">
        <v>57</v>
      </c>
    </row>
    <row r="58" spans="1:2" x14ac:dyDescent="0.2">
      <c r="A58" s="42">
        <v>8</v>
      </c>
      <c r="B58" s="415">
        <v>58</v>
      </c>
    </row>
    <row r="59" spans="1:2" x14ac:dyDescent="0.2">
      <c r="A59" s="42">
        <v>6</v>
      </c>
      <c r="B59" s="415">
        <v>59</v>
      </c>
    </row>
    <row r="60" spans="1:2" x14ac:dyDescent="0.2">
      <c r="A60" s="42">
        <v>5</v>
      </c>
      <c r="B60" s="415">
        <v>60</v>
      </c>
    </row>
    <row r="61" spans="1:2" x14ac:dyDescent="0.2">
      <c r="A61" s="42">
        <v>4</v>
      </c>
      <c r="B61" s="415">
        <v>61</v>
      </c>
    </row>
    <row r="62" spans="1:2" x14ac:dyDescent="0.2">
      <c r="A62" s="42">
        <v>3</v>
      </c>
      <c r="B62" s="415">
        <v>62</v>
      </c>
    </row>
    <row r="63" spans="1:2" x14ac:dyDescent="0.2">
      <c r="A63" s="42">
        <v>2</v>
      </c>
      <c r="B63" s="415">
        <v>63</v>
      </c>
    </row>
    <row r="64" spans="1:2" x14ac:dyDescent="0.2">
      <c r="A64" s="42">
        <v>1</v>
      </c>
      <c r="B64" s="415">
        <v>64</v>
      </c>
    </row>
    <row r="65" spans="1:3" x14ac:dyDescent="0.2">
      <c r="A65" s="661">
        <v>0</v>
      </c>
      <c r="B65" s="415">
        <v>65</v>
      </c>
      <c r="C65" s="415" t="s">
        <v>759</v>
      </c>
    </row>
    <row r="66" spans="1:3" x14ac:dyDescent="0.2">
      <c r="A66" s="662" t="s">
        <v>760</v>
      </c>
      <c r="C66" s="415" t="s">
        <v>761</v>
      </c>
    </row>
  </sheetData>
  <conditionalFormatting sqref="A1:A64">
    <cfRule type="duplicateValues" dxfId="1" priority="2"/>
  </conditionalFormatting>
  <conditionalFormatting sqref="A65">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26</vt:i4>
      </vt:variant>
    </vt:vector>
  </HeadingPairs>
  <TitlesOfParts>
    <vt:vector size="57" baseType="lpstr">
      <vt:lpstr>Kalend</vt:lpstr>
      <vt:lpstr>Üldreiting</vt:lpstr>
      <vt:lpstr>1</vt:lpstr>
      <vt:lpstr>2</vt:lpstr>
      <vt:lpstr>3Mb</vt:lpstr>
      <vt:lpstr>3M</vt:lpstr>
      <vt:lpstr>3Nb</vt:lpstr>
      <vt:lpstr>3Na (2)</vt:lpstr>
      <vt:lpstr>3N</vt:lpstr>
      <vt:lpstr>3J</vt:lpstr>
      <vt:lpstr>3Ja</vt:lpstr>
      <vt:lpstr>4</vt:lpstr>
      <vt:lpstr>5</vt:lpstr>
      <vt:lpstr>6</vt:lpstr>
      <vt:lpstr>7</vt:lpstr>
      <vt:lpstr>KV-2</vt:lpstr>
      <vt:lpstr>KV-F</vt:lpstr>
      <vt:lpstr>8M</vt:lpstr>
      <vt:lpstr>8N</vt:lpstr>
      <vt:lpstr>9</vt:lpstr>
      <vt:lpstr>10</vt:lpstr>
      <vt:lpstr>11</vt:lpstr>
      <vt:lpstr>12</vt:lpstr>
      <vt:lpstr>Ee-So</vt:lpstr>
      <vt:lpstr>Juhend</vt:lpstr>
      <vt:lpstr>Arvestus</vt:lpstr>
      <vt:lpstr>Punktid</vt:lpstr>
      <vt:lpstr>Litsentsid</vt:lpstr>
      <vt:lpstr>KV juhend</vt:lpstr>
      <vt:lpstr>PEMV</vt:lpstr>
      <vt:lpstr>P-EV</vt:lpstr>
      <vt:lpstr>'10'!Print_Area</vt:lpstr>
      <vt:lpstr>'Ee-So'!Print_Area</vt:lpstr>
      <vt:lpstr>'1'!Print_Titles</vt:lpstr>
      <vt:lpstr>'10'!Print_Titles</vt:lpstr>
      <vt:lpstr>'11'!Print_Titles</vt:lpstr>
      <vt:lpstr>'12'!Print_Titles</vt:lpstr>
      <vt:lpstr>'2'!Print_Titles</vt:lpstr>
      <vt:lpstr>'3J'!Print_Titles</vt:lpstr>
      <vt:lpstr>'3Ja'!Print_Titles</vt:lpstr>
      <vt:lpstr>'3M'!Print_Titles</vt:lpstr>
      <vt:lpstr>'3Mb'!Print_Titles</vt:lpstr>
      <vt:lpstr>'3N'!Print_Titles</vt:lpstr>
      <vt:lpstr>'3Na (2)'!Print_Titles</vt:lpstr>
      <vt:lpstr>'3Nb'!Print_Titles</vt:lpstr>
      <vt:lpstr>'4'!Print_Titles</vt:lpstr>
      <vt:lpstr>'5'!Print_Titles</vt:lpstr>
      <vt:lpstr>'6'!Print_Titles</vt:lpstr>
      <vt:lpstr>'7'!Print_Titles</vt:lpstr>
      <vt:lpstr>'8M'!Print_Titles</vt:lpstr>
      <vt:lpstr>'8N'!Print_Titles</vt:lpstr>
      <vt:lpstr>'9'!Print_Titles</vt:lpstr>
      <vt:lpstr>'Ee-So'!Print_Titles</vt:lpstr>
      <vt:lpstr>Kalend!Print_Titles</vt:lpstr>
      <vt:lpstr>'KV-2'!Print_Titles</vt:lpstr>
      <vt:lpstr>'KV-F'!Print_Titles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2016-05-19T09:19:44Z</dcterms:created>
  <dcterms:modified xsi:type="dcterms:W3CDTF">2019-04-29T17:41:11Z</dcterms:modified>
</cp:coreProperties>
</file>