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800" yWindow="-15" windowWidth="11400" windowHeight="8070" tabRatio="894" activeTab="1"/>
  </bookViews>
  <sheets>
    <sheet name="Kalend" sheetId="36" r:id="rId1"/>
    <sheet name="Üldreiting" sheetId="44" r:id="rId2"/>
    <sheet name="1" sheetId="11" r:id="rId3"/>
    <sheet name="KV-1" sheetId="55" r:id="rId4"/>
    <sheet name="2" sheetId="58" r:id="rId5"/>
    <sheet name="3" sheetId="60" r:id="rId6"/>
    <sheet name="4M" sheetId="13" r:id="rId7"/>
    <sheet name="4N" sheetId="31" r:id="rId8"/>
    <sheet name="4J" sheetId="32" r:id="rId9"/>
    <sheet name="5M" sheetId="62" r:id="rId10"/>
    <sheet name="5Ma" sheetId="50" state="hidden" r:id="rId11"/>
    <sheet name="5Mb" sheetId="61" r:id="rId12"/>
    <sheet name="5N" sheetId="63" r:id="rId13"/>
    <sheet name="5Na" sheetId="51" state="hidden" r:id="rId14"/>
    <sheet name="5J" sheetId="64" state="hidden" r:id="rId15"/>
    <sheet name="5Ja" sheetId="53" state="hidden" r:id="rId16"/>
    <sheet name="KV-2" sheetId="66" r:id="rId17"/>
    <sheet name="KV-F" sheetId="57" r:id="rId18"/>
    <sheet name="6" sheetId="16" r:id="rId19"/>
    <sheet name="7" sheetId="17" r:id="rId20"/>
    <sheet name="8" sheetId="65" r:id="rId21"/>
    <sheet name="9" sheetId="19" r:id="rId22"/>
    <sheet name="10" sheetId="20" r:id="rId23"/>
    <sheet name="11" sheetId="21" r:id="rId24"/>
    <sheet name="12" sheetId="22" r:id="rId25"/>
    <sheet name="3 (2)" sheetId="59" state="hidden" r:id="rId26"/>
    <sheet name="Ee-So" sheetId="49" r:id="rId27"/>
    <sheet name="Juhend" sheetId="28" r:id="rId28"/>
    <sheet name="Arvestus" sheetId="27" r:id="rId29"/>
    <sheet name="Punktid" sheetId="30" r:id="rId30"/>
    <sheet name="Litsentsid" sheetId="38" r:id="rId31"/>
    <sheet name="KV juhend" sheetId="52" r:id="rId32"/>
  </sheets>
  <definedNames>
    <definedName name="_xlnm._FilterDatabase" localSheetId="0" hidden="1">Kalend!$A$4:$J$26</definedName>
    <definedName name="_xlnm._FilterDatabase" localSheetId="1" hidden="1">Üldreiting!$A$8:$AS$163</definedName>
    <definedName name="Nimed" localSheetId="4">#REF!</definedName>
    <definedName name="Nimed" localSheetId="5">#REF!</definedName>
    <definedName name="Nimed" localSheetId="25">#REF!</definedName>
    <definedName name="Nimed" localSheetId="14">#REF!</definedName>
    <definedName name="Nimed" localSheetId="15">#REF!</definedName>
    <definedName name="Nimed" localSheetId="9">#REF!</definedName>
    <definedName name="Nimed" localSheetId="10">#REF!</definedName>
    <definedName name="Nimed" localSheetId="11">#REF!</definedName>
    <definedName name="Nimed" localSheetId="12">#REF!</definedName>
    <definedName name="Nimed" localSheetId="13">#REF!</definedName>
    <definedName name="Nimed" localSheetId="20">#REF!</definedName>
    <definedName name="Nimed" localSheetId="3">#REF!</definedName>
    <definedName name="Nimed" localSheetId="16">#REF!</definedName>
    <definedName name="Nimed" localSheetId="17">#REF!</definedName>
    <definedName name="Nimed">#REF!</definedName>
    <definedName name="_xlnm.Print_Area" localSheetId="28">Arvestus!#REF!</definedName>
    <definedName name="_xlnm.Print_Area" localSheetId="26">'Ee-So'!$A$1:$I$63</definedName>
    <definedName name="_xlnm.Print_Titles" localSheetId="2">'1'!$1:$2</definedName>
    <definedName name="_xlnm.Print_Titles" localSheetId="22">'10'!$1:$2</definedName>
    <definedName name="_xlnm.Print_Titles" localSheetId="23">'11'!$1:$2</definedName>
    <definedName name="_xlnm.Print_Titles" localSheetId="24">'12'!$1:$2</definedName>
    <definedName name="_xlnm.Print_Titles" localSheetId="4">'2'!$1:$2</definedName>
    <definedName name="_xlnm.Print_Titles" localSheetId="5">'3'!$1:$2</definedName>
    <definedName name="_xlnm.Print_Titles" localSheetId="25">'3 (2)'!$1:$2</definedName>
    <definedName name="_xlnm.Print_Titles" localSheetId="8">'4J'!$1:$2</definedName>
    <definedName name="_xlnm.Print_Titles" localSheetId="6">'4M'!$1:$2</definedName>
    <definedName name="_xlnm.Print_Titles" localSheetId="7">'4N'!$1:$2</definedName>
    <definedName name="_xlnm.Print_Titles" localSheetId="14">'5J'!$1:$2</definedName>
    <definedName name="_xlnm.Print_Titles" localSheetId="15">'5Ja'!$1:$2</definedName>
    <definedName name="_xlnm.Print_Titles" localSheetId="9">'5M'!$1:$2</definedName>
    <definedName name="_xlnm.Print_Titles" localSheetId="10">'5Ma'!$1:$2</definedName>
    <definedName name="_xlnm.Print_Titles" localSheetId="11">'5Mb'!$1:$7</definedName>
    <definedName name="_xlnm.Print_Titles" localSheetId="12">'5N'!$1:$2</definedName>
    <definedName name="_xlnm.Print_Titles" localSheetId="13">'5Na'!$1:$2</definedName>
    <definedName name="_xlnm.Print_Titles" localSheetId="18">'6'!$1:$2</definedName>
    <definedName name="_xlnm.Print_Titles" localSheetId="19">'7'!$1:$2</definedName>
    <definedName name="_xlnm.Print_Titles" localSheetId="20">'8'!$1:$2</definedName>
    <definedName name="_xlnm.Print_Titles" localSheetId="21">'9'!$1:$2</definedName>
    <definedName name="_xlnm.Print_Titles" localSheetId="26">'Ee-So'!$1:$2</definedName>
    <definedName name="_xlnm.Print_Titles" localSheetId="0">Kalend!$1:$1</definedName>
    <definedName name="_xlnm.Print_Titles" localSheetId="3">'KV-1'!$1:$2</definedName>
    <definedName name="_xlnm.Print_Titles" localSheetId="16">'KV-2'!$1:$2</definedName>
    <definedName name="_xlnm.Print_Titles" localSheetId="17">'KV-F'!$1:$2</definedName>
    <definedName name="_xlnm.Print_Titles" localSheetId="1">Üldreiting!$1:$8</definedName>
    <definedName name="sd" localSheetId="14">#REF!</definedName>
    <definedName name="sd" localSheetId="9">#REF!</definedName>
    <definedName name="sd" localSheetId="11">#REF!</definedName>
    <definedName name="sd" localSheetId="12">#REF!</definedName>
    <definedName name="sd" localSheetId="20">#REF!</definedName>
    <definedName name="sd" localSheetId="16">#REF!</definedName>
    <definedName name="sd">#REF!</definedName>
  </definedNames>
  <calcPr calcId="145621"/>
</workbook>
</file>

<file path=xl/calcChain.xml><?xml version="1.0" encoding="utf-8"?>
<calcChain xmlns="http://schemas.openxmlformats.org/spreadsheetml/2006/main">
  <c r="E8" i="36" l="1"/>
  <c r="C8" i="36"/>
  <c r="AE8" i="44" l="1"/>
  <c r="AD8" i="44"/>
  <c r="AB8" i="44"/>
  <c r="AA8" i="44"/>
  <c r="Z8" i="44"/>
  <c r="X8" i="44" l="1"/>
  <c r="F13" i="36" l="1"/>
  <c r="E13" i="36"/>
  <c r="E27" i="36"/>
  <c r="C23" i="36"/>
  <c r="A4" i="66" l="1"/>
  <c r="A3" i="66"/>
  <c r="A2" i="66"/>
  <c r="A1" i="66"/>
  <c r="F1" i="66"/>
  <c r="C27" i="36" l="1"/>
  <c r="H27" i="36" l="1"/>
  <c r="G61" i="49" l="1"/>
  <c r="G60" i="49"/>
  <c r="G59" i="49"/>
  <c r="G58" i="49"/>
  <c r="G57" i="49"/>
  <c r="G56" i="49"/>
  <c r="G51" i="49"/>
  <c r="G50" i="49"/>
  <c r="G49" i="49"/>
  <c r="G48" i="49"/>
  <c r="G47" i="49"/>
  <c r="G46" i="49"/>
  <c r="G41" i="49"/>
  <c r="G40" i="49"/>
  <c r="G39" i="49"/>
  <c r="G38" i="49"/>
  <c r="G37" i="49"/>
  <c r="G36" i="49"/>
  <c r="G31" i="49"/>
  <c r="G30" i="49"/>
  <c r="G29" i="49"/>
  <c r="G28" i="49"/>
  <c r="G27" i="49"/>
  <c r="G26" i="49"/>
  <c r="C61" i="49"/>
  <c r="C60" i="49"/>
  <c r="C59" i="49"/>
  <c r="C58" i="49"/>
  <c r="C57" i="49"/>
  <c r="C56" i="49"/>
  <c r="C51" i="49"/>
  <c r="C50" i="49"/>
  <c r="C49" i="49"/>
  <c r="C48" i="49"/>
  <c r="C47" i="49"/>
  <c r="C46" i="49"/>
  <c r="C41" i="49"/>
  <c r="C40" i="49"/>
  <c r="C39" i="49"/>
  <c r="C38" i="49"/>
  <c r="C37" i="49"/>
  <c r="C36" i="49"/>
  <c r="C31" i="49"/>
  <c r="C30" i="49"/>
  <c r="C29" i="49"/>
  <c r="C28" i="49"/>
  <c r="C27" i="49"/>
  <c r="C26" i="49"/>
  <c r="G21" i="49"/>
  <c r="G20" i="49"/>
  <c r="G19" i="49"/>
  <c r="G18" i="49"/>
  <c r="G17" i="49"/>
  <c r="G16" i="49"/>
  <c r="C21" i="49"/>
  <c r="C20" i="49"/>
  <c r="C19" i="49"/>
  <c r="C18" i="49"/>
  <c r="C17" i="49"/>
  <c r="C16" i="49"/>
  <c r="G8" i="49"/>
  <c r="G9" i="49"/>
  <c r="G10" i="49"/>
  <c r="G11" i="49"/>
  <c r="G12" i="49"/>
  <c r="G7" i="49"/>
  <c r="C8" i="49"/>
  <c r="C9" i="49"/>
  <c r="C10" i="49"/>
  <c r="C11" i="49"/>
  <c r="C12" i="49"/>
  <c r="C7" i="49"/>
  <c r="F62" i="49"/>
  <c r="D62" i="49"/>
  <c r="F52" i="49"/>
  <c r="D52" i="49"/>
  <c r="F42" i="49"/>
  <c r="D42" i="49"/>
  <c r="F32" i="49"/>
  <c r="D32" i="49"/>
  <c r="F22" i="49"/>
  <c r="D22" i="49"/>
  <c r="F13" i="49"/>
  <c r="F23" i="49" s="1"/>
  <c r="F33" i="49" s="1"/>
  <c r="F43" i="49" s="1"/>
  <c r="F53" i="49" s="1"/>
  <c r="F63" i="49" s="1"/>
  <c r="D13" i="49"/>
  <c r="D23" i="49" s="1"/>
  <c r="D33" i="49" s="1"/>
  <c r="D43" i="49" s="1"/>
  <c r="D53" i="49" s="1"/>
  <c r="D63" i="49" s="1"/>
  <c r="G39" i="20" l="1"/>
  <c r="G38" i="20"/>
  <c r="G37" i="20"/>
  <c r="G45" i="20"/>
  <c r="G44" i="20"/>
  <c r="G43" i="20"/>
  <c r="G33" i="20"/>
  <c r="G32" i="20"/>
  <c r="G31" i="20"/>
  <c r="G27" i="20"/>
  <c r="G26" i="20"/>
  <c r="G25" i="20"/>
  <c r="G21" i="20"/>
  <c r="G20" i="20"/>
  <c r="G19" i="20"/>
  <c r="G15" i="20"/>
  <c r="G14" i="20"/>
  <c r="G13" i="20"/>
  <c r="G9" i="20"/>
  <c r="G8" i="20"/>
  <c r="G7" i="20"/>
  <c r="G40" i="17"/>
  <c r="G39" i="17"/>
  <c r="G38" i="17"/>
  <c r="G37" i="17"/>
  <c r="G33" i="17" l="1"/>
  <c r="G32" i="17"/>
  <c r="G31" i="17"/>
  <c r="G27" i="17"/>
  <c r="G26" i="17"/>
  <c r="G25" i="17"/>
  <c r="G22" i="17"/>
  <c r="G21" i="17"/>
  <c r="G20" i="17"/>
  <c r="G19" i="17"/>
  <c r="G15" i="17"/>
  <c r="G14" i="17"/>
  <c r="G13" i="17"/>
  <c r="G9" i="17"/>
  <c r="G8" i="17"/>
  <c r="G7" i="17"/>
  <c r="G48" i="22" l="1"/>
  <c r="G47" i="22"/>
  <c r="G46" i="22"/>
  <c r="G45" i="22"/>
  <c r="G44" i="22"/>
  <c r="G43" i="22"/>
  <c r="G42" i="22"/>
  <c r="G41" i="22"/>
  <c r="G40" i="22"/>
  <c r="G37" i="22"/>
  <c r="G36" i="22"/>
  <c r="G35" i="22"/>
  <c r="G34" i="22"/>
  <c r="G33" i="22"/>
  <c r="G32" i="22"/>
  <c r="G31" i="22"/>
  <c r="G30" i="22"/>
  <c r="G29" i="22"/>
  <c r="G26" i="22"/>
  <c r="G25" i="22"/>
  <c r="G24" i="22"/>
  <c r="G23" i="22"/>
  <c r="G22" i="22"/>
  <c r="G21" i="22"/>
  <c r="G20" i="22"/>
  <c r="G19" i="22"/>
  <c r="G18" i="22"/>
  <c r="C48" i="22"/>
  <c r="C47" i="22"/>
  <c r="C46" i="22"/>
  <c r="C45" i="22"/>
  <c r="C44" i="22"/>
  <c r="C43" i="22"/>
  <c r="C42" i="22"/>
  <c r="C41" i="22"/>
  <c r="C40" i="22"/>
  <c r="C37" i="22"/>
  <c r="C36" i="22"/>
  <c r="C35" i="22"/>
  <c r="C34" i="22"/>
  <c r="C33" i="22"/>
  <c r="C32" i="22"/>
  <c r="C31" i="22"/>
  <c r="C30" i="22"/>
  <c r="C29" i="22"/>
  <c r="C26" i="22"/>
  <c r="C25" i="22"/>
  <c r="C24" i="22"/>
  <c r="C23" i="22"/>
  <c r="C22" i="22"/>
  <c r="C21" i="22"/>
  <c r="C20" i="22"/>
  <c r="C19" i="22"/>
  <c r="C18" i="22"/>
  <c r="C8" i="22"/>
  <c r="C9" i="22"/>
  <c r="C10" i="22"/>
  <c r="C11" i="22"/>
  <c r="C12" i="22"/>
  <c r="C13" i="22"/>
  <c r="C14" i="22"/>
  <c r="C15" i="22"/>
  <c r="C7" i="22"/>
  <c r="G8" i="22"/>
  <c r="G9" i="22"/>
  <c r="G10" i="22"/>
  <c r="G11" i="22"/>
  <c r="G12" i="22"/>
  <c r="G13" i="22"/>
  <c r="G14" i="22"/>
  <c r="G15" i="22"/>
  <c r="G7" i="22"/>
  <c r="G28" i="21" l="1"/>
  <c r="G27" i="21"/>
  <c r="G26" i="21"/>
  <c r="G25" i="21"/>
  <c r="G22" i="21"/>
  <c r="G21" i="21"/>
  <c r="G20" i="21"/>
  <c r="G19" i="21"/>
  <c r="G16" i="21"/>
  <c r="G15" i="21"/>
  <c r="G14" i="21"/>
  <c r="G13" i="21"/>
  <c r="G10" i="21"/>
  <c r="G9" i="21"/>
  <c r="G8" i="21"/>
  <c r="G7" i="21"/>
  <c r="A4" i="65" l="1"/>
  <c r="A3" i="65"/>
  <c r="A2" i="65"/>
  <c r="A1" i="65"/>
  <c r="F1" i="65"/>
  <c r="R10" i="44" l="1" a="1"/>
  <c r="R10" i="44" s="1"/>
  <c r="R11" i="44" a="1"/>
  <c r="R11" i="44" s="1"/>
  <c r="R12" i="44" a="1"/>
  <c r="R12" i="44" s="1"/>
  <c r="R13" i="44" a="1"/>
  <c r="R13" i="44" s="1"/>
  <c r="R14" i="44" a="1"/>
  <c r="R14" i="44" s="1"/>
  <c r="R15" i="44" a="1"/>
  <c r="R15" i="44" s="1"/>
  <c r="R16" i="44" a="1"/>
  <c r="R16" i="44" s="1"/>
  <c r="R17" i="44" a="1"/>
  <c r="R17" i="44" s="1"/>
  <c r="R18" i="44" a="1"/>
  <c r="R18" i="44" s="1"/>
  <c r="R19" i="44" a="1"/>
  <c r="R19" i="44" s="1"/>
  <c r="R20" i="44" a="1"/>
  <c r="R20" i="44" s="1"/>
  <c r="R21" i="44" a="1"/>
  <c r="R21" i="44" s="1"/>
  <c r="R22" i="44" a="1"/>
  <c r="R22" i="44" s="1"/>
  <c r="R23" i="44" a="1"/>
  <c r="R23" i="44" s="1"/>
  <c r="R24" i="44" a="1"/>
  <c r="R24" i="44" s="1"/>
  <c r="R25" i="44" a="1"/>
  <c r="R25" i="44" s="1"/>
  <c r="R26" i="44" a="1"/>
  <c r="R26" i="44" s="1"/>
  <c r="R27" i="44" a="1"/>
  <c r="R27" i="44" s="1"/>
  <c r="R29" i="44" a="1"/>
  <c r="R29" i="44" s="1"/>
  <c r="R30" i="44" a="1"/>
  <c r="R30" i="44" s="1"/>
  <c r="R31" i="44" a="1"/>
  <c r="R31" i="44" s="1"/>
  <c r="R32" i="44" a="1"/>
  <c r="R32" i="44" s="1"/>
  <c r="R28" i="44" a="1"/>
  <c r="R28" i="44" s="1"/>
  <c r="R33" i="44" a="1"/>
  <c r="R33" i="44" s="1"/>
  <c r="R34" i="44" a="1"/>
  <c r="R34" i="44" s="1"/>
  <c r="R35" i="44" a="1"/>
  <c r="R35" i="44" s="1"/>
  <c r="R36" i="44" a="1"/>
  <c r="R36" i="44" s="1"/>
  <c r="R37" i="44" a="1"/>
  <c r="R37" i="44" s="1"/>
  <c r="R38" i="44" a="1"/>
  <c r="R38" i="44" s="1"/>
  <c r="R39" i="44" a="1"/>
  <c r="R39" i="44" s="1"/>
  <c r="R40" i="44" a="1"/>
  <c r="R40" i="44" s="1"/>
  <c r="R41" i="44" a="1"/>
  <c r="R41" i="44" s="1"/>
  <c r="R42" i="44" a="1"/>
  <c r="R42" i="44" s="1"/>
  <c r="R44" i="44" a="1"/>
  <c r="R44" i="44" s="1"/>
  <c r="R43" i="44" a="1"/>
  <c r="R43" i="44" s="1"/>
  <c r="R45" i="44" a="1"/>
  <c r="R45" i="44" s="1"/>
  <c r="R46" i="44" a="1"/>
  <c r="R46" i="44" s="1"/>
  <c r="R47" i="44" a="1"/>
  <c r="R47" i="44" s="1"/>
  <c r="R48" i="44" a="1"/>
  <c r="R48" i="44" s="1"/>
  <c r="R49" i="44" a="1"/>
  <c r="R49" i="44" s="1"/>
  <c r="R50" i="44" a="1"/>
  <c r="R50" i="44" s="1"/>
  <c r="R51" i="44" a="1"/>
  <c r="R51" i="44" s="1"/>
  <c r="R52" i="44" a="1"/>
  <c r="R52" i="44" s="1"/>
  <c r="R53" i="44" a="1"/>
  <c r="R53" i="44" s="1"/>
  <c r="R54" i="44" a="1"/>
  <c r="R54" i="44" s="1"/>
  <c r="R55" i="44" a="1"/>
  <c r="R55" i="44" s="1"/>
  <c r="R56" i="44" a="1"/>
  <c r="R56" i="44" s="1"/>
  <c r="R57" i="44" a="1"/>
  <c r="R57" i="44" s="1"/>
  <c r="R58" i="44" a="1"/>
  <c r="R58" i="44" s="1"/>
  <c r="R59" i="44" a="1"/>
  <c r="R59" i="44" s="1"/>
  <c r="R60" i="44" a="1"/>
  <c r="R60" i="44" s="1"/>
  <c r="R61" i="44" a="1"/>
  <c r="R61" i="44" s="1"/>
  <c r="R62" i="44" a="1"/>
  <c r="R62" i="44" s="1"/>
  <c r="R63" i="44" a="1"/>
  <c r="R63" i="44" s="1"/>
  <c r="R64" i="44" a="1"/>
  <c r="R64" i="44" s="1"/>
  <c r="R65" i="44" a="1"/>
  <c r="R65" i="44" s="1"/>
  <c r="R66" i="44" a="1"/>
  <c r="R66" i="44" s="1"/>
  <c r="R67" i="44" a="1"/>
  <c r="R67" i="44" s="1"/>
  <c r="R68" i="44" a="1"/>
  <c r="R68" i="44" s="1"/>
  <c r="R69" i="44" a="1"/>
  <c r="R69" i="44" s="1"/>
  <c r="R70" i="44" a="1"/>
  <c r="R70" i="44" s="1"/>
  <c r="R71" i="44" a="1"/>
  <c r="R71" i="44" s="1"/>
  <c r="R72" i="44" a="1"/>
  <c r="R72" i="44" s="1"/>
  <c r="R73" i="44" a="1"/>
  <c r="R73" i="44" s="1"/>
  <c r="R74" i="44" a="1"/>
  <c r="R74" i="44" s="1"/>
  <c r="R75" i="44" a="1"/>
  <c r="R75" i="44" s="1"/>
  <c r="R76" i="44" a="1"/>
  <c r="R76" i="44" s="1"/>
  <c r="R77" i="44" a="1"/>
  <c r="R77" i="44" s="1"/>
  <c r="R79" i="44" a="1"/>
  <c r="R79" i="44" s="1"/>
  <c r="R78" i="44" a="1"/>
  <c r="R78" i="44" s="1"/>
  <c r="R80" i="44" a="1"/>
  <c r="R80" i="44" s="1"/>
  <c r="R81" i="44" a="1"/>
  <c r="R81" i="44" s="1"/>
  <c r="R82" i="44" a="1"/>
  <c r="R82" i="44" s="1"/>
  <c r="R83" i="44" a="1"/>
  <c r="R83" i="44" s="1"/>
  <c r="R84" i="44" a="1"/>
  <c r="R84" i="44" s="1"/>
  <c r="R85" i="44" a="1"/>
  <c r="R85" i="44" s="1"/>
  <c r="R86" i="44" a="1"/>
  <c r="R86" i="44" s="1"/>
  <c r="R87" i="44" a="1"/>
  <c r="R87" i="44" s="1"/>
  <c r="R88" i="44" a="1"/>
  <c r="R88" i="44" s="1"/>
  <c r="R89" i="44" a="1"/>
  <c r="R89" i="44" s="1"/>
  <c r="R90" i="44" a="1"/>
  <c r="R90" i="44" s="1"/>
  <c r="R91" i="44" a="1"/>
  <c r="R91" i="44" s="1"/>
  <c r="R92" i="44" a="1"/>
  <c r="R92" i="44" s="1"/>
  <c r="R94" i="44" a="1"/>
  <c r="R94" i="44" s="1"/>
  <c r="R93" i="44" a="1"/>
  <c r="R93" i="44" s="1"/>
  <c r="R95" i="44" a="1"/>
  <c r="R95" i="44" s="1"/>
  <c r="R96" i="44" a="1"/>
  <c r="R96" i="44" s="1"/>
  <c r="R97" i="44" a="1"/>
  <c r="R97" i="44" s="1"/>
  <c r="R98" i="44" a="1"/>
  <c r="R98" i="44" s="1"/>
  <c r="R100" i="44" a="1"/>
  <c r="R100" i="44" s="1"/>
  <c r="R99" i="44" a="1"/>
  <c r="R99" i="44" s="1"/>
  <c r="R101" i="44" a="1"/>
  <c r="R101" i="44" s="1"/>
  <c r="R102" i="44" a="1"/>
  <c r="R102" i="44" s="1"/>
  <c r="R103" i="44" a="1"/>
  <c r="R103" i="44" s="1"/>
  <c r="R104" i="44" a="1"/>
  <c r="R104" i="44" s="1"/>
  <c r="R105" i="44" a="1"/>
  <c r="R105" i="44" s="1"/>
  <c r="R106" i="44" a="1"/>
  <c r="R106" i="44" s="1"/>
  <c r="R107" i="44" a="1"/>
  <c r="R107" i="44" s="1"/>
  <c r="R108" i="44" a="1"/>
  <c r="R108" i="44" s="1"/>
  <c r="R109" i="44" a="1"/>
  <c r="R109" i="44" s="1"/>
  <c r="R110" i="44" a="1"/>
  <c r="R110" i="44" s="1"/>
  <c r="R111" i="44" a="1"/>
  <c r="R111" i="44" s="1"/>
  <c r="R112" i="44" a="1"/>
  <c r="R112" i="44" s="1"/>
  <c r="R113" i="44" a="1"/>
  <c r="R113" i="44" s="1"/>
  <c r="R114" i="44" a="1"/>
  <c r="R114" i="44" s="1"/>
  <c r="R115" i="44" a="1"/>
  <c r="R115" i="44" s="1"/>
  <c r="R116" i="44" a="1"/>
  <c r="R116" i="44" s="1"/>
  <c r="R117" i="44" a="1"/>
  <c r="R117" i="44" s="1"/>
  <c r="R118" i="44" a="1"/>
  <c r="R118" i="44" s="1"/>
  <c r="R119" i="44" a="1"/>
  <c r="R119" i="44" s="1"/>
  <c r="R120" i="44" a="1"/>
  <c r="R120" i="44" s="1"/>
  <c r="R121" i="44" a="1"/>
  <c r="R121" i="44" s="1"/>
  <c r="R122" i="44" a="1"/>
  <c r="R122" i="44" s="1"/>
  <c r="R123" i="44" a="1"/>
  <c r="R123" i="44" s="1"/>
  <c r="R124" i="44" a="1"/>
  <c r="R124" i="44" s="1"/>
  <c r="R125" i="44" a="1"/>
  <c r="R125" i="44" s="1"/>
  <c r="R126" i="44" a="1"/>
  <c r="R126" i="44" s="1"/>
  <c r="R127" i="44" a="1"/>
  <c r="R127" i="44" s="1"/>
  <c r="R128" i="44" a="1"/>
  <c r="R128" i="44" s="1"/>
  <c r="R129" i="44" a="1"/>
  <c r="R129" i="44" s="1"/>
  <c r="R130" i="44" a="1"/>
  <c r="R130" i="44" s="1"/>
  <c r="R131" i="44" a="1"/>
  <c r="R131" i="44" s="1"/>
  <c r="R132" i="44" a="1"/>
  <c r="R132" i="44" s="1"/>
  <c r="R133" i="44" a="1"/>
  <c r="R133" i="44" s="1"/>
  <c r="R134" i="44" a="1"/>
  <c r="R134" i="44" s="1"/>
  <c r="R135" i="44" a="1"/>
  <c r="R135" i="44" s="1"/>
  <c r="R136" i="44" a="1"/>
  <c r="R136" i="44" s="1"/>
  <c r="R137" i="44" a="1"/>
  <c r="R137" i="44" s="1"/>
  <c r="R138" i="44" a="1"/>
  <c r="R138" i="44" s="1"/>
  <c r="R139" i="44" a="1"/>
  <c r="R139" i="44" s="1"/>
  <c r="R140" i="44" a="1"/>
  <c r="R140" i="44" s="1"/>
  <c r="R141" i="44" a="1"/>
  <c r="R141" i="44" s="1"/>
  <c r="R142" i="44" a="1"/>
  <c r="R142" i="44" s="1"/>
  <c r="R143" i="44" a="1"/>
  <c r="R143" i="44" s="1"/>
  <c r="R144" i="44" a="1"/>
  <c r="R144" i="44" s="1"/>
  <c r="R145" i="44" a="1"/>
  <c r="R145" i="44" s="1"/>
  <c r="R146" i="44" a="1"/>
  <c r="R146" i="44" s="1"/>
  <c r="R147" i="44" a="1"/>
  <c r="R147" i="44" s="1"/>
  <c r="R148" i="44" a="1"/>
  <c r="R148" i="44" s="1"/>
  <c r="R149" i="44" a="1"/>
  <c r="R149" i="44" s="1"/>
  <c r="R150" i="44" a="1"/>
  <c r="R150" i="44" s="1"/>
  <c r="R151" i="44" a="1"/>
  <c r="R151" i="44" s="1"/>
  <c r="R152" i="44" a="1"/>
  <c r="R152" i="44" s="1"/>
  <c r="R153" i="44" a="1"/>
  <c r="R153" i="44" s="1"/>
  <c r="R154" i="44" a="1"/>
  <c r="R154" i="44" s="1"/>
  <c r="R155" i="44" a="1"/>
  <c r="R155" i="44" s="1"/>
  <c r="R156" i="44" a="1"/>
  <c r="R156" i="44" s="1"/>
  <c r="R157" i="44" a="1"/>
  <c r="R157" i="44" s="1"/>
  <c r="R158" i="44" a="1"/>
  <c r="R158" i="44" s="1"/>
  <c r="R159" i="44" a="1"/>
  <c r="R159" i="44" s="1"/>
  <c r="R160" i="44" a="1"/>
  <c r="R160" i="44" s="1"/>
  <c r="R161" i="44" a="1"/>
  <c r="R161" i="44" s="1"/>
  <c r="R9" i="44" a="1"/>
  <c r="R9" i="44" s="1"/>
  <c r="N27" i="44" a="1"/>
  <c r="N27" i="44" s="1"/>
  <c r="P10" i="44" a="1"/>
  <c r="P10" i="44" s="1"/>
  <c r="P11" i="44" a="1"/>
  <c r="P11" i="44" s="1"/>
  <c r="P12" i="44" a="1"/>
  <c r="P12" i="44" s="1"/>
  <c r="P13" i="44" a="1"/>
  <c r="P13" i="44" s="1"/>
  <c r="P14" i="44" a="1"/>
  <c r="P14" i="44" s="1"/>
  <c r="P15" i="44" a="1"/>
  <c r="P15" i="44" s="1"/>
  <c r="P18" i="44" a="1"/>
  <c r="P18" i="44" s="1"/>
  <c r="P16" i="44" a="1"/>
  <c r="P16" i="44" s="1"/>
  <c r="P17" i="44" a="1"/>
  <c r="P17" i="44" s="1"/>
  <c r="P20" i="44" a="1"/>
  <c r="P20" i="44" s="1"/>
  <c r="P19" i="44" a="1"/>
  <c r="P19" i="44" s="1"/>
  <c r="P22" i="44" a="1"/>
  <c r="P22" i="44" s="1"/>
  <c r="P21" i="44" a="1"/>
  <c r="P21" i="44" s="1"/>
  <c r="P23" i="44" a="1"/>
  <c r="P23" i="44" s="1"/>
  <c r="P34" i="44" a="1"/>
  <c r="P34" i="44" s="1"/>
  <c r="P25" i="44" a="1"/>
  <c r="P25" i="44" s="1"/>
  <c r="P30" i="44" a="1"/>
  <c r="P30" i="44" s="1"/>
  <c r="P31" i="44" a="1"/>
  <c r="P31" i="44" s="1"/>
  <c r="P26" i="44" a="1"/>
  <c r="P26" i="44" s="1"/>
  <c r="P27" i="44" a="1"/>
  <c r="P27" i="44" s="1"/>
  <c r="P24" i="44" a="1"/>
  <c r="P24" i="44" s="1"/>
  <c r="P33" i="44" a="1"/>
  <c r="P33" i="44" s="1"/>
  <c r="P35" i="44" a="1"/>
  <c r="P35" i="44" s="1"/>
  <c r="P32" i="44" a="1"/>
  <c r="P32" i="44" s="1"/>
  <c r="P29" i="44" a="1"/>
  <c r="P29" i="44" s="1"/>
  <c r="P36" i="44" a="1"/>
  <c r="P36" i="44" s="1"/>
  <c r="P28" i="44" a="1"/>
  <c r="P28" i="44" s="1"/>
  <c r="P37" i="44" a="1"/>
  <c r="P37" i="44" s="1"/>
  <c r="P38" i="44" a="1"/>
  <c r="P38" i="44" s="1"/>
  <c r="P39" i="44" a="1"/>
  <c r="P39" i="44" s="1"/>
  <c r="P40" i="44" a="1"/>
  <c r="P40" i="44" s="1"/>
  <c r="P41" i="44" a="1"/>
  <c r="P41" i="44" s="1"/>
  <c r="P42" i="44" a="1"/>
  <c r="P42" i="44" s="1"/>
  <c r="P44" i="44" a="1"/>
  <c r="P44" i="44" s="1"/>
  <c r="P43" i="44" a="1"/>
  <c r="P43" i="44" s="1"/>
  <c r="P45" i="44" a="1"/>
  <c r="P45" i="44" s="1"/>
  <c r="P46" i="44" a="1"/>
  <c r="P46" i="44" s="1"/>
  <c r="P47" i="44" a="1"/>
  <c r="P47" i="44" s="1"/>
  <c r="P48" i="44" a="1"/>
  <c r="P48" i="44" s="1"/>
  <c r="P49" i="44" a="1"/>
  <c r="P49" i="44" s="1"/>
  <c r="P50" i="44" a="1"/>
  <c r="P50" i="44" s="1"/>
  <c r="P51" i="44" a="1"/>
  <c r="P51" i="44" s="1"/>
  <c r="P52" i="44" a="1"/>
  <c r="P52" i="44" s="1"/>
  <c r="P53" i="44" a="1"/>
  <c r="P53" i="44" s="1"/>
  <c r="P54" i="44" a="1"/>
  <c r="P54" i="44" s="1"/>
  <c r="P55" i="44" a="1"/>
  <c r="P55" i="44" s="1"/>
  <c r="P57" i="44" a="1"/>
  <c r="P57" i="44" s="1"/>
  <c r="P58" i="44" a="1"/>
  <c r="P58" i="44" s="1"/>
  <c r="P59" i="44" a="1"/>
  <c r="P59" i="44" s="1"/>
  <c r="P56" i="44" a="1"/>
  <c r="P56" i="44" s="1"/>
  <c r="P60" i="44" a="1"/>
  <c r="P60" i="44" s="1"/>
  <c r="P61" i="44" a="1"/>
  <c r="P61" i="44" s="1"/>
  <c r="P62" i="44" a="1"/>
  <c r="P62" i="44" s="1"/>
  <c r="P63" i="44" a="1"/>
  <c r="P63" i="44" s="1"/>
  <c r="P64" i="44" a="1"/>
  <c r="P64" i="44" s="1"/>
  <c r="P65" i="44" a="1"/>
  <c r="P65" i="44" s="1"/>
  <c r="P66" i="44" a="1"/>
  <c r="P66" i="44" s="1"/>
  <c r="P67" i="44" a="1"/>
  <c r="P67" i="44" s="1"/>
  <c r="P68" i="44" a="1"/>
  <c r="P68" i="44" s="1"/>
  <c r="P69" i="44" a="1"/>
  <c r="P69" i="44" s="1"/>
  <c r="P70" i="44" a="1"/>
  <c r="P70" i="44" s="1"/>
  <c r="P71" i="44" a="1"/>
  <c r="P71" i="44" s="1"/>
  <c r="P72" i="44" a="1"/>
  <c r="P72" i="44" s="1"/>
  <c r="P73" i="44" a="1"/>
  <c r="P73" i="44" s="1"/>
  <c r="P74" i="44" a="1"/>
  <c r="P74" i="44" s="1"/>
  <c r="P75" i="44" a="1"/>
  <c r="P75" i="44" s="1"/>
  <c r="P76" i="44" a="1"/>
  <c r="P76" i="44" s="1"/>
  <c r="P77" i="44" a="1"/>
  <c r="P77" i="44" s="1"/>
  <c r="P79" i="44" a="1"/>
  <c r="P79" i="44" s="1"/>
  <c r="P78" i="44" a="1"/>
  <c r="P78" i="44" s="1"/>
  <c r="P80" i="44" a="1"/>
  <c r="P80" i="44" s="1"/>
  <c r="P81" i="44" a="1"/>
  <c r="P81" i="44" s="1"/>
  <c r="P82" i="44" a="1"/>
  <c r="P82" i="44" s="1"/>
  <c r="P83" i="44" a="1"/>
  <c r="P83" i="44" s="1"/>
  <c r="P84" i="44" a="1"/>
  <c r="P84" i="44" s="1"/>
  <c r="P85" i="44" a="1"/>
  <c r="P85" i="44" s="1"/>
  <c r="P86" i="44" a="1"/>
  <c r="P86" i="44" s="1"/>
  <c r="P87" i="44" a="1"/>
  <c r="P87" i="44" s="1"/>
  <c r="P88" i="44" a="1"/>
  <c r="P88" i="44" s="1"/>
  <c r="P89" i="44" a="1"/>
  <c r="P89" i="44" s="1"/>
  <c r="P90" i="44" a="1"/>
  <c r="P90" i="44" s="1"/>
  <c r="P91" i="44" a="1"/>
  <c r="P91" i="44" s="1"/>
  <c r="P92" i="44" a="1"/>
  <c r="P92" i="44" s="1"/>
  <c r="P94" i="44" a="1"/>
  <c r="P94" i="44" s="1"/>
  <c r="P93" i="44" a="1"/>
  <c r="P93" i="44" s="1"/>
  <c r="P95" i="44" a="1"/>
  <c r="P95" i="44" s="1"/>
  <c r="P96" i="44" a="1"/>
  <c r="P96" i="44" s="1"/>
  <c r="P97" i="44" a="1"/>
  <c r="P97" i="44" s="1"/>
  <c r="P98" i="44" a="1"/>
  <c r="P98" i="44" s="1"/>
  <c r="P100" i="44" a="1"/>
  <c r="P100" i="44" s="1"/>
  <c r="P99" i="44" a="1"/>
  <c r="P99" i="44" s="1"/>
  <c r="P101" i="44" a="1"/>
  <c r="P101" i="44" s="1"/>
  <c r="P102" i="44" a="1"/>
  <c r="P102" i="44" s="1"/>
  <c r="P103" i="44" a="1"/>
  <c r="P103" i="44" s="1"/>
  <c r="P104" i="44" a="1"/>
  <c r="P104" i="44" s="1"/>
  <c r="P105" i="44" a="1"/>
  <c r="P105" i="44" s="1"/>
  <c r="P106" i="44" a="1"/>
  <c r="P106" i="44" s="1"/>
  <c r="P107" i="44" a="1"/>
  <c r="P107" i="44" s="1"/>
  <c r="P108" i="44" a="1"/>
  <c r="P108" i="44" s="1"/>
  <c r="P109" i="44" a="1"/>
  <c r="P109" i="44" s="1"/>
  <c r="P110" i="44" a="1"/>
  <c r="P110" i="44" s="1"/>
  <c r="P111" i="44" a="1"/>
  <c r="P111" i="44" s="1"/>
  <c r="P112" i="44" a="1"/>
  <c r="P112" i="44" s="1"/>
  <c r="P113" i="44" a="1"/>
  <c r="P113" i="44" s="1"/>
  <c r="P114" i="44" a="1"/>
  <c r="P114" i="44" s="1"/>
  <c r="P115" i="44" a="1"/>
  <c r="P115" i="44" s="1"/>
  <c r="P116" i="44" a="1"/>
  <c r="P116" i="44" s="1"/>
  <c r="P117" i="44" a="1"/>
  <c r="P117" i="44" s="1"/>
  <c r="P118" i="44" a="1"/>
  <c r="P118" i="44" s="1"/>
  <c r="P119" i="44" a="1"/>
  <c r="P119" i="44" s="1"/>
  <c r="P120" i="44" a="1"/>
  <c r="P120" i="44" s="1"/>
  <c r="P121" i="44" a="1"/>
  <c r="P121" i="44" s="1"/>
  <c r="P122" i="44" a="1"/>
  <c r="P122" i="44" s="1"/>
  <c r="P123" i="44" a="1"/>
  <c r="P123" i="44" s="1"/>
  <c r="P124" i="44" a="1"/>
  <c r="P124" i="44" s="1"/>
  <c r="P125" i="44" a="1"/>
  <c r="P125" i="44" s="1"/>
  <c r="P126" i="44" a="1"/>
  <c r="P126" i="44" s="1"/>
  <c r="P127" i="44" a="1"/>
  <c r="P127" i="44" s="1"/>
  <c r="P128" i="44" a="1"/>
  <c r="P128" i="44" s="1"/>
  <c r="P129" i="44" a="1"/>
  <c r="P129" i="44" s="1"/>
  <c r="P130" i="44" a="1"/>
  <c r="P130" i="44" s="1"/>
  <c r="P131" i="44" a="1"/>
  <c r="P131" i="44" s="1"/>
  <c r="P132" i="44" a="1"/>
  <c r="P132" i="44" s="1"/>
  <c r="P133" i="44" a="1"/>
  <c r="P133" i="44" s="1"/>
  <c r="P134" i="44" a="1"/>
  <c r="P134" i="44" s="1"/>
  <c r="P135" i="44" a="1"/>
  <c r="P135" i="44" s="1"/>
  <c r="P136" i="44" a="1"/>
  <c r="P136" i="44" s="1"/>
  <c r="P137" i="44" a="1"/>
  <c r="P137" i="44" s="1"/>
  <c r="P138" i="44" a="1"/>
  <c r="P138" i="44" s="1"/>
  <c r="P139" i="44" a="1"/>
  <c r="P139" i="44" s="1"/>
  <c r="P140" i="44" a="1"/>
  <c r="P140" i="44" s="1"/>
  <c r="P141" i="44" a="1"/>
  <c r="P141" i="44" s="1"/>
  <c r="P142" i="44" a="1"/>
  <c r="P142" i="44" s="1"/>
  <c r="P143" i="44" a="1"/>
  <c r="P143" i="44" s="1"/>
  <c r="P144" i="44" a="1"/>
  <c r="P144" i="44" s="1"/>
  <c r="P145" i="44" a="1"/>
  <c r="P145" i="44" s="1"/>
  <c r="P146" i="44" a="1"/>
  <c r="P146" i="44" s="1"/>
  <c r="P147" i="44" a="1"/>
  <c r="P147" i="44" s="1"/>
  <c r="P148" i="44" a="1"/>
  <c r="P148" i="44" s="1"/>
  <c r="P149" i="44" a="1"/>
  <c r="P149" i="44" s="1"/>
  <c r="P150" i="44" a="1"/>
  <c r="P150" i="44" s="1"/>
  <c r="P151" i="44" a="1"/>
  <c r="P151" i="44" s="1"/>
  <c r="P152" i="44" a="1"/>
  <c r="P152" i="44" s="1"/>
  <c r="P153" i="44" a="1"/>
  <c r="P153" i="44" s="1"/>
  <c r="P154" i="44" a="1"/>
  <c r="P154" i="44" s="1"/>
  <c r="P155" i="44" a="1"/>
  <c r="P155" i="44" s="1"/>
  <c r="P156" i="44" a="1"/>
  <c r="P156" i="44" s="1"/>
  <c r="P157" i="44" a="1"/>
  <c r="P157" i="44" s="1"/>
  <c r="P158" i="44" a="1"/>
  <c r="P158" i="44" s="1"/>
  <c r="P159" i="44" a="1"/>
  <c r="P159" i="44" s="1"/>
  <c r="P160" i="44" a="1"/>
  <c r="P160" i="44" s="1"/>
  <c r="P161" i="44" a="1"/>
  <c r="P161" i="44" s="1"/>
  <c r="P9" i="44" a="1"/>
  <c r="P9" i="44" s="1"/>
  <c r="N10" i="44" a="1"/>
  <c r="N10" i="44" s="1"/>
  <c r="N11" i="44" a="1"/>
  <c r="N11" i="44" s="1"/>
  <c r="N12" i="44" a="1"/>
  <c r="N12" i="44" s="1"/>
  <c r="N13" i="44" a="1"/>
  <c r="N13" i="44" s="1"/>
  <c r="N14" i="44" a="1"/>
  <c r="N14" i="44" s="1"/>
  <c r="N15" i="44" a="1"/>
  <c r="N15" i="44" s="1"/>
  <c r="N18" i="44" a="1"/>
  <c r="N18" i="44" s="1"/>
  <c r="N16" i="44" a="1"/>
  <c r="N16" i="44" s="1"/>
  <c r="N17" i="44" a="1"/>
  <c r="N17" i="44" s="1"/>
  <c r="N20" i="44" a="1"/>
  <c r="N20" i="44" s="1"/>
  <c r="N19" i="44" a="1"/>
  <c r="N19" i="44" s="1"/>
  <c r="N22" i="44" a="1"/>
  <c r="N22" i="44" s="1"/>
  <c r="N21" i="44" a="1"/>
  <c r="N21" i="44" s="1"/>
  <c r="N23" i="44" a="1"/>
  <c r="N23" i="44" s="1"/>
  <c r="N34" i="44" a="1"/>
  <c r="N34" i="44" s="1"/>
  <c r="N25" i="44" a="1"/>
  <c r="N25" i="44" s="1"/>
  <c r="N30" i="44" a="1"/>
  <c r="N30" i="44" s="1"/>
  <c r="N31" i="44" a="1"/>
  <c r="N31" i="44" s="1"/>
  <c r="N26" i="44" a="1"/>
  <c r="N26" i="44" s="1"/>
  <c r="N24" i="44" a="1"/>
  <c r="N24" i="44" s="1"/>
  <c r="N33" i="44" a="1"/>
  <c r="N33" i="44" s="1"/>
  <c r="N35" i="44" a="1"/>
  <c r="N35" i="44" s="1"/>
  <c r="N32" i="44" a="1"/>
  <c r="N32" i="44" s="1"/>
  <c r="N29" i="44" a="1"/>
  <c r="N29" i="44" s="1"/>
  <c r="N36" i="44" a="1"/>
  <c r="N36" i="44" s="1"/>
  <c r="N28" i="44" a="1"/>
  <c r="N28" i="44" s="1"/>
  <c r="N37" i="44" a="1"/>
  <c r="N37" i="44" s="1"/>
  <c r="N38" i="44" a="1"/>
  <c r="N38" i="44" s="1"/>
  <c r="N39" i="44" a="1"/>
  <c r="N39" i="44" s="1"/>
  <c r="N40" i="44" a="1"/>
  <c r="N40" i="44" s="1"/>
  <c r="N41" i="44" a="1"/>
  <c r="N41" i="44" s="1"/>
  <c r="N42" i="44" a="1"/>
  <c r="N42" i="44" s="1"/>
  <c r="N44" i="44" a="1"/>
  <c r="N44" i="44" s="1"/>
  <c r="N43" i="44" a="1"/>
  <c r="N43" i="44" s="1"/>
  <c r="N45" i="44" a="1"/>
  <c r="N45" i="44" s="1"/>
  <c r="N46" i="44" a="1"/>
  <c r="N46" i="44" s="1"/>
  <c r="N47" i="44" a="1"/>
  <c r="N47" i="44" s="1"/>
  <c r="N48" i="44" a="1"/>
  <c r="N48" i="44" s="1"/>
  <c r="N49" i="44" a="1"/>
  <c r="N49" i="44" s="1"/>
  <c r="N50" i="44" a="1"/>
  <c r="N50" i="44" s="1"/>
  <c r="N51" i="44" a="1"/>
  <c r="N51" i="44" s="1"/>
  <c r="N52" i="44" a="1"/>
  <c r="N52" i="44" s="1"/>
  <c r="N53" i="44" a="1"/>
  <c r="N53" i="44" s="1"/>
  <c r="N54" i="44" a="1"/>
  <c r="N54" i="44" s="1"/>
  <c r="N55" i="44" a="1"/>
  <c r="N55" i="44" s="1"/>
  <c r="N57" i="44" a="1"/>
  <c r="N57" i="44" s="1"/>
  <c r="N58" i="44" a="1"/>
  <c r="N58" i="44" s="1"/>
  <c r="N59" i="44" a="1"/>
  <c r="N59" i="44" s="1"/>
  <c r="N56" i="44" a="1"/>
  <c r="N56" i="44" s="1"/>
  <c r="N60" i="44" a="1"/>
  <c r="N60" i="44" s="1"/>
  <c r="N61" i="44" a="1"/>
  <c r="N61" i="44" s="1"/>
  <c r="N62" i="44" a="1"/>
  <c r="N62" i="44" s="1"/>
  <c r="N63" i="44" a="1"/>
  <c r="N63" i="44" s="1"/>
  <c r="N64" i="44" a="1"/>
  <c r="N64" i="44" s="1"/>
  <c r="N65" i="44" a="1"/>
  <c r="N65" i="44" s="1"/>
  <c r="N66" i="44" a="1"/>
  <c r="N66" i="44" s="1"/>
  <c r="N67" i="44" a="1"/>
  <c r="N67" i="44" s="1"/>
  <c r="N68" i="44" a="1"/>
  <c r="N68" i="44" s="1"/>
  <c r="N69" i="44" a="1"/>
  <c r="N69" i="44" s="1"/>
  <c r="N70" i="44" a="1"/>
  <c r="N70" i="44" s="1"/>
  <c r="N71" i="44" a="1"/>
  <c r="N71" i="44" s="1"/>
  <c r="N72" i="44" a="1"/>
  <c r="N72" i="44" s="1"/>
  <c r="N73" i="44" a="1"/>
  <c r="N73" i="44" s="1"/>
  <c r="N74" i="44" a="1"/>
  <c r="N74" i="44" s="1"/>
  <c r="N75" i="44" a="1"/>
  <c r="N75" i="44" s="1"/>
  <c r="N76" i="44" a="1"/>
  <c r="N76" i="44" s="1"/>
  <c r="N77" i="44" a="1"/>
  <c r="N77" i="44" s="1"/>
  <c r="N79" i="44" a="1"/>
  <c r="N79" i="44" s="1"/>
  <c r="N78" i="44" a="1"/>
  <c r="N78" i="44" s="1"/>
  <c r="N80" i="44" a="1"/>
  <c r="N80" i="44" s="1"/>
  <c r="N81" i="44" a="1"/>
  <c r="N81" i="44" s="1"/>
  <c r="N82" i="44" a="1"/>
  <c r="N82" i="44" s="1"/>
  <c r="N83" i="44" a="1"/>
  <c r="N83" i="44" s="1"/>
  <c r="N84" i="44" a="1"/>
  <c r="N84" i="44" s="1"/>
  <c r="N85" i="44" a="1"/>
  <c r="N85" i="44" s="1"/>
  <c r="N86" i="44" a="1"/>
  <c r="N86" i="44" s="1"/>
  <c r="N87" i="44" a="1"/>
  <c r="N87" i="44" s="1"/>
  <c r="N88" i="44" a="1"/>
  <c r="N88" i="44" s="1"/>
  <c r="N89" i="44" a="1"/>
  <c r="N89" i="44" s="1"/>
  <c r="N90" i="44" a="1"/>
  <c r="N90" i="44" s="1"/>
  <c r="N91" i="44" a="1"/>
  <c r="N91" i="44" s="1"/>
  <c r="N92" i="44" a="1"/>
  <c r="N92" i="44" s="1"/>
  <c r="N94" i="44" a="1"/>
  <c r="N94" i="44" s="1"/>
  <c r="N93" i="44" a="1"/>
  <c r="N93" i="44" s="1"/>
  <c r="N95" i="44" a="1"/>
  <c r="N95" i="44" s="1"/>
  <c r="N96" i="44" a="1"/>
  <c r="N96" i="44" s="1"/>
  <c r="N97" i="44" a="1"/>
  <c r="N97" i="44" s="1"/>
  <c r="N98" i="44" a="1"/>
  <c r="N98" i="44" s="1"/>
  <c r="N100" i="44" a="1"/>
  <c r="N100" i="44" s="1"/>
  <c r="N99" i="44" a="1"/>
  <c r="N99" i="44" s="1"/>
  <c r="N101" i="44" a="1"/>
  <c r="N101" i="44" s="1"/>
  <c r="N102" i="44" a="1"/>
  <c r="N102" i="44" s="1"/>
  <c r="N103" i="44" a="1"/>
  <c r="N103" i="44" s="1"/>
  <c r="N104" i="44" a="1"/>
  <c r="N104" i="44" s="1"/>
  <c r="N105" i="44" a="1"/>
  <c r="N105" i="44" s="1"/>
  <c r="N106" i="44" a="1"/>
  <c r="N106" i="44" s="1"/>
  <c r="N107" i="44" a="1"/>
  <c r="N107" i="44" s="1"/>
  <c r="N108" i="44" a="1"/>
  <c r="N108" i="44" s="1"/>
  <c r="N109" i="44" a="1"/>
  <c r="N109" i="44" s="1"/>
  <c r="N110" i="44" a="1"/>
  <c r="N110" i="44" s="1"/>
  <c r="N111" i="44" a="1"/>
  <c r="N111" i="44" s="1"/>
  <c r="N112" i="44" a="1"/>
  <c r="N112" i="44" s="1"/>
  <c r="N113" i="44" a="1"/>
  <c r="N113" i="44" s="1"/>
  <c r="N114" i="44" a="1"/>
  <c r="N114" i="44" s="1"/>
  <c r="N115" i="44" a="1"/>
  <c r="N115" i="44" s="1"/>
  <c r="N116" i="44" a="1"/>
  <c r="N116" i="44" s="1"/>
  <c r="N117" i="44" a="1"/>
  <c r="N117" i="44" s="1"/>
  <c r="N118" i="44" a="1"/>
  <c r="N118" i="44" s="1"/>
  <c r="N119" i="44" a="1"/>
  <c r="N119" i="44" s="1"/>
  <c r="N120" i="44" a="1"/>
  <c r="N120" i="44" s="1"/>
  <c r="N121" i="44" a="1"/>
  <c r="N121" i="44" s="1"/>
  <c r="N122" i="44" a="1"/>
  <c r="N122" i="44" s="1"/>
  <c r="N123" i="44" a="1"/>
  <c r="N123" i="44" s="1"/>
  <c r="N124" i="44" a="1"/>
  <c r="N124" i="44" s="1"/>
  <c r="N125" i="44" a="1"/>
  <c r="N125" i="44" s="1"/>
  <c r="N126" i="44" a="1"/>
  <c r="N126" i="44" s="1"/>
  <c r="N127" i="44" a="1"/>
  <c r="N127" i="44" s="1"/>
  <c r="N128" i="44" a="1"/>
  <c r="N128" i="44" s="1"/>
  <c r="N129" i="44" a="1"/>
  <c r="N129" i="44" s="1"/>
  <c r="N130" i="44" a="1"/>
  <c r="N130" i="44" s="1"/>
  <c r="N131" i="44" a="1"/>
  <c r="N131" i="44" s="1"/>
  <c r="N132" i="44" a="1"/>
  <c r="N132" i="44" s="1"/>
  <c r="N133" i="44" a="1"/>
  <c r="N133" i="44" s="1"/>
  <c r="N134" i="44" a="1"/>
  <c r="N134" i="44" s="1"/>
  <c r="N135" i="44" a="1"/>
  <c r="N135" i="44" s="1"/>
  <c r="N136" i="44" a="1"/>
  <c r="N136" i="44" s="1"/>
  <c r="N137" i="44" a="1"/>
  <c r="N137" i="44" s="1"/>
  <c r="N138" i="44" a="1"/>
  <c r="N138" i="44" s="1"/>
  <c r="N139" i="44" a="1"/>
  <c r="N139" i="44" s="1"/>
  <c r="N140" i="44" a="1"/>
  <c r="N140" i="44" s="1"/>
  <c r="N141" i="44" a="1"/>
  <c r="N141" i="44" s="1"/>
  <c r="N142" i="44" a="1"/>
  <c r="N142" i="44" s="1"/>
  <c r="N143" i="44" a="1"/>
  <c r="N143" i="44" s="1"/>
  <c r="N144" i="44" a="1"/>
  <c r="N144" i="44" s="1"/>
  <c r="N145" i="44" a="1"/>
  <c r="N145" i="44" s="1"/>
  <c r="N146" i="44" a="1"/>
  <c r="N146" i="44" s="1"/>
  <c r="N147" i="44" a="1"/>
  <c r="N147" i="44" s="1"/>
  <c r="N148" i="44" a="1"/>
  <c r="N148" i="44" s="1"/>
  <c r="N149" i="44" a="1"/>
  <c r="N149" i="44" s="1"/>
  <c r="N150" i="44" a="1"/>
  <c r="N150" i="44" s="1"/>
  <c r="N151" i="44" a="1"/>
  <c r="N151" i="44" s="1"/>
  <c r="N152" i="44" a="1"/>
  <c r="N152" i="44" s="1"/>
  <c r="N153" i="44" a="1"/>
  <c r="N153" i="44" s="1"/>
  <c r="N154" i="44" a="1"/>
  <c r="N154" i="44" s="1"/>
  <c r="N155" i="44" a="1"/>
  <c r="N155" i="44" s="1"/>
  <c r="N156" i="44" a="1"/>
  <c r="N156" i="44" s="1"/>
  <c r="N157" i="44" a="1"/>
  <c r="N157" i="44" s="1"/>
  <c r="N158" i="44" a="1"/>
  <c r="N158" i="44" s="1"/>
  <c r="N159" i="44" a="1"/>
  <c r="N159" i="44" s="1"/>
  <c r="N160" i="44" a="1"/>
  <c r="N160" i="44" s="1"/>
  <c r="N161" i="44" a="1"/>
  <c r="N161" i="44" s="1"/>
  <c r="N9" i="44" a="1"/>
  <c r="N9" i="44" s="1"/>
  <c r="G56" i="16" l="1"/>
  <c r="C56" i="16"/>
  <c r="G57" i="16"/>
  <c r="C57" i="16"/>
  <c r="G53" i="16"/>
  <c r="C53" i="16"/>
  <c r="G59" i="16"/>
  <c r="C59" i="16"/>
  <c r="G50" i="16"/>
  <c r="C50" i="16"/>
  <c r="G60" i="16"/>
  <c r="C60" i="16"/>
  <c r="G49" i="16"/>
  <c r="C49" i="16"/>
  <c r="G55" i="16"/>
  <c r="C55" i="16"/>
  <c r="G58" i="16"/>
  <c r="C58" i="16"/>
  <c r="G51" i="16"/>
  <c r="C51" i="16"/>
  <c r="G52" i="16"/>
  <c r="C52" i="16"/>
  <c r="G54" i="16"/>
  <c r="C54" i="16"/>
  <c r="G39" i="16"/>
  <c r="C39" i="16"/>
  <c r="G46" i="16"/>
  <c r="C46" i="16"/>
  <c r="G45" i="16"/>
  <c r="C45" i="16"/>
  <c r="G43" i="16"/>
  <c r="C43" i="16"/>
  <c r="G44" i="16"/>
  <c r="C44" i="16"/>
  <c r="G35" i="16"/>
  <c r="C35" i="16"/>
  <c r="G36" i="16"/>
  <c r="C36" i="16"/>
  <c r="G38" i="16"/>
  <c r="C38" i="16"/>
  <c r="G42" i="16"/>
  <c r="C42" i="16"/>
  <c r="G37" i="16"/>
  <c r="C37" i="16"/>
  <c r="G40" i="16"/>
  <c r="C40" i="16"/>
  <c r="G41" i="16"/>
  <c r="C41" i="16"/>
  <c r="C32" i="16"/>
  <c r="C23" i="16"/>
  <c r="C29" i="16"/>
  <c r="C28" i="16"/>
  <c r="C22" i="16"/>
  <c r="C31" i="16"/>
  <c r="C27" i="16"/>
  <c r="C26" i="16"/>
  <c r="C21" i="16"/>
  <c r="C30" i="16"/>
  <c r="C24" i="16"/>
  <c r="C25" i="16"/>
  <c r="G32" i="16"/>
  <c r="G23" i="16"/>
  <c r="G29" i="16"/>
  <c r="G28" i="16"/>
  <c r="G22" i="16"/>
  <c r="G31" i="16"/>
  <c r="G27" i="16"/>
  <c r="G26" i="16"/>
  <c r="G21" i="16"/>
  <c r="G30" i="16"/>
  <c r="G24" i="16"/>
  <c r="G25" i="16"/>
  <c r="G8" i="16"/>
  <c r="G9" i="16"/>
  <c r="G10" i="16"/>
  <c r="G11" i="16"/>
  <c r="G12" i="16"/>
  <c r="G13" i="16"/>
  <c r="G14" i="16"/>
  <c r="G15" i="16"/>
  <c r="G16" i="16"/>
  <c r="G17" i="16"/>
  <c r="G18" i="16"/>
  <c r="G7" i="16"/>
  <c r="C8" i="16"/>
  <c r="C9" i="16"/>
  <c r="C10" i="16"/>
  <c r="C11" i="16"/>
  <c r="C12" i="16"/>
  <c r="C13" i="16"/>
  <c r="C14" i="16"/>
  <c r="C15" i="16"/>
  <c r="C16" i="16"/>
  <c r="C17" i="16"/>
  <c r="C18" i="16"/>
  <c r="C7" i="16"/>
  <c r="E15" i="36" l="1"/>
  <c r="E14" i="36"/>
  <c r="E7" i="36"/>
  <c r="B137" i="61" l="1"/>
  <c r="G136" i="61"/>
  <c r="B136" i="61"/>
  <c r="G135" i="61"/>
  <c r="B135" i="61"/>
  <c r="G134" i="61"/>
  <c r="B134" i="61"/>
  <c r="R133" i="61"/>
  <c r="G133" i="61"/>
  <c r="B133" i="61"/>
  <c r="R132" i="61"/>
  <c r="G132" i="61"/>
  <c r="B132" i="61"/>
  <c r="G131" i="61"/>
  <c r="G130" i="61"/>
  <c r="R129" i="61"/>
  <c r="G129" i="61"/>
  <c r="G128" i="61"/>
  <c r="W104" i="61" l="1"/>
  <c r="W74" i="61"/>
  <c r="W75" i="61"/>
  <c r="W76" i="61"/>
  <c r="W73" i="61"/>
  <c r="W70" i="61"/>
  <c r="W71" i="61"/>
  <c r="W72" i="61"/>
  <c r="W69" i="61"/>
  <c r="AQ10" i="44"/>
  <c r="AQ12" i="44"/>
  <c r="AQ11" i="44"/>
  <c r="AQ15" i="44"/>
  <c r="AQ16" i="44"/>
  <c r="AQ17" i="44"/>
  <c r="AQ22" i="44"/>
  <c r="AQ20" i="44"/>
  <c r="AQ14" i="44"/>
  <c r="AQ18" i="44"/>
  <c r="AQ21" i="44"/>
  <c r="AQ39" i="44"/>
  <c r="AQ24" i="44"/>
  <c r="AQ31" i="44"/>
  <c r="AQ41" i="44"/>
  <c r="AQ19" i="44"/>
  <c r="AQ44" i="44"/>
  <c r="AQ13" i="44"/>
  <c r="AQ30" i="44"/>
  <c r="AQ59" i="44"/>
  <c r="AQ32" i="44"/>
  <c r="AQ28" i="44"/>
  <c r="AQ52" i="44"/>
  <c r="AQ66" i="44"/>
  <c r="AQ27" i="44"/>
  <c r="AQ26" i="44"/>
  <c r="AQ60" i="44"/>
  <c r="AQ68" i="44"/>
  <c r="AQ70" i="44"/>
  <c r="AQ71" i="44"/>
  <c r="AQ33" i="44"/>
  <c r="AQ29" i="44"/>
  <c r="AQ35" i="44"/>
  <c r="AQ46" i="44"/>
  <c r="AQ23" i="44"/>
  <c r="AQ62" i="44"/>
  <c r="AQ56" i="44"/>
  <c r="AQ61" i="44"/>
  <c r="AQ34" i="44"/>
  <c r="AQ37" i="44"/>
  <c r="AQ79" i="44"/>
  <c r="AQ63" i="44"/>
  <c r="AQ36" i="44"/>
  <c r="AQ85" i="44"/>
  <c r="AQ40" i="44"/>
  <c r="AQ51" i="44"/>
  <c r="AQ73" i="44"/>
  <c r="AQ49" i="44"/>
  <c r="AQ82" i="44"/>
  <c r="AQ80" i="44"/>
  <c r="AQ48" i="44"/>
  <c r="AQ45" i="44"/>
  <c r="AQ77" i="44"/>
  <c r="AQ25" i="44"/>
  <c r="AQ47" i="44"/>
  <c r="AQ54" i="44"/>
  <c r="AQ55" i="44"/>
  <c r="AQ87" i="44"/>
  <c r="AQ53" i="44"/>
  <c r="AQ91" i="44"/>
  <c r="AQ64" i="44"/>
  <c r="AQ75" i="44"/>
  <c r="AQ94" i="44"/>
  <c r="AQ65" i="44"/>
  <c r="AQ50" i="44"/>
  <c r="AQ100" i="44"/>
  <c r="AQ38" i="44"/>
  <c r="AQ42" i="44"/>
  <c r="AQ58" i="44"/>
  <c r="AQ74" i="44"/>
  <c r="AQ43" i="44"/>
  <c r="AQ93" i="44"/>
  <c r="AQ95" i="44"/>
  <c r="AQ92" i="44"/>
  <c r="AQ105" i="44"/>
  <c r="AQ111" i="44"/>
  <c r="AQ81" i="44"/>
  <c r="AQ116" i="44"/>
  <c r="AQ83" i="44"/>
  <c r="AQ125" i="44"/>
  <c r="AQ88" i="44"/>
  <c r="AQ134" i="44"/>
  <c r="AQ120" i="44"/>
  <c r="AQ57" i="44"/>
  <c r="AQ135" i="44"/>
  <c r="AQ136" i="44"/>
  <c r="AQ137" i="44"/>
  <c r="AQ96" i="44"/>
  <c r="AQ138" i="44"/>
  <c r="AQ139" i="44"/>
  <c r="AQ140" i="44"/>
  <c r="AQ141" i="44"/>
  <c r="AQ142" i="44"/>
  <c r="AQ143" i="44"/>
  <c r="AQ144" i="44"/>
  <c r="AQ145" i="44"/>
  <c r="AQ84" i="44"/>
  <c r="AQ146" i="44"/>
  <c r="AQ147" i="44"/>
  <c r="AQ148" i="44"/>
  <c r="AQ149" i="44"/>
  <c r="AQ69" i="44"/>
  <c r="AQ110" i="44"/>
  <c r="AQ72" i="44"/>
  <c r="AQ89" i="44"/>
  <c r="AQ150" i="44"/>
  <c r="AQ151" i="44"/>
  <c r="AQ67" i="44"/>
  <c r="AQ152" i="44"/>
  <c r="AQ90" i="44"/>
  <c r="AQ153" i="44"/>
  <c r="AQ154" i="44"/>
  <c r="AQ155" i="44"/>
  <c r="AQ103" i="44"/>
  <c r="AQ156" i="44"/>
  <c r="AQ157" i="44"/>
  <c r="AQ158" i="44"/>
  <c r="AQ124" i="44"/>
  <c r="AQ159" i="44"/>
  <c r="AQ160" i="44"/>
  <c r="AQ161" i="44"/>
  <c r="AQ117" i="44"/>
  <c r="AQ97" i="44"/>
  <c r="AQ98" i="44"/>
  <c r="AQ102" i="44"/>
  <c r="AQ104" i="44"/>
  <c r="AQ106" i="44"/>
  <c r="AQ107" i="44"/>
  <c r="AQ112" i="44"/>
  <c r="AQ113" i="44"/>
  <c r="AQ118" i="44"/>
  <c r="AQ119" i="44"/>
  <c r="AQ121" i="44"/>
  <c r="AQ128" i="44"/>
  <c r="AQ129" i="44"/>
  <c r="AQ78" i="44"/>
  <c r="AQ114" i="44"/>
  <c r="AQ115" i="44"/>
  <c r="AQ99" i="44"/>
  <c r="AQ108" i="44"/>
  <c r="AQ109" i="44"/>
  <c r="AQ122" i="44"/>
  <c r="AQ123" i="44"/>
  <c r="AQ126" i="44"/>
  <c r="AQ127" i="44"/>
  <c r="AQ130" i="44"/>
  <c r="AQ131" i="44"/>
  <c r="AQ132" i="44"/>
  <c r="AQ133" i="44"/>
  <c r="AQ76" i="44"/>
  <c r="AQ101" i="44"/>
  <c r="AQ86" i="44"/>
  <c r="AQ9" i="44"/>
  <c r="AD162" i="44" l="1"/>
  <c r="Z162" i="44"/>
  <c r="E16" i="31" l="1"/>
  <c r="C16" i="31"/>
  <c r="G15" i="31"/>
  <c r="G14" i="31"/>
  <c r="G13" i="31"/>
  <c r="E22" i="31"/>
  <c r="C22" i="31"/>
  <c r="G21" i="31"/>
  <c r="G20" i="31"/>
  <c r="G19" i="31"/>
  <c r="E10" i="31"/>
  <c r="C10" i="31"/>
  <c r="G9" i="31"/>
  <c r="G8" i="31"/>
  <c r="G7" i="31"/>
  <c r="G46" i="13" l="1"/>
  <c r="G45" i="13"/>
  <c r="G44" i="13"/>
  <c r="G43" i="13"/>
  <c r="E40" i="13"/>
  <c r="C40" i="13"/>
  <c r="G39" i="13"/>
  <c r="G38" i="13"/>
  <c r="G37" i="13"/>
  <c r="E34" i="13"/>
  <c r="C34" i="13"/>
  <c r="G33" i="13"/>
  <c r="G32" i="13"/>
  <c r="G31" i="13"/>
  <c r="E28" i="13"/>
  <c r="C28" i="13"/>
  <c r="G27" i="13"/>
  <c r="G26" i="13"/>
  <c r="G25" i="13"/>
  <c r="E22" i="13"/>
  <c r="C22" i="13"/>
  <c r="G21" i="13"/>
  <c r="G20" i="13"/>
  <c r="G19" i="13"/>
  <c r="G16" i="13"/>
  <c r="G15" i="13"/>
  <c r="G14" i="13"/>
  <c r="G13" i="13"/>
  <c r="E10" i="13"/>
  <c r="C10" i="13"/>
  <c r="G9" i="13"/>
  <c r="G8" i="13"/>
  <c r="G7" i="13"/>
  <c r="A4" i="32"/>
  <c r="A3" i="32"/>
  <c r="A2" i="32"/>
  <c r="A1" i="32"/>
  <c r="A4" i="31"/>
  <c r="A3" i="31"/>
  <c r="A2" i="31"/>
  <c r="A1" i="31"/>
  <c r="A4" i="13"/>
  <c r="A3" i="13"/>
  <c r="A2" i="13"/>
  <c r="A1" i="13"/>
  <c r="AN149" i="44" l="1"/>
  <c r="AO149" i="44"/>
  <c r="AP149" i="44"/>
  <c r="AN77" i="44"/>
  <c r="AO77" i="44"/>
  <c r="AP77" i="44"/>
  <c r="AN69" i="44"/>
  <c r="AO69" i="44"/>
  <c r="AP69" i="44"/>
  <c r="AN100" i="44"/>
  <c r="AO100" i="44"/>
  <c r="AP100" i="44"/>
  <c r="AN87" i="44"/>
  <c r="AO87" i="44"/>
  <c r="AP87" i="44"/>
  <c r="AN110" i="44"/>
  <c r="AO110" i="44"/>
  <c r="AP110" i="44"/>
  <c r="AN72" i="44"/>
  <c r="AO72" i="44"/>
  <c r="AP72" i="44"/>
  <c r="AN58" i="44"/>
  <c r="AO58" i="44"/>
  <c r="AP58" i="44"/>
  <c r="AN66" i="44"/>
  <c r="AO66" i="44"/>
  <c r="AP66" i="44"/>
  <c r="AN89" i="44"/>
  <c r="AO89" i="44"/>
  <c r="AP89" i="44"/>
  <c r="AN150" i="44"/>
  <c r="AO150" i="44"/>
  <c r="AP150" i="44"/>
  <c r="AN151" i="44"/>
  <c r="AO151" i="44"/>
  <c r="AP151" i="44"/>
  <c r="AN67" i="44"/>
  <c r="AO67" i="44"/>
  <c r="AP67" i="44"/>
  <c r="AN152" i="44"/>
  <c r="AO152" i="44"/>
  <c r="AP152" i="44"/>
  <c r="AN90" i="44"/>
  <c r="AO90" i="44"/>
  <c r="AP90" i="44"/>
  <c r="AN61" i="44"/>
  <c r="AO61" i="44"/>
  <c r="AP61" i="44"/>
  <c r="AN153" i="44"/>
  <c r="AO153" i="44"/>
  <c r="AP153" i="44"/>
  <c r="AN154" i="44"/>
  <c r="AO154" i="44"/>
  <c r="AP154" i="44"/>
  <c r="AN155" i="44"/>
  <c r="AO155" i="44"/>
  <c r="AP155" i="44"/>
  <c r="AN103" i="44"/>
  <c r="AO103" i="44"/>
  <c r="AP103" i="44"/>
  <c r="AN156" i="44"/>
  <c r="AO156" i="44"/>
  <c r="AP156" i="44"/>
  <c r="AN37" i="44"/>
  <c r="AO37" i="44"/>
  <c r="AP37" i="44"/>
  <c r="AN63" i="44"/>
  <c r="AO63" i="44"/>
  <c r="AP63" i="44"/>
  <c r="AN157" i="44"/>
  <c r="AO157" i="44"/>
  <c r="AP157" i="44"/>
  <c r="AN34" i="44"/>
  <c r="AO34" i="44"/>
  <c r="AP34" i="44"/>
  <c r="AN49" i="44"/>
  <c r="AO49" i="44"/>
  <c r="AP49" i="44"/>
  <c r="AN158" i="44"/>
  <c r="AO158" i="44"/>
  <c r="AP158" i="44"/>
  <c r="AN124" i="44"/>
  <c r="AO124" i="44"/>
  <c r="AP124" i="44"/>
  <c r="AN159" i="44"/>
  <c r="AO159" i="44"/>
  <c r="AP159" i="44"/>
  <c r="AN160" i="44"/>
  <c r="AO160" i="44"/>
  <c r="AP160" i="44"/>
  <c r="AN32" i="44"/>
  <c r="AO32" i="44"/>
  <c r="AP32" i="44"/>
  <c r="AN36" i="44"/>
  <c r="AO36" i="44"/>
  <c r="AP36" i="44"/>
  <c r="AN161" i="44"/>
  <c r="AO161" i="44"/>
  <c r="AP161" i="44"/>
  <c r="AN117" i="44"/>
  <c r="AO117" i="44"/>
  <c r="AP117" i="44"/>
  <c r="AN83" i="44"/>
  <c r="AO83" i="44"/>
  <c r="AP83" i="44"/>
  <c r="AN95" i="44"/>
  <c r="AO95" i="44"/>
  <c r="AP95" i="44"/>
  <c r="AN70" i="44"/>
  <c r="AO70" i="44"/>
  <c r="AP70" i="44"/>
  <c r="AN111" i="44"/>
  <c r="AO111" i="44"/>
  <c r="AP111" i="44"/>
  <c r="AN24" i="44"/>
  <c r="AO24" i="44"/>
  <c r="AP24" i="44"/>
  <c r="AN94" i="44"/>
  <c r="AO94" i="44"/>
  <c r="AP94" i="44"/>
  <c r="AN105" i="44"/>
  <c r="AO105" i="44"/>
  <c r="AP105" i="44"/>
  <c r="AN125" i="44"/>
  <c r="AO125" i="44"/>
  <c r="AP125" i="44"/>
  <c r="AN97" i="44"/>
  <c r="AO97" i="44"/>
  <c r="AP97" i="44"/>
  <c r="AN98" i="44"/>
  <c r="AO98" i="44"/>
  <c r="AP98" i="44"/>
  <c r="AN102" i="44"/>
  <c r="AO102" i="44"/>
  <c r="AP102" i="44"/>
  <c r="AN104" i="44"/>
  <c r="AO104" i="44"/>
  <c r="AP104" i="44"/>
  <c r="AN106" i="44"/>
  <c r="AO106" i="44"/>
  <c r="AP106" i="44"/>
  <c r="AN107" i="44"/>
  <c r="AO107" i="44"/>
  <c r="AP107" i="44"/>
  <c r="AN112" i="44"/>
  <c r="AO112" i="44"/>
  <c r="AP112" i="44"/>
  <c r="AN113" i="44"/>
  <c r="AO113" i="44"/>
  <c r="AP113" i="44"/>
  <c r="AN118" i="44"/>
  <c r="AO118" i="44"/>
  <c r="AP118" i="44"/>
  <c r="AN119" i="44"/>
  <c r="AO119" i="44"/>
  <c r="AP119" i="44"/>
  <c r="AN121" i="44"/>
  <c r="AO121" i="44"/>
  <c r="AP121" i="44"/>
  <c r="AN128" i="44"/>
  <c r="AO128" i="44"/>
  <c r="AP128" i="44"/>
  <c r="AN129" i="44"/>
  <c r="AO129" i="44"/>
  <c r="AP129" i="44"/>
  <c r="AN78" i="44"/>
  <c r="AO78" i="44"/>
  <c r="AP78" i="44"/>
  <c r="AN114" i="44"/>
  <c r="AO114" i="44"/>
  <c r="AP114" i="44"/>
  <c r="AN115" i="44"/>
  <c r="AO115" i="44"/>
  <c r="AP115" i="44"/>
  <c r="AN99" i="44"/>
  <c r="AO99" i="44"/>
  <c r="AP99" i="44"/>
  <c r="AN108" i="44"/>
  <c r="AO108" i="44"/>
  <c r="AP108" i="44"/>
  <c r="AN109" i="44"/>
  <c r="AO109" i="44"/>
  <c r="AP109" i="44"/>
  <c r="AN122" i="44"/>
  <c r="AO122" i="44"/>
  <c r="AP122" i="44"/>
  <c r="AN123" i="44"/>
  <c r="AO123" i="44"/>
  <c r="AP123" i="44"/>
  <c r="AN126" i="44"/>
  <c r="AO126" i="44"/>
  <c r="AP126" i="44"/>
  <c r="AN127" i="44"/>
  <c r="AO127" i="44"/>
  <c r="AP127" i="44"/>
  <c r="AN130" i="44"/>
  <c r="AO130" i="44"/>
  <c r="AP130" i="44"/>
  <c r="AN131" i="44"/>
  <c r="AO131" i="44"/>
  <c r="AP131" i="44"/>
  <c r="AN132" i="44"/>
  <c r="AO132" i="44"/>
  <c r="AP132" i="44"/>
  <c r="AN133" i="44"/>
  <c r="AO133" i="44"/>
  <c r="AP133" i="44"/>
  <c r="AN76" i="44"/>
  <c r="AO76" i="44"/>
  <c r="AP76" i="44"/>
  <c r="AN101" i="44"/>
  <c r="AO101" i="44"/>
  <c r="AP101" i="44"/>
  <c r="AN86" i="44"/>
  <c r="AO86" i="44"/>
  <c r="AP86" i="44"/>
  <c r="E70" i="44"/>
  <c r="F70" i="44"/>
  <c r="H70" i="44"/>
  <c r="I70" i="44"/>
  <c r="C111" i="44"/>
  <c r="H111" i="44"/>
  <c r="I111" i="44"/>
  <c r="C24" i="44"/>
  <c r="H24" i="44"/>
  <c r="I24" i="44"/>
  <c r="C94" i="44"/>
  <c r="H94" i="44"/>
  <c r="I94" i="44"/>
  <c r="H105" i="44"/>
  <c r="I105" i="44"/>
  <c r="E125" i="44"/>
  <c r="F125" i="44"/>
  <c r="E97" i="44"/>
  <c r="F97" i="44"/>
  <c r="H97" i="44"/>
  <c r="I97" i="44"/>
  <c r="E98" i="44"/>
  <c r="F98" i="44"/>
  <c r="H98" i="44"/>
  <c r="I98" i="44"/>
  <c r="E102" i="44"/>
  <c r="F102" i="44"/>
  <c r="H102" i="44"/>
  <c r="I102" i="44"/>
  <c r="E104" i="44"/>
  <c r="F104" i="44"/>
  <c r="H104" i="44"/>
  <c r="I104" i="44"/>
  <c r="H106" i="44"/>
  <c r="I106" i="44"/>
  <c r="E107" i="44"/>
  <c r="F107" i="44"/>
  <c r="H107" i="44"/>
  <c r="I107" i="44"/>
  <c r="E112" i="44"/>
  <c r="F112" i="44"/>
  <c r="H112" i="44"/>
  <c r="I112" i="44"/>
  <c r="E113" i="44"/>
  <c r="F113" i="44"/>
  <c r="H113" i="44"/>
  <c r="I113" i="44"/>
  <c r="H118" i="44"/>
  <c r="I118" i="44"/>
  <c r="E119" i="44"/>
  <c r="F119" i="44"/>
  <c r="H119" i="44"/>
  <c r="I119" i="44"/>
  <c r="H121" i="44"/>
  <c r="I121" i="44"/>
  <c r="E128" i="44"/>
  <c r="F128" i="44"/>
  <c r="H128" i="44"/>
  <c r="I128" i="44"/>
  <c r="E129" i="44"/>
  <c r="F129" i="44"/>
  <c r="H129" i="44"/>
  <c r="I129" i="44"/>
  <c r="E78" i="44"/>
  <c r="F78" i="44"/>
  <c r="H78" i="44"/>
  <c r="I78" i="44"/>
  <c r="E114" i="44"/>
  <c r="F114" i="44"/>
  <c r="H114" i="44"/>
  <c r="I114" i="44"/>
  <c r="E115" i="44"/>
  <c r="F115" i="44"/>
  <c r="H115" i="44"/>
  <c r="I115" i="44"/>
  <c r="E99" i="44"/>
  <c r="F99" i="44"/>
  <c r="H99" i="44"/>
  <c r="I99" i="44"/>
  <c r="H108" i="44"/>
  <c r="I108" i="44"/>
  <c r="E109" i="44"/>
  <c r="F109" i="44"/>
  <c r="H109" i="44"/>
  <c r="I109" i="44"/>
  <c r="E122" i="44"/>
  <c r="F122" i="44"/>
  <c r="H122" i="44"/>
  <c r="I122" i="44"/>
  <c r="F123" i="44"/>
  <c r="H123" i="44"/>
  <c r="I123" i="44"/>
  <c r="E126" i="44"/>
  <c r="F126" i="44"/>
  <c r="H126" i="44"/>
  <c r="I126" i="44"/>
  <c r="E127" i="44"/>
  <c r="F127" i="44"/>
  <c r="H127" i="44"/>
  <c r="I127" i="44"/>
  <c r="H130" i="44"/>
  <c r="I130" i="44"/>
  <c r="E131" i="44"/>
  <c r="F131" i="44"/>
  <c r="H132" i="44"/>
  <c r="I132" i="44"/>
  <c r="H133" i="44"/>
  <c r="I133" i="44"/>
  <c r="E76" i="44"/>
  <c r="F76" i="44"/>
  <c r="H76" i="44"/>
  <c r="I76" i="44"/>
  <c r="E101" i="44"/>
  <c r="F101" i="44"/>
  <c r="E86" i="44"/>
  <c r="F86" i="44"/>
  <c r="H86" i="44"/>
  <c r="I86" i="44"/>
  <c r="I125" i="44"/>
  <c r="I131" i="44"/>
  <c r="I101" i="44"/>
  <c r="F111" i="44"/>
  <c r="F24" i="44"/>
  <c r="F94" i="44"/>
  <c r="F105" i="44"/>
  <c r="F106" i="44"/>
  <c r="F118" i="44"/>
  <c r="F121" i="44"/>
  <c r="F108" i="44"/>
  <c r="F130" i="44"/>
  <c r="F132" i="44"/>
  <c r="F133" i="44"/>
  <c r="B94" i="44"/>
  <c r="C99" i="44"/>
  <c r="C108" i="44"/>
  <c r="C109" i="44"/>
  <c r="C123" i="44"/>
  <c r="C126" i="44"/>
  <c r="C127" i="44"/>
  <c r="C131" i="44"/>
  <c r="C132" i="44"/>
  <c r="C133" i="44"/>
  <c r="C101" i="44"/>
  <c r="C86" i="44"/>
  <c r="C114" i="44" l="1"/>
  <c r="C129" i="44"/>
  <c r="C121" i="44"/>
  <c r="B121" i="44"/>
  <c r="C118" i="44"/>
  <c r="B118" i="44"/>
  <c r="C112" i="44"/>
  <c r="C106" i="44"/>
  <c r="B106" i="44"/>
  <c r="C102" i="44"/>
  <c r="C97" i="44"/>
  <c r="C105" i="44"/>
  <c r="B105" i="44"/>
  <c r="B132" i="44"/>
  <c r="B130" i="44"/>
  <c r="B108" i="44"/>
  <c r="C78" i="44"/>
  <c r="C128" i="44"/>
  <c r="C119" i="44"/>
  <c r="C113" i="44"/>
  <c r="C107" i="44"/>
  <c r="C104" i="44"/>
  <c r="C98" i="44"/>
  <c r="C125" i="44"/>
  <c r="C76" i="44"/>
  <c r="B133" i="44"/>
  <c r="C130" i="44"/>
  <c r="C122" i="44"/>
  <c r="C115" i="44"/>
  <c r="A4" i="64" l="1"/>
  <c r="A3" i="64"/>
  <c r="A2" i="64"/>
  <c r="Q1" i="64"/>
  <c r="A1" i="64"/>
  <c r="W132" i="64"/>
  <c r="W131" i="64"/>
  <c r="W130" i="64"/>
  <c r="W129" i="64"/>
  <c r="W128" i="64"/>
  <c r="W127" i="64"/>
  <c r="X126" i="64"/>
  <c r="W126" i="64"/>
  <c r="X125" i="64"/>
  <c r="W125" i="64"/>
  <c r="X124" i="64"/>
  <c r="W124" i="64"/>
  <c r="X123" i="64"/>
  <c r="W123" i="64"/>
  <c r="W122" i="64"/>
  <c r="W121" i="64"/>
  <c r="W120" i="64"/>
  <c r="Z118" i="64"/>
  <c r="X118" i="64"/>
  <c r="W118" i="64"/>
  <c r="Z117" i="64"/>
  <c r="X117" i="64"/>
  <c r="W117" i="64"/>
  <c r="AA117" i="64" s="1"/>
  <c r="Z116" i="64"/>
  <c r="X116" i="64"/>
  <c r="W116" i="64"/>
  <c r="Z115" i="64"/>
  <c r="X115" i="64"/>
  <c r="W115" i="64"/>
  <c r="AA115" i="64" s="1"/>
  <c r="Z114" i="64"/>
  <c r="X114" i="64"/>
  <c r="W114" i="64"/>
  <c r="Z113" i="64"/>
  <c r="X113" i="64"/>
  <c r="W113" i="64"/>
  <c r="AA113" i="64" s="1"/>
  <c r="Z112" i="64"/>
  <c r="X112" i="64"/>
  <c r="W112" i="64"/>
  <c r="Z111" i="64"/>
  <c r="X111" i="64"/>
  <c r="W111" i="64"/>
  <c r="AA111" i="64" s="1"/>
  <c r="W110" i="64"/>
  <c r="W109" i="64"/>
  <c r="W108" i="64"/>
  <c r="W107" i="64"/>
  <c r="W106" i="64"/>
  <c r="W105" i="64"/>
  <c r="W104" i="64"/>
  <c r="W103" i="64"/>
  <c r="W102" i="64"/>
  <c r="W101" i="64"/>
  <c r="W100" i="64"/>
  <c r="W99" i="64"/>
  <c r="W98" i="64"/>
  <c r="W97" i="64"/>
  <c r="W96" i="64"/>
  <c r="W95" i="64"/>
  <c r="W94" i="64"/>
  <c r="W93" i="64"/>
  <c r="W92" i="64"/>
  <c r="W91" i="64"/>
  <c r="W90" i="64"/>
  <c r="W89" i="64"/>
  <c r="W88" i="64"/>
  <c r="W87" i="64"/>
  <c r="W86" i="64"/>
  <c r="Z84" i="64"/>
  <c r="W84" i="64"/>
  <c r="Y84" i="64" s="1"/>
  <c r="Z83" i="64"/>
  <c r="W83" i="64"/>
  <c r="AA83" i="64" s="1"/>
  <c r="Z82" i="64"/>
  <c r="W82" i="64"/>
  <c r="Y82" i="64" s="1"/>
  <c r="Z81" i="64"/>
  <c r="W81" i="64"/>
  <c r="AA81" i="64" s="1"/>
  <c r="Z80" i="64"/>
  <c r="W80" i="64"/>
  <c r="Y80" i="64" s="1"/>
  <c r="Z79" i="64"/>
  <c r="W79" i="64"/>
  <c r="AA79" i="64" s="1"/>
  <c r="Z78" i="64"/>
  <c r="W78" i="64"/>
  <c r="Y78" i="64" s="1"/>
  <c r="AA77" i="64"/>
  <c r="Z77" i="64"/>
  <c r="Y77" i="64"/>
  <c r="W77" i="64"/>
  <c r="AB77" i="64" s="1"/>
  <c r="Z76" i="64"/>
  <c r="W76" i="64"/>
  <c r="Y76" i="64" s="1"/>
  <c r="AB75" i="64"/>
  <c r="Z75" i="64"/>
  <c r="W75" i="64"/>
  <c r="AA75" i="64" s="1"/>
  <c r="W74" i="64"/>
  <c r="Y74" i="64" s="1"/>
  <c r="Z73" i="64"/>
  <c r="W73" i="64"/>
  <c r="AA73" i="64" s="1"/>
  <c r="W71" i="64"/>
  <c r="W70" i="64"/>
  <c r="W69" i="64"/>
  <c r="W68" i="64"/>
  <c r="W67" i="64"/>
  <c r="W66" i="64"/>
  <c r="W65" i="64"/>
  <c r="W64" i="64"/>
  <c r="W63" i="64"/>
  <c r="W62" i="64"/>
  <c r="W61" i="64"/>
  <c r="W60" i="64"/>
  <c r="W59" i="64"/>
  <c r="W58" i="64"/>
  <c r="W57" i="64"/>
  <c r="W56" i="64"/>
  <c r="W55" i="64"/>
  <c r="W54" i="64"/>
  <c r="W53" i="64"/>
  <c r="W52" i="64"/>
  <c r="W51" i="64"/>
  <c r="W50" i="64"/>
  <c r="W49" i="64"/>
  <c r="W48" i="64"/>
  <c r="W47" i="64"/>
  <c r="W46" i="64"/>
  <c r="W45" i="64"/>
  <c r="W44" i="64"/>
  <c r="W43" i="64"/>
  <c r="W42" i="64"/>
  <c r="W41" i="64"/>
  <c r="W40" i="64"/>
  <c r="X38" i="64"/>
  <c r="W38" i="64"/>
  <c r="X37" i="64"/>
  <c r="W37" i="64"/>
  <c r="X36" i="64"/>
  <c r="W36" i="64"/>
  <c r="X35" i="64"/>
  <c r="W35" i="64"/>
  <c r="X34" i="64"/>
  <c r="W34" i="64"/>
  <c r="X33" i="64"/>
  <c r="W33" i="64"/>
  <c r="X32" i="64"/>
  <c r="W32" i="64"/>
  <c r="X31" i="64"/>
  <c r="W31" i="64"/>
  <c r="X30" i="64"/>
  <c r="W30" i="64"/>
  <c r="X29" i="64"/>
  <c r="W29" i="64"/>
  <c r="X28" i="64"/>
  <c r="W28" i="64"/>
  <c r="X27" i="64"/>
  <c r="W27" i="64"/>
  <c r="X26" i="64"/>
  <c r="W26" i="64"/>
  <c r="X25" i="64"/>
  <c r="W25" i="64"/>
  <c r="X24" i="64"/>
  <c r="W24" i="64"/>
  <c r="X23" i="64"/>
  <c r="W23" i="64"/>
  <c r="X22" i="64"/>
  <c r="W22" i="64"/>
  <c r="X21" i="64"/>
  <c r="W21" i="64"/>
  <c r="X20" i="64"/>
  <c r="W20" i="64"/>
  <c r="X19" i="64"/>
  <c r="W19" i="64"/>
  <c r="X18" i="64"/>
  <c r="W18" i="64"/>
  <c r="X17" i="64"/>
  <c r="W17" i="64"/>
  <c r="X16" i="64"/>
  <c r="W16" i="64"/>
  <c r="X15" i="64"/>
  <c r="W15" i="64"/>
  <c r="X14" i="64"/>
  <c r="W14" i="64"/>
  <c r="X13" i="64"/>
  <c r="W13" i="64"/>
  <c r="X12" i="64"/>
  <c r="W12" i="64"/>
  <c r="X11" i="64"/>
  <c r="W11" i="64"/>
  <c r="X10" i="64"/>
  <c r="W10" i="64"/>
  <c r="X9" i="64"/>
  <c r="W9" i="64"/>
  <c r="X128" i="64"/>
  <c r="X131" i="64"/>
  <c r="X129" i="64"/>
  <c r="X132" i="64"/>
  <c r="AB73" i="64" l="1"/>
  <c r="Y75" i="64"/>
  <c r="AB79" i="64"/>
  <c r="AB81" i="64"/>
  <c r="AB83" i="64"/>
  <c r="AB111" i="64"/>
  <c r="AB113" i="64"/>
  <c r="AB115" i="64"/>
  <c r="AB117" i="64"/>
  <c r="Y73" i="64"/>
  <c r="X76" i="64" s="1"/>
  <c r="Y79" i="64"/>
  <c r="Y81" i="64"/>
  <c r="X81" i="64" s="1"/>
  <c r="Y83" i="64"/>
  <c r="A4" i="63"/>
  <c r="A3" i="63"/>
  <c r="A2" i="63"/>
  <c r="Q1" i="63"/>
  <c r="A1" i="63"/>
  <c r="W88" i="63"/>
  <c r="W87" i="63"/>
  <c r="W86" i="63"/>
  <c r="W85" i="63"/>
  <c r="W84" i="63"/>
  <c r="W83" i="63"/>
  <c r="W82" i="63"/>
  <c r="W81" i="63"/>
  <c r="W80" i="63"/>
  <c r="W79" i="63"/>
  <c r="W78" i="63"/>
  <c r="W77" i="63"/>
  <c r="W76" i="63"/>
  <c r="W75" i="63"/>
  <c r="W74" i="63"/>
  <c r="W73" i="63"/>
  <c r="W72" i="63"/>
  <c r="W71" i="63"/>
  <c r="W70" i="63"/>
  <c r="W69" i="63"/>
  <c r="W68" i="63"/>
  <c r="W67" i="63"/>
  <c r="W66" i="63"/>
  <c r="W65" i="63"/>
  <c r="W64" i="63"/>
  <c r="W63" i="63"/>
  <c r="W62" i="63"/>
  <c r="W61" i="63"/>
  <c r="W60" i="63"/>
  <c r="W59" i="63"/>
  <c r="W58" i="63"/>
  <c r="W57" i="63"/>
  <c r="W56" i="63"/>
  <c r="W55" i="63"/>
  <c r="W54" i="63"/>
  <c r="W51" i="63"/>
  <c r="W52" i="63"/>
  <c r="Z52" i="63" s="1"/>
  <c r="W50" i="63"/>
  <c r="W49" i="63"/>
  <c r="W47" i="63"/>
  <c r="W46" i="63"/>
  <c r="W45" i="63"/>
  <c r="W44" i="63"/>
  <c r="W43" i="63"/>
  <c r="W42" i="63"/>
  <c r="W41" i="63"/>
  <c r="W40" i="63"/>
  <c r="W39" i="63"/>
  <c r="W38" i="63"/>
  <c r="W37" i="63"/>
  <c r="W36" i="63"/>
  <c r="W35" i="63"/>
  <c r="W34" i="63"/>
  <c r="W33" i="63"/>
  <c r="W32" i="63"/>
  <c r="W31" i="63"/>
  <c r="W30" i="63"/>
  <c r="W29" i="63"/>
  <c r="W28" i="63"/>
  <c r="W27" i="63"/>
  <c r="W26" i="63"/>
  <c r="W25" i="63"/>
  <c r="W24" i="63"/>
  <c r="W23" i="63"/>
  <c r="W22" i="63"/>
  <c r="W21" i="63"/>
  <c r="W20" i="63"/>
  <c r="W19" i="63"/>
  <c r="W18" i="63"/>
  <c r="W17" i="63"/>
  <c r="W16" i="63"/>
  <c r="W14" i="63"/>
  <c r="W13" i="63"/>
  <c r="W12" i="63"/>
  <c r="W11" i="63"/>
  <c r="W10" i="63"/>
  <c r="W9" i="63"/>
  <c r="A4" i="62"/>
  <c r="A3" i="62"/>
  <c r="A2" i="62"/>
  <c r="Q1" i="62"/>
  <c r="A1" i="62"/>
  <c r="W121" i="62"/>
  <c r="W120" i="62"/>
  <c r="W119" i="62"/>
  <c r="W118" i="62"/>
  <c r="W117" i="62"/>
  <c r="W116" i="62"/>
  <c r="W115" i="62"/>
  <c r="W114" i="62"/>
  <c r="W113" i="62"/>
  <c r="W112" i="62"/>
  <c r="W111" i="62"/>
  <c r="W110" i="62"/>
  <c r="Z110" i="62" s="1"/>
  <c r="W109" i="62"/>
  <c r="W108" i="62"/>
  <c r="Z108" i="62" s="1"/>
  <c r="W107" i="62"/>
  <c r="W106" i="62"/>
  <c r="Z106" i="62" s="1"/>
  <c r="W105" i="62"/>
  <c r="W104" i="62"/>
  <c r="Z104" i="62" s="1"/>
  <c r="W103" i="62"/>
  <c r="W102" i="62"/>
  <c r="W101" i="62"/>
  <c r="W100" i="62"/>
  <c r="W99" i="62"/>
  <c r="W98" i="62"/>
  <c r="W97" i="62"/>
  <c r="W96" i="62"/>
  <c r="W95" i="62"/>
  <c r="W94" i="62"/>
  <c r="W93" i="62"/>
  <c r="W92" i="62"/>
  <c r="W91" i="62"/>
  <c r="W90" i="62"/>
  <c r="W89" i="62"/>
  <c r="W88" i="62"/>
  <c r="W87" i="62"/>
  <c r="W86" i="62"/>
  <c r="W85" i="62"/>
  <c r="W84" i="62"/>
  <c r="W83" i="62"/>
  <c r="W82" i="62"/>
  <c r="W81" i="62"/>
  <c r="W80" i="62"/>
  <c r="W79" i="62"/>
  <c r="W78" i="62"/>
  <c r="W76" i="62"/>
  <c r="W75" i="62"/>
  <c r="W74" i="62"/>
  <c r="W73" i="62"/>
  <c r="W72" i="62"/>
  <c r="W71" i="62"/>
  <c r="W70" i="62"/>
  <c r="W69" i="62"/>
  <c r="W67" i="62"/>
  <c r="W66" i="62"/>
  <c r="W65" i="62"/>
  <c r="W64" i="62"/>
  <c r="W63" i="62"/>
  <c r="W62" i="62"/>
  <c r="W61" i="62"/>
  <c r="W60" i="62"/>
  <c r="W59" i="62"/>
  <c r="W58" i="62"/>
  <c r="W57" i="62"/>
  <c r="W56" i="62"/>
  <c r="W55" i="62"/>
  <c r="W54" i="62"/>
  <c r="W53" i="62"/>
  <c r="W52" i="62"/>
  <c r="W51" i="62"/>
  <c r="W50" i="62"/>
  <c r="W49" i="62"/>
  <c r="W48" i="62"/>
  <c r="W47" i="62"/>
  <c r="W46" i="62"/>
  <c r="W45" i="62"/>
  <c r="W44" i="62"/>
  <c r="W43" i="62"/>
  <c r="W42" i="62"/>
  <c r="W41" i="62"/>
  <c r="W40" i="62"/>
  <c r="W39" i="62"/>
  <c r="W38" i="62"/>
  <c r="W37" i="62"/>
  <c r="W36" i="62"/>
  <c r="W34" i="62"/>
  <c r="W33" i="62"/>
  <c r="W32" i="62"/>
  <c r="W31" i="62"/>
  <c r="W30" i="62"/>
  <c r="W29" i="62"/>
  <c r="W28" i="62"/>
  <c r="W27" i="62"/>
  <c r="W26" i="62"/>
  <c r="W25" i="62"/>
  <c r="W24" i="62"/>
  <c r="W23" i="62"/>
  <c r="W22" i="62"/>
  <c r="W21" i="62"/>
  <c r="W20" i="62"/>
  <c r="W19" i="62"/>
  <c r="W18" i="62"/>
  <c r="W17" i="62"/>
  <c r="W16" i="62"/>
  <c r="W15" i="62"/>
  <c r="W14" i="62"/>
  <c r="W13" i="62"/>
  <c r="W12" i="62"/>
  <c r="W11" i="62"/>
  <c r="W10" i="62"/>
  <c r="W9" i="62"/>
  <c r="X121" i="62"/>
  <c r="X118" i="62"/>
  <c r="X117" i="62"/>
  <c r="X87" i="63"/>
  <c r="X88" i="63"/>
  <c r="X84" i="63"/>
  <c r="X85" i="63"/>
  <c r="X120" i="62"/>
  <c r="X115" i="62" l="1"/>
  <c r="X113" i="62"/>
  <c r="Z72" i="62"/>
  <c r="Z71" i="62"/>
  <c r="AB103" i="62"/>
  <c r="X34" i="62"/>
  <c r="Y70" i="62"/>
  <c r="Y74" i="62"/>
  <c r="Y76" i="62"/>
  <c r="Y72" i="62"/>
  <c r="AA103" i="62"/>
  <c r="AB105" i="62"/>
  <c r="AB107" i="62"/>
  <c r="X33" i="62"/>
  <c r="X31" i="62"/>
  <c r="X28" i="62"/>
  <c r="X27" i="62"/>
  <c r="X26" i="62"/>
  <c r="X25" i="62"/>
  <c r="X24" i="62"/>
  <c r="X23" i="62"/>
  <c r="X22" i="62"/>
  <c r="X21" i="62"/>
  <c r="X19" i="62"/>
  <c r="X18" i="62"/>
  <c r="X17" i="62"/>
  <c r="X16" i="62"/>
  <c r="X14" i="62"/>
  <c r="X13" i="62"/>
  <c r="X12" i="62"/>
  <c r="X11" i="62"/>
  <c r="X10" i="62"/>
  <c r="X9" i="62"/>
  <c r="AB73" i="62"/>
  <c r="AA107" i="62"/>
  <c r="AB109" i="62"/>
  <c r="X82" i="63"/>
  <c r="X81" i="63"/>
  <c r="X80" i="63"/>
  <c r="X79" i="63"/>
  <c r="Y50" i="63"/>
  <c r="Y51" i="63"/>
  <c r="Z51" i="63"/>
  <c r="AA49" i="63"/>
  <c r="Z49" i="63"/>
  <c r="AA52" i="63"/>
  <c r="AB52" i="63"/>
  <c r="X83" i="64"/>
  <c r="X79" i="64"/>
  <c r="X78" i="64"/>
  <c r="X82" i="64"/>
  <c r="X73" i="64"/>
  <c r="X75" i="64"/>
  <c r="X84" i="64"/>
  <c r="X80" i="64"/>
  <c r="X74" i="64"/>
  <c r="AB49" i="63"/>
  <c r="Y52" i="63"/>
  <c r="Y49" i="63"/>
  <c r="AA105" i="62"/>
  <c r="AA109" i="62"/>
  <c r="Y73" i="62"/>
  <c r="AA69" i="62"/>
  <c r="AA71" i="62"/>
  <c r="AB71" i="62"/>
  <c r="AA73" i="62"/>
  <c r="AA75" i="62"/>
  <c r="X29" i="62"/>
  <c r="Z69" i="62"/>
  <c r="AB69" i="62"/>
  <c r="Y71" i="62"/>
  <c r="Z73" i="62"/>
  <c r="Z74" i="62"/>
  <c r="Z75" i="62"/>
  <c r="AB75" i="62"/>
  <c r="Z76" i="62"/>
  <c r="Z103" i="62"/>
  <c r="X103" i="62" s="1"/>
  <c r="Z105" i="62"/>
  <c r="Z107" i="62"/>
  <c r="X107" i="62" s="1"/>
  <c r="Z109" i="62"/>
  <c r="X109" i="62" s="1"/>
  <c r="X112" i="62"/>
  <c r="X114" i="62"/>
  <c r="Y69" i="62"/>
  <c r="Y75" i="62"/>
  <c r="X105" i="62" l="1"/>
  <c r="X73" i="62"/>
  <c r="X69" i="62"/>
  <c r="X71" i="62"/>
  <c r="X74" i="62"/>
  <c r="X76" i="62"/>
  <c r="X70" i="62"/>
  <c r="X72" i="62"/>
  <c r="X75" i="62"/>
  <c r="G143" i="64"/>
  <c r="G134" i="64"/>
  <c r="R135" i="64"/>
  <c r="B137" i="64"/>
  <c r="G138" i="64"/>
  <c r="R139" i="64"/>
  <c r="B141" i="64"/>
  <c r="G142" i="64"/>
  <c r="B134" i="64"/>
  <c r="G135" i="64"/>
  <c r="R136" i="64"/>
  <c r="B138" i="64"/>
  <c r="G139" i="64"/>
  <c r="R140" i="64"/>
  <c r="B142" i="64"/>
  <c r="B135" i="64"/>
  <c r="G136" i="64"/>
  <c r="R137" i="64"/>
  <c r="B139" i="64"/>
  <c r="G140" i="64"/>
  <c r="R141" i="64"/>
  <c r="B143" i="64"/>
  <c r="R134" i="64"/>
  <c r="B136" i="64"/>
  <c r="G137" i="64"/>
  <c r="R138" i="64"/>
  <c r="B140" i="64"/>
  <c r="G141" i="64"/>
  <c r="R142" i="64"/>
  <c r="X104" i="62"/>
  <c r="X106" i="62"/>
  <c r="X108" i="62"/>
  <c r="X110" i="62"/>
  <c r="G123" i="62" l="1"/>
  <c r="B129" i="62"/>
  <c r="B130" i="62"/>
  <c r="B127" i="62"/>
  <c r="B125" i="62"/>
  <c r="B123" i="62"/>
  <c r="R128" i="62"/>
  <c r="R124" i="62"/>
  <c r="G126" i="62"/>
  <c r="G130" i="62"/>
  <c r="G127" i="62"/>
  <c r="G131" i="62"/>
  <c r="R127" i="62"/>
  <c r="G128" i="62"/>
  <c r="G129" i="62"/>
  <c r="B93" i="63"/>
  <c r="B90" i="63"/>
  <c r="B94" i="63"/>
  <c r="B91" i="63"/>
  <c r="B95" i="63"/>
  <c r="B92" i="63"/>
  <c r="G125" i="62"/>
  <c r="B132" i="62"/>
  <c r="B131" i="62"/>
  <c r="B126" i="62"/>
  <c r="B128" i="62"/>
  <c r="B124" i="62"/>
  <c r="G124" i="62"/>
  <c r="A4" i="61" l="1"/>
  <c r="A3" i="61"/>
  <c r="A2" i="61"/>
  <c r="Q1" i="61"/>
  <c r="A1" i="61"/>
  <c r="S125" i="61"/>
  <c r="O125" i="61"/>
  <c r="K125" i="61"/>
  <c r="G125" i="61"/>
  <c r="C125" i="61"/>
  <c r="V124" i="61"/>
  <c r="U124" i="61"/>
  <c r="T124" i="61"/>
  <c r="S124" i="61"/>
  <c r="R124" i="61"/>
  <c r="Q124" i="61"/>
  <c r="P124" i="61"/>
  <c r="O124" i="61"/>
  <c r="N124" i="61"/>
  <c r="M124" i="61"/>
  <c r="L124" i="61"/>
  <c r="K124" i="61"/>
  <c r="J124" i="61"/>
  <c r="I124" i="61"/>
  <c r="H124" i="61"/>
  <c r="G124" i="61"/>
  <c r="F124" i="61"/>
  <c r="E124" i="61"/>
  <c r="D124" i="61"/>
  <c r="C124" i="61"/>
  <c r="V123" i="61"/>
  <c r="U123" i="61"/>
  <c r="T123" i="61"/>
  <c r="S123" i="61"/>
  <c r="R123" i="61"/>
  <c r="Q123" i="61"/>
  <c r="P123" i="61"/>
  <c r="O123" i="61"/>
  <c r="N123" i="61"/>
  <c r="M123" i="61"/>
  <c r="L123" i="61"/>
  <c r="K123" i="61"/>
  <c r="J123" i="61"/>
  <c r="I123" i="61"/>
  <c r="H123" i="61"/>
  <c r="G123" i="61"/>
  <c r="F123" i="61"/>
  <c r="E123" i="61"/>
  <c r="D123" i="61"/>
  <c r="C123" i="61"/>
  <c r="W121" i="61"/>
  <c r="W120" i="61"/>
  <c r="W119" i="61"/>
  <c r="W118" i="61"/>
  <c r="W117" i="61"/>
  <c r="W116" i="61"/>
  <c r="W115" i="61"/>
  <c r="W114" i="61"/>
  <c r="W113" i="61"/>
  <c r="W112" i="61"/>
  <c r="X113" i="61" s="1"/>
  <c r="W111" i="61"/>
  <c r="W110" i="61"/>
  <c r="W109" i="61"/>
  <c r="W108" i="61"/>
  <c r="Z74" i="61" s="1"/>
  <c r="W107" i="61"/>
  <c r="W106" i="61"/>
  <c r="Z72" i="61" s="1"/>
  <c r="W105" i="61"/>
  <c r="W103" i="61"/>
  <c r="W102" i="61"/>
  <c r="W101" i="61"/>
  <c r="W100" i="61"/>
  <c r="W99" i="61"/>
  <c r="W98" i="61"/>
  <c r="W97" i="61"/>
  <c r="W96" i="61"/>
  <c r="W95" i="61"/>
  <c r="W94" i="61"/>
  <c r="W93" i="61"/>
  <c r="W92" i="61"/>
  <c r="W91" i="61"/>
  <c r="W90" i="61"/>
  <c r="W89" i="61"/>
  <c r="W88" i="61"/>
  <c r="W87" i="61"/>
  <c r="W86" i="61"/>
  <c r="W85" i="61"/>
  <c r="W84" i="61"/>
  <c r="W83" i="61"/>
  <c r="W82" i="61"/>
  <c r="W81" i="61"/>
  <c r="W80" i="61"/>
  <c r="W79" i="61"/>
  <c r="W78" i="61"/>
  <c r="Z76" i="61"/>
  <c r="Z73" i="61"/>
  <c r="W67" i="61"/>
  <c r="W66" i="61"/>
  <c r="W65" i="61"/>
  <c r="W64" i="61"/>
  <c r="W63" i="61"/>
  <c r="W62" i="61"/>
  <c r="W61" i="61"/>
  <c r="W60" i="61"/>
  <c r="W59" i="61"/>
  <c r="W58" i="61"/>
  <c r="W57" i="61"/>
  <c r="W56" i="61"/>
  <c r="W55" i="61"/>
  <c r="W54" i="61"/>
  <c r="W53" i="61"/>
  <c r="W52" i="61"/>
  <c r="W51" i="61"/>
  <c r="W50" i="61"/>
  <c r="W49" i="61"/>
  <c r="W48" i="61"/>
  <c r="W47" i="61"/>
  <c r="W46" i="61"/>
  <c r="W45" i="61"/>
  <c r="W44" i="61"/>
  <c r="W43" i="61"/>
  <c r="W42" i="61"/>
  <c r="W41" i="61"/>
  <c r="W40" i="61"/>
  <c r="W39" i="61"/>
  <c r="W38" i="61"/>
  <c r="W37" i="61"/>
  <c r="W36" i="61"/>
  <c r="W34" i="61"/>
  <c r="W33" i="61"/>
  <c r="W32" i="61"/>
  <c r="W31" i="61"/>
  <c r="W30" i="61"/>
  <c r="W29" i="61"/>
  <c r="W28" i="61"/>
  <c r="W27" i="61"/>
  <c r="W26" i="61"/>
  <c r="W25" i="61"/>
  <c r="W24" i="61"/>
  <c r="W23" i="61"/>
  <c r="W22" i="61"/>
  <c r="W21" i="61"/>
  <c r="W20" i="61"/>
  <c r="W19" i="61"/>
  <c r="W18" i="61"/>
  <c r="W17" i="61"/>
  <c r="W16" i="61"/>
  <c r="W15" i="61"/>
  <c r="W14" i="61"/>
  <c r="W13" i="61"/>
  <c r="W12" i="61"/>
  <c r="W11" i="61"/>
  <c r="W10" i="61"/>
  <c r="W9" i="61"/>
  <c r="X117" i="61"/>
  <c r="X120" i="61"/>
  <c r="X121" i="61"/>
  <c r="X118" i="61"/>
  <c r="B131" i="61" l="1"/>
  <c r="B130" i="61"/>
  <c r="B129" i="61"/>
  <c r="B128" i="61"/>
  <c r="X33" i="61"/>
  <c r="X34" i="61"/>
  <c r="X31" i="61"/>
  <c r="X32" i="61"/>
  <c r="X29" i="61"/>
  <c r="X30" i="61"/>
  <c r="X20" i="61"/>
  <c r="X18" i="61"/>
  <c r="X16" i="61"/>
  <c r="X14" i="61"/>
  <c r="X28" i="61"/>
  <c r="X26" i="61"/>
  <c r="X24" i="61"/>
  <c r="X22" i="61"/>
  <c r="X12" i="61"/>
  <c r="X10" i="61"/>
  <c r="X19" i="61"/>
  <c r="X17" i="61"/>
  <c r="X15" i="61"/>
  <c r="X13" i="61"/>
  <c r="X27" i="61"/>
  <c r="X25" i="61"/>
  <c r="X23" i="61"/>
  <c r="X21" i="61"/>
  <c r="X11" i="61"/>
  <c r="X9" i="61"/>
  <c r="AB103" i="61"/>
  <c r="AB105" i="61"/>
  <c r="AB107" i="61"/>
  <c r="AB109" i="61"/>
  <c r="X115" i="61"/>
  <c r="AA105" i="61"/>
  <c r="Z104" i="61"/>
  <c r="Z108" i="61"/>
  <c r="AA103" i="61"/>
  <c r="Z106" i="61"/>
  <c r="AA107" i="61"/>
  <c r="AB69" i="61"/>
  <c r="AA71" i="61"/>
  <c r="AA75" i="61"/>
  <c r="AB71" i="61"/>
  <c r="AB75" i="61"/>
  <c r="Z71" i="61"/>
  <c r="AA73" i="61"/>
  <c r="AB73" i="61"/>
  <c r="Z75" i="61"/>
  <c r="Y74" i="61"/>
  <c r="Y70" i="61"/>
  <c r="Y72" i="61"/>
  <c r="Y76" i="61"/>
  <c r="Z110" i="61"/>
  <c r="AA109" i="61"/>
  <c r="Y69" i="61"/>
  <c r="AA69" i="61"/>
  <c r="Z69" i="61"/>
  <c r="Y71" i="61"/>
  <c r="Y73" i="61"/>
  <c r="Y75" i="61"/>
  <c r="Z103" i="61"/>
  <c r="X103" i="61" s="1"/>
  <c r="Z105" i="61"/>
  <c r="X105" i="61" s="1"/>
  <c r="Z107" i="61"/>
  <c r="X107" i="61" s="1"/>
  <c r="Z109" i="61"/>
  <c r="X109" i="61" s="1"/>
  <c r="X112" i="61"/>
  <c r="X114" i="61"/>
  <c r="X75" i="61" l="1"/>
  <c r="X76" i="61"/>
  <c r="X74" i="61"/>
  <c r="X71" i="61"/>
  <c r="X69" i="61"/>
  <c r="X106" i="61"/>
  <c r="X72" i="61"/>
  <c r="X108" i="61"/>
  <c r="X73" i="61"/>
  <c r="X110" i="61"/>
  <c r="X70" i="61"/>
  <c r="X104" i="61"/>
  <c r="A4" i="60" l="1"/>
  <c r="A3" i="60"/>
  <c r="A2" i="60"/>
  <c r="A1" i="60"/>
  <c r="E1" i="60" l="1"/>
  <c r="E28" i="59" l="1"/>
  <c r="C28" i="59"/>
  <c r="G28" i="59" s="1"/>
  <c r="G27" i="59"/>
  <c r="G26" i="59"/>
  <c r="G25" i="59"/>
  <c r="E22" i="59"/>
  <c r="C22" i="59"/>
  <c r="G22" i="59" s="1"/>
  <c r="G21" i="59"/>
  <c r="G20" i="59"/>
  <c r="G19" i="59"/>
  <c r="E16" i="59"/>
  <c r="C16" i="59"/>
  <c r="G16" i="59" s="1"/>
  <c r="G15" i="59"/>
  <c r="G14" i="59"/>
  <c r="G13" i="59"/>
  <c r="E10" i="59"/>
  <c r="C10" i="59"/>
  <c r="G10" i="59" s="1"/>
  <c r="G9" i="59"/>
  <c r="G8" i="59"/>
  <c r="G7" i="59"/>
  <c r="A4" i="59"/>
  <c r="A3" i="59"/>
  <c r="A2" i="59"/>
  <c r="D1" i="59"/>
  <c r="A1" i="59"/>
  <c r="F1" i="38" l="1"/>
  <c r="E40" i="58" l="1"/>
  <c r="C40" i="58"/>
  <c r="G39" i="58"/>
  <c r="G38" i="58"/>
  <c r="G37" i="58"/>
  <c r="G34" i="58"/>
  <c r="G33" i="58"/>
  <c r="G32" i="58"/>
  <c r="G31" i="58"/>
  <c r="E28" i="58"/>
  <c r="C28" i="58"/>
  <c r="G27" i="58"/>
  <c r="G26" i="58"/>
  <c r="G25" i="58"/>
  <c r="G22" i="58"/>
  <c r="G21" i="58"/>
  <c r="G20" i="58"/>
  <c r="G19" i="58"/>
  <c r="E16" i="58"/>
  <c r="C16" i="58"/>
  <c r="G15" i="58"/>
  <c r="G14" i="58"/>
  <c r="G13" i="58"/>
  <c r="E10" i="58"/>
  <c r="C10" i="58"/>
  <c r="G9" i="58"/>
  <c r="G8" i="58"/>
  <c r="G7" i="58"/>
  <c r="A4" i="58" l="1"/>
  <c r="A3" i="58"/>
  <c r="A2" i="58"/>
  <c r="A1" i="58"/>
  <c r="G1" i="58"/>
  <c r="G12" i="36" l="1"/>
  <c r="F12" i="36"/>
  <c r="E12" i="36"/>
  <c r="C15" i="36" l="1"/>
  <c r="C14" i="36"/>
  <c r="C7" i="36"/>
  <c r="A4" i="57"/>
  <c r="A3" i="57"/>
  <c r="A2" i="57"/>
  <c r="A1" i="57"/>
  <c r="F1" i="57"/>
  <c r="A1" i="55"/>
  <c r="A4" i="55"/>
  <c r="A3" i="55"/>
  <c r="A2" i="55"/>
  <c r="F1" i="55"/>
  <c r="C26" i="36"/>
  <c r="C25" i="36"/>
  <c r="C22" i="36"/>
  <c r="C21" i="36"/>
  <c r="C20" i="36"/>
  <c r="C19" i="36"/>
  <c r="C17" i="36"/>
  <c r="C13" i="36"/>
  <c r="C12" i="36"/>
  <c r="C11" i="36"/>
  <c r="C10" i="36"/>
  <c r="AM6" i="44"/>
  <c r="AL6" i="44"/>
  <c r="AK6" i="44"/>
  <c r="AJ6" i="44"/>
  <c r="AI6" i="44"/>
  <c r="AH6" i="44"/>
  <c r="AG6" i="44"/>
  <c r="AC6" i="44"/>
  <c r="Y6" i="44"/>
  <c r="X6" i="44"/>
  <c r="W6" i="44"/>
  <c r="C6" i="36"/>
  <c r="AN45" i="44" l="1"/>
  <c r="AO45" i="44"/>
  <c r="AP45" i="44"/>
  <c r="AF8" i="44" l="1"/>
  <c r="AO9" i="44" l="1"/>
  <c r="AO10" i="44"/>
  <c r="AO64" i="44"/>
  <c r="AO12" i="44"/>
  <c r="AO22" i="44"/>
  <c r="AO74" i="44"/>
  <c r="AO43" i="44"/>
  <c r="AO16" i="44"/>
  <c r="AO26" i="44"/>
  <c r="AO25" i="44"/>
  <c r="AO11" i="44"/>
  <c r="AO20" i="44"/>
  <c r="AO21" i="44"/>
  <c r="AO39" i="44"/>
  <c r="AO15" i="44"/>
  <c r="AO33" i="44"/>
  <c r="AO31" i="44"/>
  <c r="AO17" i="44"/>
  <c r="AO18" i="44"/>
  <c r="AO30" i="44"/>
  <c r="AO52" i="44"/>
  <c r="AO47" i="44"/>
  <c r="AO13" i="44"/>
  <c r="AO53" i="44"/>
  <c r="AO59" i="44"/>
  <c r="AO73" i="44"/>
  <c r="AO44" i="44"/>
  <c r="AO75" i="44"/>
  <c r="AO54" i="44"/>
  <c r="AO55" i="44"/>
  <c r="AO88" i="44"/>
  <c r="AO51" i="44"/>
  <c r="AO91" i="44"/>
  <c r="AO19" i="44"/>
  <c r="AO29" i="44"/>
  <c r="AO14" i="44"/>
  <c r="AO120" i="44"/>
  <c r="AO65" i="44"/>
  <c r="AO68" i="44"/>
  <c r="AO38" i="44"/>
  <c r="AO28" i="44"/>
  <c r="AO23" i="44"/>
  <c r="AO40" i="44"/>
  <c r="AO79" i="44"/>
  <c r="AO60" i="44"/>
  <c r="AO116" i="44"/>
  <c r="AO138" i="44"/>
  <c r="AO84" i="44"/>
  <c r="AO35" i="44"/>
  <c r="AO71" i="44"/>
  <c r="AO27" i="44"/>
  <c r="AO135" i="44"/>
  <c r="AO42" i="44"/>
  <c r="AO50" i="44"/>
  <c r="AO82" i="44"/>
  <c r="AO80" i="44"/>
  <c r="AO81" i="44"/>
  <c r="AO56" i="44"/>
  <c r="AO140" i="44"/>
  <c r="AO142" i="44"/>
  <c r="AO93" i="44"/>
  <c r="AO92" i="44"/>
  <c r="AO136" i="44"/>
  <c r="AO144" i="44"/>
  <c r="AO134" i="44"/>
  <c r="AO137" i="44"/>
  <c r="AO141" i="44"/>
  <c r="AO85" i="44"/>
  <c r="AO62" i="44"/>
  <c r="AO146" i="44"/>
  <c r="AO147" i="44"/>
  <c r="AO148" i="44"/>
  <c r="AO57" i="44"/>
  <c r="AO96" i="44"/>
  <c r="AO139" i="44"/>
  <c r="AO143" i="44"/>
  <c r="AO145" i="44"/>
  <c r="AO48" i="44"/>
  <c r="AO46" i="44"/>
  <c r="AO41" i="44"/>
  <c r="AN9" i="44"/>
  <c r="AN10" i="44"/>
  <c r="AN64" i="44"/>
  <c r="AN12" i="44"/>
  <c r="AN22" i="44"/>
  <c r="AN74" i="44"/>
  <c r="AN43" i="44"/>
  <c r="AN16" i="44"/>
  <c r="B64" i="44" l="1"/>
  <c r="B22" i="44"/>
  <c r="W31" i="53"/>
  <c r="W30" i="53"/>
  <c r="W28" i="53"/>
  <c r="W27" i="53"/>
  <c r="X25" i="53"/>
  <c r="W25" i="53"/>
  <c r="X24" i="53"/>
  <c r="W24" i="53"/>
  <c r="X23" i="53"/>
  <c r="W23" i="53"/>
  <c r="X22" i="53"/>
  <c r="W22" i="53"/>
  <c r="X20" i="53"/>
  <c r="W20" i="53"/>
  <c r="X19" i="53"/>
  <c r="W19" i="53"/>
  <c r="X18" i="53"/>
  <c r="W18" i="53"/>
  <c r="X17" i="53"/>
  <c r="W17" i="53"/>
  <c r="X15" i="53"/>
  <c r="W15" i="53"/>
  <c r="X14" i="53"/>
  <c r="W14" i="53"/>
  <c r="X13" i="53"/>
  <c r="W13" i="53"/>
  <c r="X12" i="53"/>
  <c r="W12" i="53"/>
  <c r="X11" i="53"/>
  <c r="W11" i="53"/>
  <c r="X10" i="53"/>
  <c r="W10" i="53"/>
  <c r="X9" i="53"/>
  <c r="W9" i="53"/>
  <c r="A4" i="53"/>
  <c r="A2" i="53"/>
  <c r="Q1" i="53"/>
  <c r="X28" i="53"/>
  <c r="X31" i="53"/>
  <c r="X27" i="53"/>
  <c r="X30" i="53"/>
  <c r="AP9" i="44" l="1"/>
  <c r="AP10" i="44"/>
  <c r="AP64" i="44"/>
  <c r="AP12" i="44"/>
  <c r="AP22" i="44"/>
  <c r="AP74" i="44"/>
  <c r="AP43" i="44"/>
  <c r="AP16" i="44"/>
  <c r="AP26" i="44"/>
  <c r="AP25" i="44"/>
  <c r="AP11" i="44"/>
  <c r="AP20" i="44"/>
  <c r="AP21" i="44"/>
  <c r="AP39" i="44"/>
  <c r="AP15" i="44"/>
  <c r="AP33" i="44"/>
  <c r="AP31" i="44"/>
  <c r="AP17" i="44"/>
  <c r="AP18" i="44"/>
  <c r="AP30" i="44"/>
  <c r="AP52" i="44"/>
  <c r="AP47" i="44"/>
  <c r="AP13" i="44"/>
  <c r="AP53" i="44"/>
  <c r="AP59" i="44"/>
  <c r="AP73" i="44"/>
  <c r="AP44" i="44"/>
  <c r="AP75" i="44"/>
  <c r="AP54" i="44"/>
  <c r="AP55" i="44"/>
  <c r="AP88" i="44"/>
  <c r="AP51" i="44"/>
  <c r="AP91" i="44"/>
  <c r="AP19" i="44"/>
  <c r="AP29" i="44"/>
  <c r="AP14" i="44"/>
  <c r="AP120" i="44"/>
  <c r="AP65" i="44"/>
  <c r="AP68" i="44"/>
  <c r="AP38" i="44"/>
  <c r="AP28" i="44"/>
  <c r="AP23" i="44"/>
  <c r="AP40" i="44"/>
  <c r="AP79" i="44"/>
  <c r="AP60" i="44"/>
  <c r="AP116" i="44"/>
  <c r="AP138" i="44"/>
  <c r="AP84" i="44"/>
  <c r="AP35" i="44"/>
  <c r="AP71" i="44"/>
  <c r="AP27" i="44"/>
  <c r="AP135" i="44"/>
  <c r="AP42" i="44"/>
  <c r="AP50" i="44"/>
  <c r="AP82" i="44"/>
  <c r="AP80" i="44"/>
  <c r="AP81" i="44"/>
  <c r="AP56" i="44"/>
  <c r="AP140" i="44"/>
  <c r="AP142" i="44"/>
  <c r="AP93" i="44"/>
  <c r="AP92" i="44"/>
  <c r="AP136" i="44"/>
  <c r="AP144" i="44"/>
  <c r="AP134" i="44"/>
  <c r="AP137" i="44"/>
  <c r="AP141" i="44"/>
  <c r="AP85" i="44"/>
  <c r="AP62" i="44"/>
  <c r="AP146" i="44"/>
  <c r="AP147" i="44"/>
  <c r="AP148" i="44"/>
  <c r="AP57" i="44"/>
  <c r="AP96" i="44"/>
  <c r="AP139" i="44"/>
  <c r="AP143" i="44"/>
  <c r="AP145" i="44"/>
  <c r="AP48" i="44"/>
  <c r="AP46" i="44"/>
  <c r="AP41" i="44"/>
  <c r="AN26" i="44"/>
  <c r="AN25" i="44"/>
  <c r="AN11" i="44"/>
  <c r="AN20" i="44"/>
  <c r="AN21" i="44"/>
  <c r="AN39" i="44"/>
  <c r="AN15" i="44"/>
  <c r="AN33" i="44"/>
  <c r="AN31" i="44"/>
  <c r="AN17" i="44"/>
  <c r="AN18" i="44"/>
  <c r="AN30" i="44"/>
  <c r="AN52" i="44"/>
  <c r="AN47" i="44"/>
  <c r="AN13" i="44"/>
  <c r="AN53" i="44"/>
  <c r="AN59" i="44"/>
  <c r="AN73" i="44"/>
  <c r="AN44" i="44"/>
  <c r="AN75" i="44"/>
  <c r="AN54" i="44"/>
  <c r="AN55" i="44"/>
  <c r="AN88" i="44"/>
  <c r="AN51" i="44"/>
  <c r="AN91" i="44"/>
  <c r="AN19" i="44"/>
  <c r="AN29" i="44"/>
  <c r="AN14" i="44"/>
  <c r="AN120" i="44"/>
  <c r="AN65" i="44"/>
  <c r="AN68" i="44"/>
  <c r="AN38" i="44"/>
  <c r="AN28" i="44"/>
  <c r="AN23" i="44"/>
  <c r="AN40" i="44"/>
  <c r="AN79" i="44"/>
  <c r="AN60" i="44"/>
  <c r="AN116" i="44"/>
  <c r="AN138" i="44"/>
  <c r="AN84" i="44"/>
  <c r="AN35" i="44"/>
  <c r="AN71" i="44"/>
  <c r="AN27" i="44"/>
  <c r="AN135" i="44"/>
  <c r="AN42" i="44"/>
  <c r="AN50" i="44"/>
  <c r="AN82" i="44"/>
  <c r="AN80" i="44"/>
  <c r="AN81" i="44"/>
  <c r="AN56" i="44"/>
  <c r="AN140" i="44"/>
  <c r="AN142" i="44"/>
  <c r="AN93" i="44"/>
  <c r="AN92" i="44"/>
  <c r="AN136" i="44"/>
  <c r="AN144" i="44"/>
  <c r="AN134" i="44"/>
  <c r="AN137" i="44"/>
  <c r="AN141" i="44"/>
  <c r="AN85" i="44"/>
  <c r="AN62" i="44"/>
  <c r="AN146" i="44"/>
  <c r="AN147" i="44"/>
  <c r="AN148" i="44"/>
  <c r="AN57" i="44"/>
  <c r="AN96" i="44"/>
  <c r="AN139" i="44"/>
  <c r="AN143" i="44"/>
  <c r="AN145" i="44"/>
  <c r="AN48" i="44"/>
  <c r="AN46" i="44"/>
  <c r="AN41" i="44"/>
  <c r="B11" i="44"/>
  <c r="B20" i="44"/>
  <c r="B21" i="44"/>
  <c r="B17" i="44"/>
  <c r="B47" i="44"/>
  <c r="B59" i="44"/>
  <c r="B54" i="44"/>
  <c r="B58" i="44"/>
  <c r="B77" i="44"/>
  <c r="B36" i="44"/>
  <c r="B120" i="44"/>
  <c r="B66" i="44"/>
  <c r="B38" i="44"/>
  <c r="B37" i="44"/>
  <c r="B138" i="44"/>
  <c r="B100" i="44"/>
  <c r="B42" i="44"/>
  <c r="B81" i="44"/>
  <c r="B155" i="44"/>
  <c r="B142" i="44"/>
  <c r="B92" i="44"/>
  <c r="B61" i="44"/>
  <c r="B156" i="44"/>
  <c r="B134" i="44"/>
  <c r="B85" i="44"/>
  <c r="B146" i="44"/>
  <c r="B148" i="44"/>
  <c r="B87" i="44"/>
  <c r="B103" i="44"/>
  <c r="B158" i="44"/>
  <c r="B46" i="44"/>
  <c r="B41" i="44"/>
  <c r="B24" i="44"/>
  <c r="B111" i="44"/>
  <c r="C70" i="44" l="1"/>
  <c r="J114" i="44"/>
  <c r="J121" i="44"/>
  <c r="J112" i="44"/>
  <c r="J102" i="44"/>
  <c r="J70" i="44"/>
  <c r="J24" i="44"/>
  <c r="J86" i="44"/>
  <c r="J76" i="44"/>
  <c r="J132" i="44"/>
  <c r="J130" i="44"/>
  <c r="J126" i="44"/>
  <c r="J122" i="44"/>
  <c r="J108" i="44"/>
  <c r="J115" i="44"/>
  <c r="J78" i="44"/>
  <c r="J119" i="44"/>
  <c r="J107" i="44"/>
  <c r="J98" i="44"/>
  <c r="J123" i="44"/>
  <c r="J129" i="44"/>
  <c r="J118" i="44"/>
  <c r="J106" i="44"/>
  <c r="J97" i="44"/>
  <c r="J111" i="44"/>
  <c r="J94" i="44"/>
  <c r="J105" i="44"/>
  <c r="J133" i="44"/>
  <c r="J127" i="44"/>
  <c r="J109" i="44"/>
  <c r="J128" i="44"/>
  <c r="J113" i="44"/>
  <c r="J104" i="44"/>
  <c r="J125" i="44"/>
  <c r="J131" i="44"/>
  <c r="J99" i="44"/>
  <c r="J101" i="44"/>
  <c r="AF162" i="44"/>
  <c r="AM8" i="44" l="1"/>
  <c r="AL8" i="44"/>
  <c r="AK8" i="44"/>
  <c r="AJ8" i="44"/>
  <c r="AI8" i="44"/>
  <c r="AH8" i="44"/>
  <c r="AG8" i="44"/>
  <c r="AM4" i="44"/>
  <c r="AL4" i="44"/>
  <c r="AK4" i="44"/>
  <c r="AJ4" i="44"/>
  <c r="AI4" i="44"/>
  <c r="AH4" i="44"/>
  <c r="AG4" i="44"/>
  <c r="AC4" i="44"/>
  <c r="Y4" i="44"/>
  <c r="X4" i="44"/>
  <c r="W8" i="44"/>
  <c r="W4" i="44"/>
  <c r="V6" i="44"/>
  <c r="V8" i="44"/>
  <c r="V4" i="44"/>
  <c r="A1" i="53" l="1"/>
  <c r="H26" i="36"/>
  <c r="H25" i="36"/>
  <c r="H22" i="36"/>
  <c r="H21" i="36"/>
  <c r="H20" i="36"/>
  <c r="H19" i="36"/>
  <c r="H17" i="36"/>
  <c r="H15" i="36"/>
  <c r="H14" i="36"/>
  <c r="A4" i="51"/>
  <c r="A2" i="51"/>
  <c r="A4" i="50"/>
  <c r="A2" i="50"/>
  <c r="H8" i="36"/>
  <c r="H13" i="36"/>
  <c r="H12" i="36"/>
  <c r="H10" i="36"/>
  <c r="H11" i="36"/>
  <c r="H7" i="36"/>
  <c r="H6" i="36"/>
  <c r="A3" i="51" l="1"/>
  <c r="A3" i="53"/>
  <c r="A3" i="50"/>
  <c r="E21" i="36" l="1"/>
  <c r="A1" i="19" s="1"/>
  <c r="E20" i="36"/>
  <c r="E19" i="36"/>
  <c r="A1" i="17" s="1"/>
  <c r="E17" i="36"/>
  <c r="A1" i="16" s="1"/>
  <c r="E11" i="36"/>
  <c r="E10" i="36"/>
  <c r="E6" i="36"/>
  <c r="A1" i="11" s="1"/>
  <c r="E26" i="36"/>
  <c r="A1" i="22" s="1"/>
  <c r="E25" i="36"/>
  <c r="A1" i="21" s="1"/>
  <c r="E22" i="36"/>
  <c r="A1" i="20" s="1"/>
  <c r="A1" i="51" l="1"/>
  <c r="A1" i="50"/>
  <c r="H1" i="49" l="1"/>
  <c r="Q1" i="51"/>
  <c r="Q1" i="50"/>
  <c r="G1" i="22"/>
  <c r="F1" i="21"/>
  <c r="F1" i="20"/>
  <c r="E1" i="19"/>
  <c r="E1" i="17"/>
  <c r="G1" i="16"/>
  <c r="I1" i="32"/>
  <c r="J1" i="31"/>
  <c r="I1" i="13"/>
  <c r="F1" i="11"/>
  <c r="W31" i="51" l="1"/>
  <c r="W30" i="51"/>
  <c r="W28" i="51"/>
  <c r="W27" i="51"/>
  <c r="W25" i="51"/>
  <c r="X24" i="51"/>
  <c r="W24" i="51"/>
  <c r="X25" i="51" s="1"/>
  <c r="X23" i="51"/>
  <c r="W23" i="51"/>
  <c r="X22" i="51"/>
  <c r="W22" i="51"/>
  <c r="W20" i="51"/>
  <c r="W19" i="51"/>
  <c r="W18" i="51"/>
  <c r="X18" i="51" s="1"/>
  <c r="W17" i="51"/>
  <c r="X20" i="51" s="1"/>
  <c r="W15" i="51"/>
  <c r="X15" i="51" s="1"/>
  <c r="W14" i="51"/>
  <c r="X14" i="51" s="1"/>
  <c r="W13" i="51"/>
  <c r="X13" i="51" s="1"/>
  <c r="W12" i="51"/>
  <c r="X12" i="51" s="1"/>
  <c r="W11" i="51"/>
  <c r="X11" i="51" s="1"/>
  <c r="W10" i="51"/>
  <c r="X10" i="51" s="1"/>
  <c r="W9" i="51"/>
  <c r="X9" i="51" s="1"/>
  <c r="W46" i="50"/>
  <c r="W45" i="50"/>
  <c r="W43" i="50"/>
  <c r="W42" i="50"/>
  <c r="W40" i="50"/>
  <c r="X39" i="50"/>
  <c r="W39" i="50"/>
  <c r="X40" i="50" s="1"/>
  <c r="X38" i="50"/>
  <c r="W38" i="50"/>
  <c r="X37" i="50"/>
  <c r="W37" i="50"/>
  <c r="W35" i="50"/>
  <c r="Y35" i="50" s="1"/>
  <c r="W34" i="50"/>
  <c r="AA34" i="50" s="1"/>
  <c r="W33" i="50"/>
  <c r="Y33" i="50" s="1"/>
  <c r="Z32" i="50"/>
  <c r="W32" i="50"/>
  <c r="AA32" i="50" s="1"/>
  <c r="W31" i="50"/>
  <c r="Y31" i="50" s="1"/>
  <c r="W30" i="50"/>
  <c r="AA30" i="50" s="1"/>
  <c r="W29" i="50"/>
  <c r="Y29" i="50" s="1"/>
  <c r="Z28" i="50"/>
  <c r="W28" i="50"/>
  <c r="AA28" i="50" s="1"/>
  <c r="W26" i="50"/>
  <c r="W25" i="50"/>
  <c r="W24" i="50"/>
  <c r="X24" i="50" s="1"/>
  <c r="W23" i="50"/>
  <c r="X23" i="50" s="1"/>
  <c r="W22" i="50"/>
  <c r="X22" i="50" s="1"/>
  <c r="W21" i="50"/>
  <c r="X21" i="50" s="1"/>
  <c r="W20" i="50"/>
  <c r="X20" i="50" s="1"/>
  <c r="W19" i="50"/>
  <c r="X19" i="50" s="1"/>
  <c r="W18" i="50"/>
  <c r="X18" i="50" s="1"/>
  <c r="W17" i="50"/>
  <c r="X17" i="50" s="1"/>
  <c r="W16" i="50"/>
  <c r="X16" i="50" s="1"/>
  <c r="W15" i="50"/>
  <c r="X15" i="50" s="1"/>
  <c r="W14" i="50"/>
  <c r="X14" i="50" s="1"/>
  <c r="W13" i="50"/>
  <c r="X13" i="50" s="1"/>
  <c r="W12" i="50"/>
  <c r="X12" i="50" s="1"/>
  <c r="W11" i="50"/>
  <c r="X11" i="50" s="1"/>
  <c r="W10" i="50"/>
  <c r="X10" i="50" s="1"/>
  <c r="W9" i="50"/>
  <c r="X26" i="50" s="1"/>
  <c r="X27" i="51"/>
  <c r="X31" i="51"/>
  <c r="X45" i="50"/>
  <c r="X42" i="50"/>
  <c r="X30" i="51"/>
  <c r="X43" i="50"/>
  <c r="X28" i="51"/>
  <c r="X46" i="50"/>
  <c r="Z30" i="50" l="1"/>
  <c r="Z34" i="50"/>
  <c r="X17" i="51"/>
  <c r="X19" i="51"/>
  <c r="Y28" i="50"/>
  <c r="X28" i="50" s="1"/>
  <c r="Y30" i="50"/>
  <c r="X30" i="50" s="1"/>
  <c r="Y32" i="50"/>
  <c r="X32" i="50" s="1"/>
  <c r="Y34" i="50"/>
  <c r="X34" i="50" s="1"/>
  <c r="X9" i="50"/>
  <c r="X25" i="50"/>
  <c r="G62" i="49"/>
  <c r="C62" i="49"/>
  <c r="G52" i="49"/>
  <c r="C52" i="49"/>
  <c r="G42" i="49"/>
  <c r="C42" i="49"/>
  <c r="G32" i="49"/>
  <c r="C32" i="49"/>
  <c r="G22" i="49"/>
  <c r="C22" i="49"/>
  <c r="C13" i="49"/>
  <c r="G13" i="49"/>
  <c r="A4" i="49"/>
  <c r="A2" i="49"/>
  <c r="A1" i="49"/>
  <c r="A3" i="49"/>
  <c r="C64" i="44"/>
  <c r="C12" i="44"/>
  <c r="C22" i="44"/>
  <c r="C20" i="44"/>
  <c r="C21" i="44"/>
  <c r="C39" i="44"/>
  <c r="C33" i="44"/>
  <c r="AE162" i="44"/>
  <c r="AC162" i="44"/>
  <c r="K13" i="36" s="1"/>
  <c r="AM162" i="44"/>
  <c r="AL162" i="44"/>
  <c r="AK162" i="44"/>
  <c r="AJ162" i="44"/>
  <c r="AI162" i="44"/>
  <c r="AH162" i="44"/>
  <c r="AG162" i="44"/>
  <c r="X162" i="44"/>
  <c r="X163" i="44" s="1"/>
  <c r="AB162" i="44"/>
  <c r="AA162" i="44"/>
  <c r="Y162" i="44"/>
  <c r="K12" i="36" s="1"/>
  <c r="W162" i="44"/>
  <c r="W163" i="44" s="1"/>
  <c r="V162" i="44"/>
  <c r="U162" i="44"/>
  <c r="K162" i="44"/>
  <c r="G162" i="44"/>
  <c r="D162" i="44"/>
  <c r="A162" i="44"/>
  <c r="AS111" i="44"/>
  <c r="AR111" i="44"/>
  <c r="AS24" i="44"/>
  <c r="AR24" i="44"/>
  <c r="AS70" i="44"/>
  <c r="AR70" i="44"/>
  <c r="AS41" i="44"/>
  <c r="AR41" i="44"/>
  <c r="C41" i="44"/>
  <c r="I41" i="44"/>
  <c r="F41" i="44"/>
  <c r="AS46" i="44"/>
  <c r="AR46" i="44"/>
  <c r="C46" i="44"/>
  <c r="I46" i="44"/>
  <c r="H46" i="44"/>
  <c r="F46" i="44"/>
  <c r="AS48" i="44"/>
  <c r="AR48" i="44"/>
  <c r="I48" i="44"/>
  <c r="H48" i="44"/>
  <c r="F48" i="44"/>
  <c r="AS161" i="44"/>
  <c r="AR161" i="44"/>
  <c r="F161" i="44"/>
  <c r="I161" i="44"/>
  <c r="H161" i="44"/>
  <c r="C161" i="44"/>
  <c r="AS124" i="44"/>
  <c r="AR124" i="44"/>
  <c r="C124" i="44"/>
  <c r="I124" i="44"/>
  <c r="H124" i="44"/>
  <c r="F124" i="44"/>
  <c r="E124" i="44"/>
  <c r="AS151" i="44"/>
  <c r="AR151" i="44"/>
  <c r="I151" i="44"/>
  <c r="C151" i="44"/>
  <c r="F151" i="44"/>
  <c r="AS150" i="44"/>
  <c r="AR150" i="44"/>
  <c r="C150" i="44"/>
  <c r="I150" i="44"/>
  <c r="H150" i="44"/>
  <c r="F150" i="44"/>
  <c r="E150" i="44"/>
  <c r="AS69" i="44"/>
  <c r="AR69" i="44"/>
  <c r="F69" i="44"/>
  <c r="I69" i="44"/>
  <c r="C69" i="44"/>
  <c r="AS145" i="44"/>
  <c r="AR145" i="44"/>
  <c r="F145" i="44"/>
  <c r="I145" i="44"/>
  <c r="H145" i="44"/>
  <c r="C145" i="44"/>
  <c r="AS143" i="44"/>
  <c r="AR143" i="44"/>
  <c r="C143" i="44"/>
  <c r="I143" i="44"/>
  <c r="H143" i="44"/>
  <c r="F143" i="44"/>
  <c r="AS139" i="44"/>
  <c r="AR139" i="44"/>
  <c r="C139" i="44"/>
  <c r="I139" i="44"/>
  <c r="H139" i="44"/>
  <c r="F139" i="44"/>
  <c r="E139" i="44"/>
  <c r="AS96" i="44"/>
  <c r="AR96" i="44"/>
  <c r="I96" i="44"/>
  <c r="C96" i="44"/>
  <c r="F96" i="44"/>
  <c r="E96" i="44"/>
  <c r="AS57" i="44"/>
  <c r="AR57" i="44"/>
  <c r="I57" i="44"/>
  <c r="H57" i="44"/>
  <c r="F57" i="44"/>
  <c r="E57" i="44"/>
  <c r="AS95" i="44"/>
  <c r="AR95" i="44"/>
  <c r="C95" i="44"/>
  <c r="I95" i="44"/>
  <c r="H95" i="44"/>
  <c r="F95" i="44"/>
  <c r="E95" i="44"/>
  <c r="AS160" i="44"/>
  <c r="AR160" i="44"/>
  <c r="C160" i="44"/>
  <c r="I160" i="44"/>
  <c r="H160" i="44"/>
  <c r="F160" i="44"/>
  <c r="E160" i="44"/>
  <c r="AS159" i="44"/>
  <c r="AR159" i="44"/>
  <c r="C159" i="44"/>
  <c r="I159" i="44"/>
  <c r="H159" i="44"/>
  <c r="F159" i="44"/>
  <c r="E159" i="44"/>
  <c r="AS158" i="44"/>
  <c r="AR158" i="44"/>
  <c r="F158" i="44"/>
  <c r="I158" i="44"/>
  <c r="H158" i="44"/>
  <c r="C158" i="44"/>
  <c r="AS103" i="44"/>
  <c r="AR103" i="44"/>
  <c r="C103" i="44"/>
  <c r="I103" i="44"/>
  <c r="H103" i="44"/>
  <c r="F103" i="44"/>
  <c r="AS110" i="44"/>
  <c r="AR110" i="44"/>
  <c r="C110" i="44"/>
  <c r="I110" i="44"/>
  <c r="H110" i="44"/>
  <c r="F110" i="44"/>
  <c r="E110" i="44"/>
  <c r="AS87" i="44"/>
  <c r="AR87" i="44"/>
  <c r="C87" i="44"/>
  <c r="I87" i="44"/>
  <c r="F87" i="44"/>
  <c r="AS148" i="44"/>
  <c r="AR148" i="44"/>
  <c r="C148" i="44"/>
  <c r="I148" i="44"/>
  <c r="H148" i="44"/>
  <c r="F148" i="44"/>
  <c r="AS147" i="44"/>
  <c r="AR147" i="44"/>
  <c r="I147" i="44"/>
  <c r="H147" i="44"/>
  <c r="F147" i="44"/>
  <c r="E147" i="44"/>
  <c r="AS146" i="44"/>
  <c r="AR146" i="44"/>
  <c r="I146" i="44"/>
  <c r="F146" i="44"/>
  <c r="AS62" i="44"/>
  <c r="AR62" i="44"/>
  <c r="F62" i="44"/>
  <c r="I62" i="44"/>
  <c r="H62" i="44"/>
  <c r="C62" i="44"/>
  <c r="AS85" i="44"/>
  <c r="AR85" i="44"/>
  <c r="C85" i="44"/>
  <c r="I85" i="44"/>
  <c r="H85" i="44"/>
  <c r="F85" i="44"/>
  <c r="AS141" i="44"/>
  <c r="AR141" i="44"/>
  <c r="C141" i="44"/>
  <c r="I141" i="44"/>
  <c r="H141" i="44"/>
  <c r="F141" i="44"/>
  <c r="E141" i="44"/>
  <c r="AS137" i="44"/>
  <c r="AR137" i="44"/>
  <c r="F137" i="44"/>
  <c r="I137" i="44"/>
  <c r="H137" i="44"/>
  <c r="C137" i="44"/>
  <c r="AS134" i="44"/>
  <c r="AR134" i="44"/>
  <c r="F134" i="44"/>
  <c r="I134" i="44"/>
  <c r="H134" i="44"/>
  <c r="C134" i="44"/>
  <c r="AS156" i="44"/>
  <c r="AR156" i="44"/>
  <c r="I156" i="44"/>
  <c r="H156" i="44"/>
  <c r="F156" i="44"/>
  <c r="AS67" i="44"/>
  <c r="AR67" i="44"/>
  <c r="C67" i="44"/>
  <c r="I67" i="44"/>
  <c r="F67" i="44"/>
  <c r="E67" i="44"/>
  <c r="AS144" i="44"/>
  <c r="AR144" i="44"/>
  <c r="C144" i="44"/>
  <c r="I144" i="44"/>
  <c r="H144" i="44"/>
  <c r="F144" i="44"/>
  <c r="E144" i="44"/>
  <c r="AS154" i="44"/>
  <c r="AR154" i="44"/>
  <c r="C154" i="44"/>
  <c r="I154" i="44"/>
  <c r="H154" i="44"/>
  <c r="F154" i="44"/>
  <c r="E154" i="44"/>
  <c r="AS61" i="44"/>
  <c r="AR61" i="44"/>
  <c r="C61" i="44"/>
  <c r="I61" i="44"/>
  <c r="H61" i="44"/>
  <c r="F61" i="44"/>
  <c r="AS136" i="44"/>
  <c r="AR136" i="44"/>
  <c r="F136" i="44"/>
  <c r="I136" i="44"/>
  <c r="H136" i="44"/>
  <c r="C136" i="44"/>
  <c r="AS92" i="44"/>
  <c r="AR92" i="44"/>
  <c r="C92" i="44"/>
  <c r="I92" i="44"/>
  <c r="H92" i="44"/>
  <c r="F92" i="44"/>
  <c r="AS93" i="44"/>
  <c r="AR93" i="44"/>
  <c r="C93" i="44"/>
  <c r="I93" i="44"/>
  <c r="H93" i="44"/>
  <c r="F93" i="44"/>
  <c r="E93" i="44"/>
  <c r="AS149" i="44"/>
  <c r="AR149" i="44"/>
  <c r="C149" i="44"/>
  <c r="I149" i="44"/>
  <c r="H149" i="44"/>
  <c r="F149" i="44"/>
  <c r="E149" i="44"/>
  <c r="AS90" i="44"/>
  <c r="AR90" i="44"/>
  <c r="I90" i="44"/>
  <c r="H90" i="44"/>
  <c r="F90" i="44"/>
  <c r="E90" i="44"/>
  <c r="AS142" i="44"/>
  <c r="AR142" i="44"/>
  <c r="I142" i="44"/>
  <c r="H142" i="44"/>
  <c r="F142" i="44"/>
  <c r="AS49" i="44"/>
  <c r="AR49" i="44"/>
  <c r="I49" i="44"/>
  <c r="C49" i="44"/>
  <c r="AS155" i="44"/>
  <c r="AR155" i="44"/>
  <c r="C155" i="44"/>
  <c r="I155" i="44"/>
  <c r="H155" i="44"/>
  <c r="F155" i="44"/>
  <c r="AS140" i="44"/>
  <c r="AR140" i="44"/>
  <c r="C140" i="44"/>
  <c r="I140" i="44"/>
  <c r="H140" i="44"/>
  <c r="F140" i="44"/>
  <c r="E140" i="44"/>
  <c r="AS34" i="44"/>
  <c r="AR34" i="44"/>
  <c r="C34" i="44"/>
  <c r="I34" i="44"/>
  <c r="H34" i="44"/>
  <c r="F34" i="44"/>
  <c r="E34" i="44"/>
  <c r="AS83" i="44"/>
  <c r="AR83" i="44"/>
  <c r="F83" i="44"/>
  <c r="I83" i="44"/>
  <c r="H83" i="44"/>
  <c r="C83" i="44"/>
  <c r="AS56" i="44"/>
  <c r="AR56" i="44"/>
  <c r="C56" i="44"/>
  <c r="I56" i="44"/>
  <c r="H56" i="44"/>
  <c r="F56" i="44"/>
  <c r="E56" i="44"/>
  <c r="AS81" i="44"/>
  <c r="AR81" i="44"/>
  <c r="C81" i="44"/>
  <c r="I81" i="44"/>
  <c r="H81" i="44"/>
  <c r="F81" i="44"/>
  <c r="AS80" i="44"/>
  <c r="AR80" i="44"/>
  <c r="C80" i="44"/>
  <c r="I80" i="44"/>
  <c r="H80" i="44"/>
  <c r="F80" i="44"/>
  <c r="E80" i="44"/>
  <c r="AS82" i="44"/>
  <c r="AR82" i="44"/>
  <c r="F82" i="44"/>
  <c r="I82" i="44"/>
  <c r="H82" i="44"/>
  <c r="C82" i="44"/>
  <c r="AS50" i="44"/>
  <c r="AR50" i="44"/>
  <c r="C50" i="44"/>
  <c r="I50" i="44"/>
  <c r="H50" i="44"/>
  <c r="F50" i="44"/>
  <c r="E50" i="44"/>
  <c r="AS42" i="44"/>
  <c r="AR42" i="44"/>
  <c r="C42" i="44"/>
  <c r="I42" i="44"/>
  <c r="H42" i="44"/>
  <c r="F42" i="44"/>
  <c r="AS135" i="44"/>
  <c r="AR135" i="44"/>
  <c r="C135" i="44"/>
  <c r="I135" i="44"/>
  <c r="H135" i="44"/>
  <c r="F135" i="44"/>
  <c r="E135" i="44"/>
  <c r="AS153" i="44"/>
  <c r="AR153" i="44"/>
  <c r="F153" i="44"/>
  <c r="I153" i="44"/>
  <c r="H153" i="44"/>
  <c r="C153" i="44"/>
  <c r="AS27" i="44"/>
  <c r="AR27" i="44"/>
  <c r="F27" i="44"/>
  <c r="I27" i="44"/>
  <c r="H27" i="44"/>
  <c r="C27" i="44"/>
  <c r="AS71" i="44"/>
  <c r="AR71" i="44"/>
  <c r="I71" i="44"/>
  <c r="F71" i="44"/>
  <c r="C71" i="44"/>
  <c r="AS35" i="44"/>
  <c r="AR35" i="44"/>
  <c r="C35" i="44"/>
  <c r="I35" i="44"/>
  <c r="H35" i="44"/>
  <c r="F35" i="44"/>
  <c r="E35" i="44"/>
  <c r="AS100" i="44"/>
  <c r="AR100" i="44"/>
  <c r="C100" i="44"/>
  <c r="I100" i="44"/>
  <c r="H100" i="44"/>
  <c r="F100" i="44"/>
  <c r="AS84" i="44"/>
  <c r="AR84" i="44"/>
  <c r="F84" i="44"/>
  <c r="I84" i="44"/>
  <c r="H84" i="44"/>
  <c r="C84" i="44"/>
  <c r="AS138" i="44"/>
  <c r="AR138" i="44"/>
  <c r="F138" i="44"/>
  <c r="I138" i="44"/>
  <c r="H138" i="44"/>
  <c r="C138" i="44"/>
  <c r="AS116" i="44"/>
  <c r="AR116" i="44"/>
  <c r="I116" i="44"/>
  <c r="H116" i="44"/>
  <c r="F116" i="44"/>
  <c r="E116" i="44"/>
  <c r="AS117" i="44"/>
  <c r="AR117" i="44"/>
  <c r="C117" i="44"/>
  <c r="I117" i="44"/>
  <c r="H117" i="44"/>
  <c r="F117" i="44"/>
  <c r="E117" i="44"/>
  <c r="AS60" i="44"/>
  <c r="AR60" i="44"/>
  <c r="F60" i="44"/>
  <c r="I60" i="44"/>
  <c r="H60" i="44"/>
  <c r="C60" i="44"/>
  <c r="AS32" i="44"/>
  <c r="AR32" i="44"/>
  <c r="I32" i="44"/>
  <c r="C32" i="44"/>
  <c r="AS79" i="44"/>
  <c r="AR79" i="44"/>
  <c r="F79" i="44"/>
  <c r="I79" i="44"/>
  <c r="H79" i="44"/>
  <c r="C79" i="44"/>
  <c r="AS157" i="44"/>
  <c r="AR157" i="44"/>
  <c r="I157" i="44"/>
  <c r="H157" i="44"/>
  <c r="F157" i="44"/>
  <c r="E157" i="44"/>
  <c r="AS89" i="44"/>
  <c r="AR89" i="44"/>
  <c r="I89" i="44"/>
  <c r="H89" i="44"/>
  <c r="F89" i="44"/>
  <c r="E89" i="44"/>
  <c r="AS40" i="44"/>
  <c r="AR40" i="44"/>
  <c r="I40" i="44"/>
  <c r="H40" i="44"/>
  <c r="F40" i="44"/>
  <c r="E40" i="44"/>
  <c r="AS23" i="44"/>
  <c r="AR23" i="44"/>
  <c r="F23" i="44"/>
  <c r="I23" i="44"/>
  <c r="H23" i="44"/>
  <c r="C23" i="44"/>
  <c r="AS37" i="44"/>
  <c r="AR37" i="44"/>
  <c r="I37" i="44"/>
  <c r="H37" i="44"/>
  <c r="F37" i="44"/>
  <c r="AS28" i="44"/>
  <c r="AR28" i="44"/>
  <c r="I28" i="44"/>
  <c r="H28" i="44"/>
  <c r="F28" i="44"/>
  <c r="E28" i="44"/>
  <c r="AS38" i="44"/>
  <c r="AR38" i="44"/>
  <c r="F38" i="44"/>
  <c r="I38" i="44"/>
  <c r="H38" i="44"/>
  <c r="C38" i="44"/>
  <c r="AS66" i="44"/>
  <c r="AR66" i="44"/>
  <c r="C66" i="44"/>
  <c r="I66" i="44"/>
  <c r="H66" i="44"/>
  <c r="F66" i="44"/>
  <c r="AS68" i="44"/>
  <c r="AR68" i="44"/>
  <c r="C68" i="44"/>
  <c r="I68" i="44"/>
  <c r="H68" i="44"/>
  <c r="F68" i="44"/>
  <c r="E68" i="44"/>
  <c r="AS65" i="44"/>
  <c r="AR65" i="44"/>
  <c r="I65" i="44"/>
  <c r="H65" i="44"/>
  <c r="F65" i="44"/>
  <c r="E65" i="44"/>
  <c r="AS63" i="44"/>
  <c r="AR63" i="44"/>
  <c r="I63" i="44"/>
  <c r="H63" i="44"/>
  <c r="F63" i="44"/>
  <c r="E63" i="44"/>
  <c r="AS120" i="44"/>
  <c r="AR120" i="44"/>
  <c r="F120" i="44"/>
  <c r="I120" i="44"/>
  <c r="C120" i="44"/>
  <c r="AS14" i="44"/>
  <c r="AR14" i="44"/>
  <c r="I14" i="44"/>
  <c r="H14" i="44"/>
  <c r="F14" i="44"/>
  <c r="E14" i="44"/>
  <c r="AS72" i="44"/>
  <c r="AR72" i="44"/>
  <c r="I72" i="44"/>
  <c r="H72" i="44"/>
  <c r="F72" i="44"/>
  <c r="E72" i="44"/>
  <c r="AS36" i="44"/>
  <c r="AR36" i="44"/>
  <c r="F36" i="44"/>
  <c r="I36" i="44"/>
  <c r="H36" i="44"/>
  <c r="C36" i="44"/>
  <c r="AS77" i="44"/>
  <c r="AR77" i="44"/>
  <c r="F77" i="44"/>
  <c r="I77" i="44"/>
  <c r="H77" i="44"/>
  <c r="C77" i="44"/>
  <c r="AS29" i="44"/>
  <c r="AR29" i="44"/>
  <c r="C29" i="44"/>
  <c r="I29" i="44"/>
  <c r="H29" i="44"/>
  <c r="F29" i="44"/>
  <c r="E29" i="44"/>
  <c r="AS152" i="44"/>
  <c r="AR152" i="44"/>
  <c r="I152" i="44"/>
  <c r="H152" i="44"/>
  <c r="F152" i="44"/>
  <c r="E152" i="44"/>
  <c r="AS19" i="44"/>
  <c r="AR19" i="44"/>
  <c r="I19" i="44"/>
  <c r="C19" i="44"/>
  <c r="F19" i="44"/>
  <c r="E19" i="44"/>
  <c r="AS91" i="44"/>
  <c r="AR91" i="44"/>
  <c r="I91" i="44"/>
  <c r="H91" i="44"/>
  <c r="F91" i="44"/>
  <c r="E91" i="44"/>
  <c r="AS58" i="44"/>
  <c r="AR58" i="44"/>
  <c r="I58" i="44"/>
  <c r="H58" i="44"/>
  <c r="F58" i="44"/>
  <c r="AS51" i="44"/>
  <c r="AR51" i="44"/>
  <c r="I51" i="44"/>
  <c r="C51" i="44"/>
  <c r="F51" i="44"/>
  <c r="E51" i="44"/>
  <c r="AS88" i="44"/>
  <c r="AR88" i="44"/>
  <c r="C88" i="44"/>
  <c r="I88" i="44"/>
  <c r="H88" i="44"/>
  <c r="F88" i="44"/>
  <c r="E88" i="44"/>
  <c r="AS55" i="44"/>
  <c r="AR55" i="44"/>
  <c r="C55" i="44"/>
  <c r="I55" i="44"/>
  <c r="H55" i="44"/>
  <c r="F55" i="44"/>
  <c r="E55" i="44"/>
  <c r="AS54" i="44"/>
  <c r="AR54" i="44"/>
  <c r="I54" i="44"/>
  <c r="H54" i="44"/>
  <c r="F54" i="44"/>
  <c r="AS75" i="44"/>
  <c r="AR75" i="44"/>
  <c r="F75" i="44"/>
  <c r="I75" i="44"/>
  <c r="H75" i="44"/>
  <c r="C75" i="44"/>
  <c r="AS44" i="44"/>
  <c r="AR44" i="44"/>
  <c r="F44" i="44"/>
  <c r="I44" i="44"/>
  <c r="H44" i="44"/>
  <c r="C44" i="44"/>
  <c r="AS73" i="44"/>
  <c r="AR73" i="44"/>
  <c r="I73" i="44"/>
  <c r="H73" i="44"/>
  <c r="F73" i="44"/>
  <c r="E73" i="44"/>
  <c r="AS59" i="44"/>
  <c r="AR59" i="44"/>
  <c r="F59" i="44"/>
  <c r="I59" i="44"/>
  <c r="H59" i="44"/>
  <c r="C59" i="44"/>
  <c r="AS53" i="44"/>
  <c r="AR53" i="44"/>
  <c r="F53" i="44"/>
  <c r="I53" i="44"/>
  <c r="H53" i="44"/>
  <c r="C53" i="44"/>
  <c r="AS13" i="44"/>
  <c r="AR13" i="44"/>
  <c r="F13" i="44"/>
  <c r="I13" i="44"/>
  <c r="H13" i="44"/>
  <c r="C13" i="44"/>
  <c r="AS47" i="44"/>
  <c r="AR47" i="44"/>
  <c r="F47" i="44"/>
  <c r="I47" i="44"/>
  <c r="H47" i="44"/>
  <c r="C47" i="44"/>
  <c r="AS52" i="44"/>
  <c r="AR52" i="44"/>
  <c r="F52" i="44"/>
  <c r="I52" i="44"/>
  <c r="H52" i="44"/>
  <c r="C52" i="44"/>
  <c r="AS30" i="44"/>
  <c r="AR30" i="44"/>
  <c r="F30" i="44"/>
  <c r="I30" i="44"/>
  <c r="H30" i="44"/>
  <c r="C30" i="44"/>
  <c r="AS18" i="44"/>
  <c r="AR18" i="44"/>
  <c r="C18" i="44"/>
  <c r="I18" i="44"/>
  <c r="F18" i="44"/>
  <c r="E18" i="44"/>
  <c r="AS17" i="44"/>
  <c r="AR17" i="44"/>
  <c r="F17" i="44"/>
  <c r="I17" i="44"/>
  <c r="H17" i="44"/>
  <c r="C17" i="44"/>
  <c r="AS31" i="44"/>
  <c r="AR31" i="44"/>
  <c r="I31" i="44"/>
  <c r="H31" i="44"/>
  <c r="F31" i="44"/>
  <c r="E31" i="44"/>
  <c r="AS33" i="44"/>
  <c r="AR33" i="44"/>
  <c r="I33" i="44"/>
  <c r="F33" i="44"/>
  <c r="E33" i="44"/>
  <c r="AS15" i="44"/>
  <c r="AR15" i="44"/>
  <c r="I15" i="44"/>
  <c r="H15" i="44"/>
  <c r="F15" i="44"/>
  <c r="E15" i="44"/>
  <c r="AS39" i="44"/>
  <c r="AR39" i="44"/>
  <c r="I39" i="44"/>
  <c r="F39" i="44"/>
  <c r="E39" i="44"/>
  <c r="AS21" i="44"/>
  <c r="AR21" i="44"/>
  <c r="I21" i="44"/>
  <c r="H21" i="44"/>
  <c r="F21" i="44"/>
  <c r="AS20" i="44"/>
  <c r="AR20" i="44"/>
  <c r="I20" i="44"/>
  <c r="H20" i="44"/>
  <c r="F20" i="44"/>
  <c r="AS11" i="44"/>
  <c r="AR11" i="44"/>
  <c r="C11" i="44"/>
  <c r="I11" i="44"/>
  <c r="H11" i="44"/>
  <c r="F11" i="44"/>
  <c r="AS25" i="44"/>
  <c r="AR25" i="44"/>
  <c r="I25" i="44"/>
  <c r="F25" i="44"/>
  <c r="E25" i="44"/>
  <c r="AS26" i="44"/>
  <c r="AR26" i="44"/>
  <c r="I26" i="44"/>
  <c r="H26" i="44"/>
  <c r="F26" i="44"/>
  <c r="E26" i="44"/>
  <c r="AS16" i="44"/>
  <c r="AR16" i="44"/>
  <c r="F16" i="44"/>
  <c r="I16" i="44"/>
  <c r="H16" i="44"/>
  <c r="C16" i="44"/>
  <c r="AS43" i="44"/>
  <c r="AR43" i="44"/>
  <c r="F43" i="44"/>
  <c r="I43" i="44"/>
  <c r="H43" i="44"/>
  <c r="C43" i="44"/>
  <c r="AS74" i="44"/>
  <c r="AR74" i="44"/>
  <c r="C74" i="44"/>
  <c r="I74" i="44"/>
  <c r="H74" i="44"/>
  <c r="F74" i="44"/>
  <c r="E74" i="44"/>
  <c r="AS22" i="44"/>
  <c r="AR22" i="44"/>
  <c r="I22" i="44"/>
  <c r="H22" i="44"/>
  <c r="F22" i="44"/>
  <c r="AS12" i="44"/>
  <c r="AR12" i="44"/>
  <c r="I12" i="44"/>
  <c r="H12" i="44"/>
  <c r="F12" i="44"/>
  <c r="E12" i="44"/>
  <c r="AS64" i="44"/>
  <c r="AR64" i="44"/>
  <c r="I64" i="44"/>
  <c r="H64" i="44"/>
  <c r="F64" i="44"/>
  <c r="AS10" i="44"/>
  <c r="AR10" i="44"/>
  <c r="I10" i="44"/>
  <c r="H10" i="44"/>
  <c r="F10" i="44"/>
  <c r="E10" i="44"/>
  <c r="AS9" i="44"/>
  <c r="AR9" i="44"/>
  <c r="I9" i="44"/>
  <c r="H9" i="44"/>
  <c r="F9" i="44"/>
  <c r="E9" i="44"/>
  <c r="AS45" i="44"/>
  <c r="AR45" i="44"/>
  <c r="AP162" i="44"/>
  <c r="C45" i="44"/>
  <c r="I45" i="44"/>
  <c r="H45" i="44"/>
  <c r="F45" i="44"/>
  <c r="E45" i="44"/>
  <c r="C90" i="44"/>
  <c r="C156" i="44"/>
  <c r="C57" i="44"/>
  <c r="C48" i="44"/>
  <c r="A4" i="22"/>
  <c r="A2" i="22"/>
  <c r="A4" i="21"/>
  <c r="A2" i="21"/>
  <c r="A4" i="20"/>
  <c r="A2" i="20"/>
  <c r="A4" i="19"/>
  <c r="A2" i="19"/>
  <c r="A4" i="17"/>
  <c r="A2" i="17"/>
  <c r="A4" i="16"/>
  <c r="A2" i="16"/>
  <c r="A4" i="11"/>
  <c r="A2" i="11"/>
  <c r="A3" i="17"/>
  <c r="A3" i="22"/>
  <c r="A3" i="21"/>
  <c r="A3" i="11"/>
  <c r="A3" i="20"/>
  <c r="A3" i="19"/>
  <c r="A3" i="16"/>
  <c r="C142" i="44"/>
  <c r="C146" i="44"/>
  <c r="C40" i="44"/>
  <c r="F32" i="44"/>
  <c r="C10" i="44"/>
  <c r="C25" i="44"/>
  <c r="C15" i="44"/>
  <c r="C54" i="44"/>
  <c r="C26" i="44"/>
  <c r="F49" i="44"/>
  <c r="C63" i="44"/>
  <c r="C9" i="44"/>
  <c r="G23" i="49" l="1"/>
  <c r="G33" i="49" s="1"/>
  <c r="G43" i="49" s="1"/>
  <c r="G53" i="49" s="1"/>
  <c r="G63" i="49" s="1"/>
  <c r="E123" i="44"/>
  <c r="H101" i="44"/>
  <c r="H131" i="44"/>
  <c r="E132" i="44"/>
  <c r="E133" i="44"/>
  <c r="E130" i="44"/>
  <c r="E108" i="44"/>
  <c r="E121" i="44"/>
  <c r="E118" i="44"/>
  <c r="E48" i="44"/>
  <c r="E106" i="44"/>
  <c r="H69" i="44"/>
  <c r="H125" i="44"/>
  <c r="E105" i="44"/>
  <c r="E94" i="44"/>
  <c r="E24" i="44"/>
  <c r="E111" i="44"/>
  <c r="K19" i="36"/>
  <c r="AH163" i="44"/>
  <c r="H41" i="44"/>
  <c r="E41" i="44"/>
  <c r="E46" i="44"/>
  <c r="K10" i="36"/>
  <c r="K11" i="36"/>
  <c r="AJ163" i="44"/>
  <c r="K21" i="36"/>
  <c r="AL163" i="44"/>
  <c r="K25" i="36"/>
  <c r="V163" i="44"/>
  <c r="K6" i="36"/>
  <c r="AG163" i="44"/>
  <c r="K17" i="36"/>
  <c r="AI163" i="44"/>
  <c r="K20" i="36"/>
  <c r="AK163" i="44"/>
  <c r="K22" i="36"/>
  <c r="AM163" i="44"/>
  <c r="K26" i="36"/>
  <c r="AO162" i="44"/>
  <c r="H120" i="44"/>
  <c r="H67" i="44"/>
  <c r="E64" i="44"/>
  <c r="AQ162" i="44"/>
  <c r="H87" i="44"/>
  <c r="H18" i="44"/>
  <c r="E151" i="44"/>
  <c r="E22" i="44"/>
  <c r="H25" i="44"/>
  <c r="E61" i="44"/>
  <c r="E156" i="44"/>
  <c r="E11" i="44"/>
  <c r="E42" i="44"/>
  <c r="E146" i="44"/>
  <c r="E87" i="44"/>
  <c r="E21" i="44"/>
  <c r="E58" i="44"/>
  <c r="E81" i="44"/>
  <c r="E92" i="44"/>
  <c r="E143" i="44"/>
  <c r="E103" i="44"/>
  <c r="E148" i="44"/>
  <c r="E54" i="44"/>
  <c r="E85" i="44"/>
  <c r="E66" i="44"/>
  <c r="E37" i="44"/>
  <c r="E155" i="44"/>
  <c r="E142" i="44"/>
  <c r="E100" i="44"/>
  <c r="E20" i="44"/>
  <c r="E44" i="44"/>
  <c r="J136" i="44"/>
  <c r="J103" i="44"/>
  <c r="J39" i="44"/>
  <c r="J12" i="44"/>
  <c r="J156" i="44"/>
  <c r="J42" i="44"/>
  <c r="J50" i="44"/>
  <c r="J144" i="44"/>
  <c r="J21" i="44"/>
  <c r="J124" i="44"/>
  <c r="J142" i="44"/>
  <c r="J44" i="44"/>
  <c r="J145" i="44"/>
  <c r="J141" i="44"/>
  <c r="J43" i="44"/>
  <c r="J82" i="44"/>
  <c r="J17" i="44"/>
  <c r="J150" i="44"/>
  <c r="J51" i="44"/>
  <c r="J71" i="44"/>
  <c r="J87" i="44"/>
  <c r="J47" i="44"/>
  <c r="J19" i="44"/>
  <c r="J146" i="44"/>
  <c r="J52" i="44"/>
  <c r="J45" i="44"/>
  <c r="J66" i="44"/>
  <c r="J23" i="44"/>
  <c r="J25" i="44"/>
  <c r="J29" i="44"/>
  <c r="J35" i="44"/>
  <c r="J67" i="44"/>
  <c r="J57" i="44"/>
  <c r="J92" i="44"/>
  <c r="J93" i="44"/>
  <c r="J61" i="44"/>
  <c r="J46" i="44"/>
  <c r="C31" i="44"/>
  <c r="J32" i="44"/>
  <c r="J18" i="44"/>
  <c r="J10" i="44"/>
  <c r="J85" i="44"/>
  <c r="J139" i="44"/>
  <c r="J30" i="44"/>
  <c r="J15" i="44"/>
  <c r="J138" i="44"/>
  <c r="J84" i="44"/>
  <c r="J80" i="44"/>
  <c r="J34" i="44"/>
  <c r="J60" i="44"/>
  <c r="J149" i="44"/>
  <c r="J135" i="44"/>
  <c r="J54" i="44"/>
  <c r="J68" i="44"/>
  <c r="J161" i="44"/>
  <c r="J154" i="44"/>
  <c r="J53" i="44"/>
  <c r="J83" i="44"/>
  <c r="J41" i="44"/>
  <c r="J137" i="44"/>
  <c r="J20" i="44"/>
  <c r="J117" i="44"/>
  <c r="J56" i="44"/>
  <c r="J155" i="44"/>
  <c r="J9" i="44"/>
  <c r="J100" i="44"/>
  <c r="J159" i="44"/>
  <c r="J69" i="44"/>
  <c r="J81" i="44"/>
  <c r="J27" i="44"/>
  <c r="J95" i="44"/>
  <c r="J40" i="44"/>
  <c r="J96" i="44"/>
  <c r="J110" i="44"/>
  <c r="C91" i="44"/>
  <c r="J91" i="44"/>
  <c r="E77" i="44"/>
  <c r="J36" i="44"/>
  <c r="C65" i="44"/>
  <c r="J65" i="44"/>
  <c r="C28" i="44"/>
  <c r="J28" i="44"/>
  <c r="E32" i="44"/>
  <c r="E69" i="44"/>
  <c r="E138" i="44"/>
  <c r="E43" i="44"/>
  <c r="E13" i="44"/>
  <c r="E17" i="44"/>
  <c r="E53" i="44"/>
  <c r="E84" i="44"/>
  <c r="E79" i="44"/>
  <c r="E82" i="44"/>
  <c r="E136" i="44"/>
  <c r="E137" i="44"/>
  <c r="E120" i="44"/>
  <c r="E52" i="44"/>
  <c r="E75" i="44"/>
  <c r="E23" i="44"/>
  <c r="E161" i="44"/>
  <c r="E16" i="44"/>
  <c r="E30" i="44"/>
  <c r="E153" i="44"/>
  <c r="E134" i="44"/>
  <c r="E36" i="44"/>
  <c r="E38" i="44"/>
  <c r="E59" i="44"/>
  <c r="J73" i="44"/>
  <c r="C73" i="44"/>
  <c r="J75" i="44"/>
  <c r="H49" i="44"/>
  <c r="H96" i="44"/>
  <c r="H51" i="44"/>
  <c r="H71" i="44"/>
  <c r="H33" i="44"/>
  <c r="C72" i="44"/>
  <c r="J72" i="44"/>
  <c r="J38" i="44"/>
  <c r="C157" i="44"/>
  <c r="J157" i="44"/>
  <c r="E49" i="44"/>
  <c r="C23" i="49"/>
  <c r="C33" i="49" s="1"/>
  <c r="C43" i="49" s="1"/>
  <c r="C53" i="49" s="1"/>
  <c r="C63" i="49" s="1"/>
  <c r="X33" i="50"/>
  <c r="X35" i="50"/>
  <c r="X29" i="50"/>
  <c r="X31" i="50"/>
  <c r="E145" i="44"/>
  <c r="E47" i="44"/>
  <c r="J59" i="44"/>
  <c r="H19" i="44"/>
  <c r="C152" i="44"/>
  <c r="J152" i="44"/>
  <c r="C37" i="44"/>
  <c r="J37" i="44"/>
  <c r="H32" i="44"/>
  <c r="E27" i="44"/>
  <c r="E83" i="44"/>
  <c r="C147" i="44"/>
  <c r="J147" i="44"/>
  <c r="J153" i="44"/>
  <c r="J158" i="44"/>
  <c r="J64" i="44"/>
  <c r="J148" i="44"/>
  <c r="J22" i="44"/>
  <c r="J31" i="44"/>
  <c r="J90" i="44"/>
  <c r="J11" i="44"/>
  <c r="J13" i="44"/>
  <c r="J74" i="44"/>
  <c r="J48" i="44"/>
  <c r="J134" i="44"/>
  <c r="J33" i="44"/>
  <c r="J88" i="44"/>
  <c r="J120" i="44"/>
  <c r="J55" i="44"/>
  <c r="J26" i="44"/>
  <c r="J160" i="44"/>
  <c r="J143" i="44"/>
  <c r="J62" i="44"/>
  <c r="J16" i="44"/>
  <c r="J79" i="44"/>
  <c r="J49" i="44"/>
  <c r="J151" i="44"/>
  <c r="J140" i="44"/>
  <c r="H151" i="44"/>
  <c r="H39" i="44"/>
  <c r="C58" i="44"/>
  <c r="J58" i="44"/>
  <c r="J77" i="44"/>
  <c r="C14" i="44"/>
  <c r="J14" i="44"/>
  <c r="J63" i="44"/>
  <c r="C89" i="44"/>
  <c r="J89" i="44"/>
  <c r="E60" i="44"/>
  <c r="C116" i="44"/>
  <c r="J116" i="44"/>
  <c r="E71" i="44"/>
  <c r="E62" i="44"/>
  <c r="H146" i="44"/>
  <c r="E158" i="44"/>
  <c r="B109" i="44" l="1"/>
  <c r="B86" i="44"/>
  <c r="B101" i="44"/>
  <c r="B76" i="44"/>
  <c r="B123" i="44"/>
  <c r="B131" i="44"/>
  <c r="B122" i="44"/>
  <c r="B126" i="44"/>
  <c r="B127" i="44"/>
  <c r="B99" i="44"/>
  <c r="B115" i="44"/>
  <c r="B114" i="44"/>
  <c r="B78" i="44"/>
  <c r="B128" i="44"/>
  <c r="B112" i="44"/>
  <c r="B129" i="44"/>
  <c r="B97" i="44"/>
  <c r="B102" i="44"/>
  <c r="B104" i="44"/>
  <c r="B113" i="44"/>
  <c r="B98" i="44"/>
  <c r="B107" i="44"/>
  <c r="B119" i="44"/>
  <c r="B125" i="44"/>
  <c r="B70" i="44"/>
  <c r="B89" i="44"/>
  <c r="B26" i="44"/>
  <c r="B147" i="44"/>
  <c r="B72" i="44"/>
  <c r="B12" i="44"/>
  <c r="B95" i="44"/>
  <c r="B159" i="44"/>
  <c r="B62" i="44"/>
  <c r="B154" i="44"/>
  <c r="B140" i="44"/>
  <c r="B80" i="44"/>
  <c r="B27" i="44"/>
  <c r="B35" i="44"/>
  <c r="B117" i="44"/>
  <c r="B68" i="44"/>
  <c r="B19" i="44"/>
  <c r="B88" i="44"/>
  <c r="B44" i="44"/>
  <c r="B52" i="44"/>
  <c r="B45" i="44"/>
  <c r="B25" i="44"/>
  <c r="B33" i="44"/>
  <c r="B141" i="44"/>
  <c r="B93" i="44"/>
  <c r="B49" i="44"/>
  <c r="B56" i="44"/>
  <c r="B50" i="44"/>
  <c r="B60" i="44"/>
  <c r="B23" i="44"/>
  <c r="B53" i="44"/>
  <c r="B18" i="44"/>
  <c r="B74" i="44"/>
  <c r="B57" i="44"/>
  <c r="B10" i="44"/>
  <c r="B116" i="44"/>
  <c r="B14" i="44"/>
  <c r="B152" i="44"/>
  <c r="B157" i="44"/>
  <c r="B73" i="44"/>
  <c r="B28" i="44"/>
  <c r="B65" i="44"/>
  <c r="B91" i="44"/>
  <c r="B31" i="44"/>
  <c r="B39" i="44"/>
  <c r="B160" i="44"/>
  <c r="B110" i="44"/>
  <c r="B137" i="44"/>
  <c r="B136" i="44"/>
  <c r="B34" i="44"/>
  <c r="B135" i="44"/>
  <c r="B71" i="44"/>
  <c r="B84" i="44"/>
  <c r="B32" i="44"/>
  <c r="B29" i="44"/>
  <c r="B51" i="44"/>
  <c r="B55" i="44"/>
  <c r="B13" i="44"/>
  <c r="B16" i="44"/>
  <c r="B48" i="44"/>
  <c r="B9" i="44"/>
  <c r="B96" i="44"/>
  <c r="B67" i="44"/>
  <c r="B149" i="44"/>
  <c r="B83" i="44"/>
  <c r="B82" i="44"/>
  <c r="B153" i="44"/>
  <c r="B79" i="44"/>
  <c r="B75" i="44"/>
  <c r="B30" i="44"/>
  <c r="B43" i="44"/>
  <c r="B90" i="44"/>
  <c r="B40" i="44"/>
  <c r="B15" i="44"/>
  <c r="B63" i="44"/>
  <c r="B145" i="44"/>
  <c r="B69" i="44"/>
  <c r="B161" i="44"/>
  <c r="E162" i="44"/>
  <c r="B150" i="44"/>
  <c r="B143" i="44"/>
  <c r="B139" i="44"/>
  <c r="B124" i="44"/>
  <c r="H162" i="44"/>
  <c r="B151" i="44"/>
  <c r="B162" i="44" l="1"/>
</calcChain>
</file>

<file path=xl/comments1.xml><?xml version="1.0" encoding="utf-8"?>
<comments xmlns="http://schemas.openxmlformats.org/spreadsheetml/2006/main">
  <authors>
    <author>Author</author>
  </authors>
  <commentList>
    <comment ref="K4" authorId="0">
      <text>
        <r>
          <rPr>
            <b/>
            <sz val="8"/>
            <color indexed="81"/>
            <rFont val="Tahoma"/>
            <family val="2"/>
            <charset val="186"/>
          </rPr>
          <t>Osalejate arv</t>
        </r>
      </text>
    </comment>
    <comment ref="H6" authorId="0">
      <text>
        <r>
          <rPr>
            <b/>
            <sz val="8"/>
            <color indexed="81"/>
            <rFont val="Tahoma"/>
            <family val="2"/>
            <charset val="186"/>
          </rPr>
          <t>Saku, Teaduse 2
Teaduse 2 maja taga asuv hokiväljak, kruusakate
12 väljakut</t>
        </r>
      </text>
    </comment>
    <comment ref="H7" authorId="0">
      <text>
        <r>
          <rPr>
            <b/>
            <sz val="8"/>
            <color indexed="81"/>
            <rFont val="Tahoma"/>
            <family val="2"/>
            <charset val="186"/>
          </rPr>
          <t>Saku, Teaduse 2
Teaduse 2 maja taga asuv hokiväljak, kruusakate
12 väljakut</t>
        </r>
      </text>
    </comment>
    <comment ref="H8" authorId="0">
      <text>
        <r>
          <rPr>
            <b/>
            <sz val="8"/>
            <color indexed="81"/>
            <rFont val="Tahoma"/>
            <family val="2"/>
            <charset val="186"/>
          </rPr>
          <t>Valga, Pärna pst 17a 
nn “Tivoli väljak“
kell 11</t>
        </r>
      </text>
    </comment>
    <comment ref="H10" authorId="0">
      <text>
        <r>
          <rPr>
            <b/>
            <sz val="8"/>
            <color indexed="81"/>
            <rFont val="Tahoma"/>
            <family val="2"/>
            <charset val="186"/>
          </rPr>
          <t>Uuskalda, Kärbla küla, Lääne-Nigula vald, Läänemaa</t>
        </r>
      </text>
    </comment>
    <comment ref="J10" authorId="0">
      <text>
        <r>
          <rPr>
            <b/>
            <sz val="8"/>
            <color indexed="81"/>
            <rFont val="Tahoma"/>
            <family val="2"/>
            <charset val="186"/>
          </rPr>
          <t>Juunioridel 2 €
Osalustasu sisaldab lõunasöögiks rammusat ja kosutavat suppi
Eesti meistrivõistlustel osalemiseks peavad olema: 
 - petankeri litsents, 
 - võistluskuulid, 
 - meeskonnal ühtne võistlussärk.</t>
        </r>
      </text>
    </comment>
    <comment ref="H11" authorId="0">
      <text>
        <r>
          <rPr>
            <b/>
            <sz val="8"/>
            <color indexed="81"/>
            <rFont val="Tahoma"/>
            <family val="2"/>
            <charset val="186"/>
          </rPr>
          <t>Uuskalda, Kärbla küla, Lääne-Nigula vald, Läänemaa</t>
        </r>
      </text>
    </comment>
    <comment ref="H12" authorId="0">
      <text>
        <r>
          <rPr>
            <b/>
            <sz val="8"/>
            <color indexed="81"/>
            <rFont val="Tahoma"/>
            <family val="2"/>
            <charset val="186"/>
          </rPr>
          <t>Jõhvi, 
Narva mnt 139b</t>
        </r>
      </text>
    </comment>
    <comment ref="J12" authorId="0">
      <text>
        <r>
          <rPr>
            <b/>
            <sz val="8"/>
            <color indexed="81"/>
            <rFont val="Tahoma"/>
            <family val="2"/>
            <charset val="186"/>
          </rPr>
          <t>Juunioridel 2 €
Osalustasu sisaldab sooja suppi
Eesti meistrivõistlustel osalemiseks peavad olema: 
 - petankeri litsents, 
 - võistluskuulid.</t>
        </r>
      </text>
    </comment>
    <comment ref="H13" authorId="0">
      <text>
        <r>
          <rPr>
            <b/>
            <sz val="8"/>
            <color indexed="81"/>
            <rFont val="Tahoma"/>
            <family val="2"/>
            <charset val="186"/>
          </rPr>
          <t>Kohtla-Järve, Järveküla tee 44
Spordihoone taga</t>
        </r>
      </text>
    </comment>
    <comment ref="J13" authorId="0">
      <text>
        <r>
          <rPr>
            <b/>
            <sz val="8"/>
            <color indexed="81"/>
            <rFont val="Tahoma"/>
            <family val="2"/>
            <charset val="186"/>
          </rPr>
          <t>Juunioridel 2 €
Eesti meistrivõistlustel osalemiseks peavad olema: 
 - petankeri litsents, 
 - võistluskuulid.</t>
        </r>
      </text>
    </comment>
    <comment ref="H14" authorId="0">
      <text>
        <r>
          <rPr>
            <b/>
            <sz val="8"/>
            <color indexed="81"/>
            <rFont val="Tahoma"/>
            <family val="2"/>
            <charset val="186"/>
          </rPr>
          <t>Tallinn, Linnu teel Kotka jalgpallihalli territooriumil</t>
        </r>
      </text>
    </comment>
    <comment ref="H15" authorId="0">
      <text>
        <r>
          <rPr>
            <b/>
            <sz val="8"/>
            <color indexed="81"/>
            <rFont val="Tahoma"/>
            <family val="2"/>
            <charset val="186"/>
          </rPr>
          <t>Tallinn, Linnu teel Kotka jalgpallihalli territooriumil</t>
        </r>
      </text>
    </comment>
    <comment ref="H17" authorId="0">
      <text>
        <r>
          <rPr>
            <b/>
            <sz val="8"/>
            <color indexed="81"/>
            <rFont val="Tahoma"/>
            <family val="2"/>
            <charset val="186"/>
          </rPr>
          <t>Metsa ja Jõe tänava ristist keerata Pedeli jõe poole</t>
        </r>
      </text>
    </comment>
    <comment ref="H19" authorId="0">
      <text>
        <r>
          <rPr>
            <b/>
            <sz val="8"/>
            <color indexed="81"/>
            <rFont val="Tahoma"/>
            <family val="2"/>
            <charset val="186"/>
          </rPr>
          <t>Jüri, Laste 3
Jüri terviseradade alguses Kelgumäe taga
Petangiväljak asub staadionist paremalt poolt mööda, eemalt paistab kelgumägi. Liikuda kelgumäe suunas.</t>
        </r>
      </text>
    </comment>
    <comment ref="J19" authorId="0">
      <text>
        <r>
          <rPr>
            <b/>
            <sz val="8"/>
            <color indexed="81"/>
            <rFont val="Tahoma"/>
            <family val="2"/>
            <charset val="186"/>
          </rPr>
          <t>Juunioridel 2 €
Eesti meistrivõistlustel osalemiseks peavad olema: 
 - petankeri litsents, 
 - võistluskuulid, 
 - meeskonnal ühtne võistlussärk.</t>
        </r>
      </text>
    </comment>
    <comment ref="H20" authorId="0">
      <text>
        <r>
          <rPr>
            <b/>
            <sz val="8"/>
            <color indexed="81"/>
            <rFont val="Tahoma"/>
            <family val="2"/>
            <charset val="186"/>
          </rPr>
          <t>Jüri, Laste 3
Jüri terviseradade alguses Kelgumäe taga
Petangiväljak asub staadionist paremalt poolt mööda, eemalt paistab kelgumägi. Liikuda kelgumäe suunas.</t>
        </r>
      </text>
    </comment>
    <comment ref="H21" authorId="0">
      <text>
        <r>
          <rPr>
            <b/>
            <sz val="8"/>
            <color indexed="81"/>
            <rFont val="Tahoma"/>
            <family val="2"/>
            <charset val="186"/>
          </rPr>
          <t>Kohtla-Järve, Järveküla tee 44
Spordihoone taga</t>
        </r>
      </text>
    </comment>
    <comment ref="J21" authorId="0">
      <text>
        <r>
          <rPr>
            <b/>
            <sz val="8"/>
            <color indexed="81"/>
            <rFont val="Tahoma"/>
            <family val="2"/>
            <charset val="186"/>
          </rPr>
          <t>Juunioridel 2 €
Eesti meistrivõistlustel osalemiseks peavad olema: 
 - petankeri litsents, 
 - võistluskuulid, 
 - meeskonnal ühtne võistlussärk.</t>
        </r>
      </text>
    </comment>
    <comment ref="H22" authorId="0">
      <text>
        <r>
          <rPr>
            <b/>
            <sz val="8"/>
            <color indexed="81"/>
            <rFont val="Tahoma"/>
            <family val="2"/>
            <charset val="186"/>
          </rPr>
          <t>Kohtla-Järve, Järveküla tee 44
Spordihoone taga</t>
        </r>
      </text>
    </comment>
    <comment ref="H25" authorId="0">
      <text>
        <r>
          <rPr>
            <b/>
            <sz val="8"/>
            <color indexed="81"/>
            <rFont val="Tahoma"/>
            <family val="2"/>
            <charset val="186"/>
          </rPr>
          <t>Saku, Teaduse 2
Teaduse 2 maja taga asuv hokiväljak, kruusakate
12 väljakut</t>
        </r>
      </text>
    </comment>
    <comment ref="J25" authorId="0">
      <text>
        <r>
          <rPr>
            <b/>
            <sz val="8"/>
            <color indexed="81"/>
            <rFont val="Tahoma"/>
            <family val="2"/>
            <charset val="186"/>
          </rPr>
          <t>Juunioridel 2 €
Eesti meistrivõistlustel osalemiseks peavad olema: 
 - petankeri litsents, 
 - võistluskuulid, 
 - meeskonnal ühtne võistlussärk.</t>
        </r>
      </text>
    </comment>
    <comment ref="H26" authorId="0">
      <text>
        <r>
          <rPr>
            <b/>
            <sz val="8"/>
            <color indexed="81"/>
            <rFont val="Tahoma"/>
            <family val="2"/>
            <charset val="186"/>
          </rPr>
          <t>Saku, Teaduse 2
Teaduse 2 maja taga asuv hokiväljak, kruusakate
12 väljakut</t>
        </r>
      </text>
    </comment>
    <comment ref="H27" authorId="0">
      <text>
        <r>
          <rPr>
            <b/>
            <sz val="8"/>
            <color indexed="81"/>
            <rFont val="Tahoma"/>
            <family val="2"/>
            <charset val="186"/>
          </rPr>
          <t>Tallinn, Algi 38</t>
        </r>
      </text>
    </comment>
  </commentList>
</comments>
</file>

<file path=xl/comments2.xml><?xml version="1.0" encoding="utf-8"?>
<comments xmlns="http://schemas.openxmlformats.org/spreadsheetml/2006/main">
  <authors>
    <author>Author</author>
  </authors>
  <commentList>
    <comment ref="AG1" authorId="0">
      <text>
        <r>
          <rPr>
            <b/>
            <sz val="8"/>
            <color indexed="81"/>
            <rFont val="Tahoma"/>
            <family val="2"/>
            <charset val="186"/>
          </rPr>
          <t>Koht - Punkte
  1. - 173 p
  2. - 158 p
  3. - 146 p
  4. - 135 p
  5. -  126 p
  6. -  119 p
  7. -  111 p
  8. -  104 p
  9. -   96 p
10. -   90 p
11. -   84 p
12. -   78 p
13. -   74 p
14. -   69 p
15. -   65 p
16. -   60 p
17. -   56 p
18. -   51 p
19. -   47 p
20. -   42 p
21. -   38 p
22. -   33 p
23. -   29 p
24. -   24 p
25. -   21 p
26. -   18 p
27. -   16 p
28. -   14 p
29. -   12 p
30. -   10 p
31. -     8 p
32. -     6 p
33... -   3 p
DSQ -   0 p</t>
        </r>
      </text>
    </comment>
    <comment ref="AI1" authorId="0">
      <text>
        <r>
          <rPr>
            <b/>
            <sz val="8"/>
            <color indexed="81"/>
            <rFont val="Tahoma"/>
            <family val="2"/>
            <charset val="186"/>
          </rPr>
          <t>Koht - Punkte
  1. - 115 p
  2. - 105 p
  3. -   97 p
  4. -   90 p
  5. -   84 p
  6. -   79 p
  7. -   74 p
  8. -   69 p
  9. -   64 p
10. -   60 p
11. -   56 p
12. -   52 p
13. -   49 p
14. -   46 p
15. -   43 p
16. -   40 p
17. -   37 p
18. -   34 p
19. -   31 p
20. -   28 p
21. -   25 p
22. -   22 p
23. -   19 p
24. -   16 p
25. -   14 p
26. -   12 p
27. -   10 p
28. -     8 p
29. -     6 p
30. -     5 p
31. -     4 p
32. -     3 p
33... -   1 p
DSQ -   0 p</t>
        </r>
      </text>
    </comment>
    <comment ref="AK1" authorId="0">
      <text>
        <r>
          <rPr>
            <b/>
            <sz val="8"/>
            <color indexed="81"/>
            <rFont val="Tahoma"/>
            <family val="2"/>
            <charset val="186"/>
          </rPr>
          <t xml:space="preserve">Koht - Punkte
  1. - 105 p
  2. -   93 p
  3. -   83 p
  4. -   74 p
  5. -   65 p
  6. -   57 p
  7. -   50 p
  8. -   42 p
  9. -   35 p
10. -   29 p
11. -   23 p
12. -   17 p
13. -   12 p
14. -     8 p
15. -     5 p
16. -     3 p
17... -   1 p
DSQ -   0 p
</t>
        </r>
      </text>
    </comment>
    <comment ref="AM1" authorId="0">
      <text>
        <r>
          <rPr>
            <b/>
            <sz val="8"/>
            <color indexed="81"/>
            <rFont val="Tahoma"/>
            <family val="2"/>
            <charset val="186"/>
          </rPr>
          <t>Koht - Punkte
  1. - 53 p
  2. - 42 p
  3. - 33 p
  4. - 27 p
  5. - 23 p
  6. - 18 p
  7. -  14 p
  8. -   9 p
  9. -   5 p
10... - 2 p
DSQ - 0 p</t>
        </r>
      </text>
    </comment>
    <comment ref="V4" authorId="0">
      <text>
        <r>
          <rPr>
            <b/>
            <sz val="8"/>
            <color indexed="81"/>
            <rFont val="Tahoma"/>
            <family val="2"/>
            <charset val="186"/>
          </rPr>
          <t>Saku, Teaduse 2
Teaduse 2 maja taga asuv hokiväljak, kruusakate
12 väljakut</t>
        </r>
      </text>
    </comment>
    <comment ref="W4" authorId="0">
      <text>
        <r>
          <rPr>
            <b/>
            <sz val="8"/>
            <color indexed="81"/>
            <rFont val="Tahoma"/>
            <family val="2"/>
            <charset val="186"/>
          </rPr>
          <t>Uuskalda, Kärbla küla, Lääne-Nigula vald, Läänemaa</t>
        </r>
      </text>
    </comment>
    <comment ref="X4" authorId="0">
      <text>
        <r>
          <rPr>
            <b/>
            <sz val="8"/>
            <color indexed="81"/>
            <rFont val="Tahoma"/>
            <family val="2"/>
            <charset val="186"/>
          </rPr>
          <t>Uuskalda, Kärbla küla, Lääne-Nigula vald, Läänemaa</t>
        </r>
      </text>
    </comment>
    <comment ref="Y4" authorId="0">
      <text>
        <r>
          <rPr>
            <b/>
            <sz val="8"/>
            <color indexed="81"/>
            <rFont val="Tahoma"/>
            <family val="2"/>
            <charset val="186"/>
          </rPr>
          <t>Jõhvi, 
Narva mnt 139b</t>
        </r>
      </text>
    </comment>
    <comment ref="AC4" authorId="0">
      <text>
        <r>
          <rPr>
            <b/>
            <sz val="8"/>
            <color indexed="81"/>
            <rFont val="Tahoma"/>
            <family val="2"/>
            <charset val="186"/>
          </rPr>
          <t>Kohtla-Järve, Järveküla tee 44
Spordihoone taga</t>
        </r>
      </text>
    </comment>
    <comment ref="AG4" authorId="0">
      <text>
        <r>
          <rPr>
            <b/>
            <sz val="8"/>
            <color indexed="81"/>
            <rFont val="Tahoma"/>
            <family val="2"/>
            <charset val="186"/>
          </rPr>
          <t>Metsa ja Jõe tänava ristist keerata Pedeli jõe poole</t>
        </r>
      </text>
    </comment>
    <comment ref="AH4" authorId="0">
      <text>
        <r>
          <rPr>
            <b/>
            <sz val="8"/>
            <color indexed="81"/>
            <rFont val="Tahoma"/>
            <family val="2"/>
            <charset val="186"/>
          </rPr>
          <t>Jüri, Laste 3
Jüri terviseradade alguses Kelgumäe taga
Petangiväljak asub staadionist paremalt poolt mööda, eemalt paistab kelgumägi. Liikuda kelgumäe suunas.</t>
        </r>
      </text>
    </comment>
    <comment ref="AI4" authorId="0">
      <text>
        <r>
          <rPr>
            <b/>
            <sz val="8"/>
            <color indexed="81"/>
            <rFont val="Tahoma"/>
            <family val="2"/>
            <charset val="186"/>
          </rPr>
          <t>Jüri, Laste 3
Jüri terviseradade alguses Kelgumäe taga
Petangiväljak asub staadionist paremalt poolt mööda, eemalt paistab kelgumägi. Liikuda kelgumäe suunas.</t>
        </r>
      </text>
    </comment>
    <comment ref="AJ4" authorId="0">
      <text>
        <r>
          <rPr>
            <b/>
            <sz val="8"/>
            <color indexed="81"/>
            <rFont val="Tahoma"/>
            <family val="2"/>
            <charset val="186"/>
          </rPr>
          <t>Kohtla-Järve, Järveküla tee 44
Spordihoone taga</t>
        </r>
      </text>
    </comment>
    <comment ref="AK4" authorId="0">
      <text>
        <r>
          <rPr>
            <b/>
            <sz val="8"/>
            <color indexed="81"/>
            <rFont val="Tahoma"/>
            <family val="2"/>
            <charset val="186"/>
          </rPr>
          <t>Kohtla-Järve, Järveküla tee 44
Spordihoone taga</t>
        </r>
      </text>
    </comment>
    <comment ref="AL4" authorId="0">
      <text>
        <r>
          <rPr>
            <b/>
            <sz val="8"/>
            <color indexed="81"/>
            <rFont val="Tahoma"/>
            <family val="2"/>
            <charset val="186"/>
          </rPr>
          <t>Saku, Teaduse 2
Teaduse 2 maja taga asuv hokiväljak, kruusakate
12 väljakut</t>
        </r>
      </text>
    </comment>
    <comment ref="AM4" authorId="0">
      <text>
        <r>
          <rPr>
            <b/>
            <sz val="8"/>
            <color indexed="81"/>
            <rFont val="Tahoma"/>
            <family val="2"/>
            <charset val="186"/>
          </rPr>
          <t>Saku, Teaduse 2
Teaduse 2 maja taga asuv hokiväljak, kruusakate
12 väljakut</t>
        </r>
      </text>
    </comment>
    <comment ref="AB6" authorId="0">
      <text>
        <r>
          <rPr>
            <b/>
            <sz val="8"/>
            <color indexed="81"/>
            <rFont val="Tahoma"/>
            <family val="2"/>
            <charset val="186"/>
          </rPr>
          <t>Sel aastal lubati erandkorras 4 juuniori omaette võistlema</t>
        </r>
      </text>
    </comment>
    <comment ref="J7" authorId="0">
      <text>
        <r>
          <rPr>
            <b/>
            <sz val="8"/>
            <color indexed="81"/>
            <rFont val="Tahoma"/>
            <family val="2"/>
            <charset val="186"/>
          </rPr>
          <t>Valem arvutab punktisumma järgi võistleja koha.  
Võrdse punktisumma korral paneb ühesuguse koha. 
Valem töötab Microsoft ja WPS Office-ga. 
Vahel ei tööta Libre ja Open Office-ga.</t>
        </r>
      </text>
    </comment>
    <comment ref="N7" authorId="0">
      <text>
        <r>
          <rPr>
            <b/>
            <sz val="8"/>
            <color indexed="81"/>
            <rFont val="Tahoma"/>
            <family val="2"/>
            <charset val="186"/>
          </rPr>
          <t>Valem arvutab punktisumma ja võtab kehvemad tulemused maha.
Valem töötab Microsoft ja WPS Office-iga. 
Alati ei tööta Libre ja Open Office-iga.</t>
        </r>
      </text>
    </comment>
    <comment ref="AB7" authorId="0">
      <text>
        <r>
          <rPr>
            <b/>
            <sz val="8"/>
            <color indexed="81"/>
            <rFont val="Tahoma"/>
            <family val="2"/>
            <charset val="186"/>
          </rPr>
          <t>Siia veergu kirjuta punktid vaid siis kui juuniore on &gt;=6 ja nad võistlesid eraldi</t>
        </r>
      </text>
    </comment>
    <comment ref="AF7" authorId="0">
      <text>
        <r>
          <rPr>
            <b/>
            <sz val="8"/>
            <color indexed="81"/>
            <rFont val="Tahoma"/>
            <family val="2"/>
            <charset val="186"/>
          </rPr>
          <t>Siia veergu kirjuta punktid vaid siis kui juuniore on &gt;=6 ja nad võistlesid eraldi</t>
        </r>
      </text>
    </comment>
    <comment ref="L137" authorId="0">
      <text>
        <r>
          <rPr>
            <b/>
            <sz val="8"/>
            <color indexed="81"/>
            <rFont val="Tahoma"/>
            <family val="2"/>
            <charset val="186"/>
          </rPr>
          <t>Registreeritud oli Boriss Klubov, kuid osales keegi Narvast - vist Filipp Švarõgin
EPKL jättis kangekaelselt reitingusse Boriss Klubovi, kuigi ta ei osalenud ühelgi reitinguvõistlusel</t>
        </r>
      </text>
    </comment>
    <comment ref="W163" authorId="0">
      <text>
        <r>
          <rPr>
            <b/>
            <sz val="8"/>
            <color indexed="81"/>
            <rFont val="Tahoma"/>
            <family val="2"/>
            <charset val="186"/>
          </rPr>
          <t>valemisse lisatud -1</t>
        </r>
      </text>
    </comment>
  </commentList>
</comments>
</file>

<file path=xl/comments3.xml><?xml version="1.0" encoding="utf-8"?>
<comments xmlns="http://schemas.openxmlformats.org/spreadsheetml/2006/main">
  <authors>
    <author>Author</author>
  </authors>
  <commentList>
    <comment ref="G25" authorId="0">
      <text>
        <r>
          <rPr>
            <b/>
            <sz val="8"/>
            <color indexed="81"/>
            <rFont val="Tahoma"/>
            <family val="2"/>
            <charset val="186"/>
          </rPr>
          <t>originaalis oli II koht</t>
        </r>
      </text>
    </comment>
    <comment ref="F27" authorId="0">
      <text>
        <r>
          <rPr>
            <b/>
            <sz val="8"/>
            <color indexed="81"/>
            <rFont val="Tahoma"/>
            <family val="2"/>
            <charset val="186"/>
          </rPr>
          <t>originaalis oli 2 punkti</t>
        </r>
      </text>
    </comment>
  </commentList>
</comments>
</file>

<file path=xl/comments4.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68"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69" authorId="0">
      <text>
        <r>
          <rPr>
            <b/>
            <sz val="8"/>
            <color indexed="81"/>
            <rFont val="Tahoma"/>
            <family val="2"/>
            <charset val="186"/>
          </rPr>
          <t>kahe veerandfinalisti võitja punktidele lisab 100.
paariliste esimesed saavad kohe 100, et mittte edasisaanute RANK algaks 5-st kohast, mitte 2-st</t>
        </r>
      </text>
    </comment>
    <comment ref="Y70" authorId="0">
      <text>
        <r>
          <rPr>
            <b/>
            <sz val="8"/>
            <color indexed="81"/>
            <rFont val="Tahoma"/>
            <family val="2"/>
            <charset val="186"/>
          </rPr>
          <t>5-e punkti viskeid kahe vooru peale 1</t>
        </r>
      </text>
    </comment>
    <comment ref="Y76" authorId="0">
      <text>
        <r>
          <rPr>
            <b/>
            <sz val="8"/>
            <color indexed="81"/>
            <rFont val="Tahoma"/>
            <family val="2"/>
            <charset val="186"/>
          </rPr>
          <t>5-e punkti viskeid kahe vooru peale 2</t>
        </r>
      </text>
    </comment>
    <comment ref="Z103" authorId="0">
      <text>
        <r>
          <rPr>
            <b/>
            <sz val="8"/>
            <color indexed="81"/>
            <rFont val="Tahoma"/>
            <family val="2"/>
            <charset val="186"/>
          </rPr>
          <t>kahe veerandfinalisti võitja punktidele lisab 100.
paariliste esimesed saavad kohe 100, et mittte edasisaanute RANK algaks 5-st kohast, mitte 2-st</t>
        </r>
      </text>
    </comment>
    <comment ref="W104" authorId="0">
      <text>
        <r>
          <rPr>
            <b/>
            <sz val="8"/>
            <color indexed="81"/>
            <rFont val="Tahoma"/>
            <family val="2"/>
            <charset val="186"/>
          </rPr>
          <t>originaalis oli 12 punkti</t>
        </r>
      </text>
    </comment>
  </commentList>
</comments>
</file>

<file path=xl/comments5.xml><?xml version="1.0" encoding="utf-8"?>
<comments xmlns="http://schemas.openxmlformats.org/spreadsheetml/2006/main">
  <authors>
    <author>Author</author>
  </authors>
  <commentList>
    <comment ref="Y28"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6.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68"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69" authorId="0">
      <text>
        <r>
          <rPr>
            <b/>
            <sz val="8"/>
            <color indexed="81"/>
            <rFont val="Tahoma"/>
            <family val="2"/>
            <charset val="186"/>
          </rPr>
          <t>kahe veerandfinalisti võitja punktidele lisab 100.
paariliste esimesed saavad kohe 100, et mittte edasisaanute RANK algaks 5-st kohast, mitte 2-st</t>
        </r>
      </text>
    </comment>
    <comment ref="Y70" authorId="0">
      <text>
        <r>
          <rPr>
            <b/>
            <sz val="8"/>
            <color indexed="81"/>
            <rFont val="Tahoma"/>
            <family val="2"/>
            <charset val="186"/>
          </rPr>
          <t>5-e punkti viskeid kahe vooru peale 2</t>
        </r>
      </text>
    </comment>
    <comment ref="Y71" authorId="0">
      <text>
        <r>
          <rPr>
            <b/>
            <sz val="8"/>
            <color indexed="81"/>
            <rFont val="Tahoma"/>
            <family val="2"/>
            <charset val="186"/>
          </rPr>
          <t>5-e punkti viskeid kahe vooru peale 1</t>
        </r>
      </text>
    </comment>
    <comment ref="Z103" authorId="0">
      <text>
        <r>
          <rPr>
            <b/>
            <sz val="8"/>
            <color indexed="81"/>
            <rFont val="Tahoma"/>
            <family val="2"/>
            <charset val="186"/>
          </rPr>
          <t>kahe veerandfinalisti võitja punktidele lisab 100.
paariliste esimesed saavad kohe 100, et mittte edasisaanute RANK algaks 5-st kohast, mitte 2-st</t>
        </r>
      </text>
    </comment>
    <comment ref="W104" authorId="0">
      <text>
        <r>
          <rPr>
            <b/>
            <sz val="8"/>
            <color indexed="81"/>
            <rFont val="Tahoma"/>
            <family val="2"/>
            <charset val="186"/>
          </rPr>
          <t>originaalis oli 12 punkti</t>
        </r>
      </text>
    </comment>
  </commentList>
</comments>
</file>

<file path=xl/comments7.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48"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49"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8.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72"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73" authorId="0">
      <text>
        <r>
          <rPr>
            <b/>
            <sz val="8"/>
            <color indexed="81"/>
            <rFont val="Tahoma"/>
            <family val="2"/>
            <charset val="186"/>
          </rPr>
          <t>kahe veerandfinalisti võitja punktidele lisab 100.
paariliste esimesed saavad kohe 100, et mittte edasisaanute RANK algaks 5-st kohast, mitte 2-st</t>
        </r>
      </text>
    </comment>
    <comment ref="Y80" authorId="0">
      <text>
        <r>
          <rPr>
            <b/>
            <sz val="8"/>
            <color indexed="81"/>
            <rFont val="Tahoma"/>
            <family val="2"/>
            <charset val="186"/>
          </rPr>
          <t>5-e punkti viskeid kahe vooru peale 2</t>
        </r>
      </text>
    </comment>
    <comment ref="Y83" authorId="0">
      <text>
        <r>
          <rPr>
            <b/>
            <sz val="8"/>
            <color indexed="81"/>
            <rFont val="Tahoma"/>
            <family val="2"/>
            <charset val="186"/>
          </rPr>
          <t>5-e punkti viskeid kahe vooru peale 4</t>
        </r>
      </text>
    </comment>
    <comment ref="Y84" authorId="0">
      <text>
        <r>
          <rPr>
            <b/>
            <sz val="8"/>
            <color indexed="81"/>
            <rFont val="Tahoma"/>
            <family val="2"/>
            <charset val="186"/>
          </rPr>
          <t>5-e punkti viskeid kahe vooru peale 3</t>
        </r>
      </text>
    </comment>
    <comment ref="Z111"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9.xml><?xml version="1.0" encoding="utf-8"?>
<comments xmlns="http://schemas.openxmlformats.org/spreadsheetml/2006/main">
  <authors>
    <author>Author</author>
  </authors>
  <commentList>
    <comment ref="K30" authorId="0">
      <text>
        <r>
          <rPr>
            <b/>
            <sz val="8"/>
            <color indexed="81"/>
            <rFont val="Tahoma"/>
            <family val="2"/>
            <charset val="186"/>
          </rPr>
          <t xml:space="preserve">3. Finaali ei toimu: 
</t>
        </r>
        <r>
          <rPr>
            <sz val="8"/>
            <color indexed="81"/>
            <rFont val="Tahoma"/>
            <family val="2"/>
            <charset val="186"/>
          </rPr>
          <t>a) juhul kui peale I ringi on esimese ja teise võistkonna vahe 4 (neli) võitu või rohkem,</t>
        </r>
        <r>
          <rPr>
            <b/>
            <sz val="8"/>
            <color indexed="81"/>
            <rFont val="Tahoma"/>
            <family val="2"/>
            <charset val="186"/>
          </rPr>
          <t xml:space="preserve">
b) juhul kui esimese ja teise võistkonna vahe on 3 (kolm) võitu ning omavaheliste mängude seis esimese kasuks on 4-0 </t>
        </r>
        <r>
          <rPr>
            <b/>
            <sz val="8"/>
            <color indexed="10"/>
            <rFont val="Tahoma"/>
            <family val="2"/>
            <charset val="186"/>
          </rPr>
          <t>(kehtib 4 võistkonna puhul).</t>
        </r>
      </text>
    </comment>
    <comment ref="L30" authorId="0">
      <text>
        <r>
          <rPr>
            <b/>
            <i/>
            <sz val="8"/>
            <color indexed="81"/>
            <rFont val="Tahoma"/>
            <family val="2"/>
            <charset val="186"/>
          </rPr>
          <t>Naistel oleks pidanud finaal toimuma</t>
        </r>
      </text>
    </comment>
    <comment ref="K47" authorId="0">
      <text>
        <r>
          <rPr>
            <b/>
            <sz val="8"/>
            <color indexed="81"/>
            <rFont val="Tahoma"/>
            <family val="2"/>
            <charset val="186"/>
          </rPr>
          <t>3. Finaali ei toimu: 
a) juhul kui peale I ringi on esimese ja teise võistkonna vahe 4 (neli) võitu või rohkem,</t>
        </r>
      </text>
    </comment>
  </commentList>
</comments>
</file>

<file path=xl/sharedStrings.xml><?xml version="1.0" encoding="utf-8"?>
<sst xmlns="http://schemas.openxmlformats.org/spreadsheetml/2006/main" count="4659" uniqueCount="1015">
  <si>
    <t>Punktid:</t>
  </si>
  <si>
    <t>EMV</t>
  </si>
  <si>
    <t>Reiting</t>
  </si>
  <si>
    <t>Kuld</t>
  </si>
  <si>
    <t>Hõbe</t>
  </si>
  <si>
    <t>Pronks</t>
  </si>
  <si>
    <t xml:space="preserve"> </t>
  </si>
  <si>
    <t>Tallinn</t>
  </si>
  <si>
    <t>Osalusi</t>
  </si>
  <si>
    <t>Sise</t>
  </si>
  <si>
    <t>Meda</t>
  </si>
  <si>
    <t>Eesti</t>
  </si>
  <si>
    <t>rei</t>
  </si>
  <si>
    <t>leid</t>
  </si>
  <si>
    <t>Või</t>
  </si>
  <si>
    <t>meis</t>
  </si>
  <si>
    <t>ting</t>
  </si>
  <si>
    <t>***</t>
  </si>
  <si>
    <t>**</t>
  </si>
  <si>
    <t>*</t>
  </si>
  <si>
    <t>S***</t>
  </si>
  <si>
    <t>S**</t>
  </si>
  <si>
    <t>TUL</t>
  </si>
  <si>
    <t>te</t>
  </si>
  <si>
    <t>ter</t>
  </si>
  <si>
    <t>val</t>
  </si>
  <si>
    <t>Koht</t>
  </si>
  <si>
    <t>Võistleja nimi</t>
  </si>
  <si>
    <t>Kokku</t>
  </si>
  <si>
    <t>N</t>
  </si>
  <si>
    <t>J</t>
  </si>
  <si>
    <t>Silver Kingissepp</t>
  </si>
  <si>
    <t>Merike Aava</t>
  </si>
  <si>
    <t>n</t>
  </si>
  <si>
    <t>Marek Kolk</t>
  </si>
  <si>
    <t>Kalju Olmre</t>
  </si>
  <si>
    <t>Mare Kingissepp</t>
  </si>
  <si>
    <t>Margus Limberg</t>
  </si>
  <si>
    <t>Ivar Viljaste</t>
  </si>
  <si>
    <t>Kaarel Mikk</t>
  </si>
  <si>
    <t>Külli Kariste</t>
  </si>
  <si>
    <t>Aimar Poom</t>
  </si>
  <si>
    <t>Kadri Arunurm</t>
  </si>
  <si>
    <t>Jaanus Kasper</t>
  </si>
  <si>
    <t>Egert Kingissepp</t>
  </si>
  <si>
    <t>Oskar Sepp</t>
  </si>
  <si>
    <t>j</t>
  </si>
  <si>
    <t>Jaan Sepp</t>
  </si>
  <si>
    <t>Sirje Viljaste</t>
  </si>
  <si>
    <t>Mihkel Filipenko</t>
  </si>
  <si>
    <t>Merike Lusbo</t>
  </si>
  <si>
    <t>Marko Ode</t>
  </si>
  <si>
    <t>Marge Mägi</t>
  </si>
  <si>
    <t>Margus Strööm</t>
  </si>
  <si>
    <t>Arvi Palla</t>
  </si>
  <si>
    <t>Varje Reede</t>
  </si>
  <si>
    <t>Matti Vinni</t>
  </si>
  <si>
    <t>Aigar Lusbo</t>
  </si>
  <si>
    <t>Margo Peebo</t>
  </si>
  <si>
    <t>Kadri Veljend</t>
  </si>
  <si>
    <t>Aarne Välja</t>
  </si>
  <si>
    <t>Eve Oidsalu</t>
  </si>
  <si>
    <t>Mait Metsla</t>
  </si>
  <si>
    <t>Maive Sein</t>
  </si>
  <si>
    <t>Ülo Piik</t>
  </si>
  <si>
    <t>Janek Kiisk</t>
  </si>
  <si>
    <t>Marina Vallik</t>
  </si>
  <si>
    <t>Kaido Kopel</t>
  </si>
  <si>
    <t>Toomas Reede</t>
  </si>
  <si>
    <t>Peep Puiestik</t>
  </si>
  <si>
    <t>Irene Võrklaev</t>
  </si>
  <si>
    <t>Aivar Sein</t>
  </si>
  <si>
    <t>Priit Koppel</t>
  </si>
  <si>
    <t>Vello Sillasoo</t>
  </si>
  <si>
    <t>Hardo Sokk</t>
  </si>
  <si>
    <t>Anne Sillamaa</t>
  </si>
  <si>
    <t>Elmo Lageda</t>
  </si>
  <si>
    <t>Tõnu Kapper</t>
  </si>
  <si>
    <t>Tiit Palk</t>
  </si>
  <si>
    <t>Mati Tapo</t>
  </si>
  <si>
    <t>Janek Tarto</t>
  </si>
  <si>
    <t>Helle Siidla</t>
  </si>
  <si>
    <t>Mihkel Palk</t>
  </si>
  <si>
    <t>Arti Lindvest</t>
  </si>
  <si>
    <t>Jaanus Otsman</t>
  </si>
  <si>
    <t>Vello Vasser</t>
  </si>
  <si>
    <t>Aigi Orro</t>
  </si>
  <si>
    <t>Alar Sinimäe</t>
  </si>
  <si>
    <t>Rutt Voldek</t>
  </si>
  <si>
    <t>Vallo Sillamaa</t>
  </si>
  <si>
    <t>Osalejaid</t>
  </si>
  <si>
    <t>Võistkondi</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</si>
  <si>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</si>
  <si>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</si>
  <si>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</si>
  <si>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</si>
  <si>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</si>
  <si>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</si>
  <si>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</si>
  <si>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</si>
  <si>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</si>
  <si>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</si>
  <si>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</si>
  <si>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</si>
  <si>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</si>
  <si>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</si>
  <si>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</si>
  <si>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</si>
  <si>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</si>
  <si>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</si>
  <si>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</si>
  <si>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</si>
  <si>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</si>
  <si>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</si>
  <si>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</si>
  <si>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</si>
  <si>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</si>
  <si>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</si>
  <si>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</si>
  <si>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</si>
  <si>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</si>
  <si>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</si>
  <si>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1. ÜLDSÄTTED</t>
  </si>
  <si>
    <t>2. VÕISTLUSTE KALENDER</t>
  </si>
  <si>
    <t>3. VÕISTLUSTE FORMULEERINGUD</t>
  </si>
  <si>
    <t>4. LITSENTSIMÄÄRUSED</t>
  </si>
  <si>
    <t>5. KEELATUD AINED</t>
  </si>
  <si>
    <t>5.1. Võistlejatel on keelatud kõigi spordis lubamatute ainete kasutamine (nimekiri EOK</t>
  </si>
  <si>
    <t>6. VÕISTLUSTE KORRALDAMINE</t>
  </si>
  <si>
    <t>6.1. ÜLDINE</t>
  </si>
  <si>
    <t>6.1.2. Korraldajatel tuleb informeerida WC asukohast.</t>
  </si>
  <si>
    <t>6.3. OSAVÕTUMAKSUD</t>
  </si>
  <si>
    <t>6.4. TEATAMINE</t>
  </si>
  <si>
    <t>6.5. ŽÜRII</t>
  </si>
  <si>
    <t>6.6. VÄLJAKUD</t>
  </si>
  <si>
    <t>6.6.1. Väljakud peavad olema võimalikult ühesugused kõigile võistlejatele.</t>
  </si>
  <si>
    <t>6.9. VÕISTLEJATE RIIETUS</t>
  </si>
  <si>
    <t>6.10. MÄNGIJATE/VÕISTKONDADE ASETUSED JA VÕISTLUSTE LÄBIVIIMISE SÜSTEEMID</t>
  </si>
  <si>
    <t>Võistkondade arv 41-44: 11 puuli, 1/16 finaal (kus 10 võistkonnal vastane puudub), 1/8 finaal, veerandfinaal, poolfinaal, finaal.</t>
  </si>
  <si>
    <t>7. AUHINNAD</t>
  </si>
  <si>
    <t>8. LOOBUMISKAOTUS JA PROTESTIDE ESITAMISE KORD</t>
  </si>
  <si>
    <t>üksikmängus 13.- EUR</t>
  </si>
  <si>
    <t>paarismängus 26.- EUR</t>
  </si>
  <si>
    <t>trios 39.- EUR</t>
  </si>
  <si>
    <t>9. KARISTUSED EBAKORREKTSE KÄITUMISE KORRAL </t>
  </si>
  <si>
    <t>Vladimir Ogneštšikov</t>
  </si>
  <si>
    <t>Viktor Švarõgin</t>
  </si>
  <si>
    <t>Kalle Orro</t>
  </si>
  <si>
    <t>Nikolai Palkin</t>
  </si>
  <si>
    <t>Uku Kollom</t>
  </si>
  <si>
    <t>M</t>
  </si>
  <si>
    <t/>
  </si>
  <si>
    <t>Ott Karl Kopel</t>
  </si>
  <si>
    <t>Sille-Liisi Eving</t>
  </si>
  <si>
    <t>Kevin Sten Liik</t>
  </si>
  <si>
    <t>K</t>
  </si>
  <si>
    <t xml:space="preserve">  </t>
  </si>
  <si>
    <t>Reitingu-võistlus</t>
  </si>
  <si>
    <t>Naised
S ja TUL</t>
  </si>
  <si>
    <t>Juuniorid
S ja TUL</t>
  </si>
  <si>
    <t>1.</t>
  </si>
  <si>
    <t>2.</t>
  </si>
  <si>
    <t>3.</t>
  </si>
  <si>
    <t>Tiit Kattai</t>
  </si>
  <si>
    <t>Kevin Kangur</t>
  </si>
  <si>
    <t>Anna Liisa Kattai</t>
  </si>
  <si>
    <t>Harry Lusbo</t>
  </si>
  <si>
    <t>Kristjan Raudsepp</t>
  </si>
  <si>
    <t>MEHED</t>
  </si>
  <si>
    <t>NAISED</t>
  </si>
  <si>
    <t>JUUNIORID</t>
  </si>
  <si>
    <t>Svetlana Veski</t>
  </si>
  <si>
    <t>Andres Veski</t>
  </si>
  <si>
    <t>Indrek Vaho</t>
  </si>
  <si>
    <t>Toomas Tauk</t>
  </si>
  <si>
    <t>Marek Lehis</t>
  </si>
  <si>
    <t>Jaan Joonas</t>
  </si>
  <si>
    <t>Toomas Hoole</t>
  </si>
  <si>
    <t>Piret Kopel</t>
  </si>
  <si>
    <t>Kaur Kangur</t>
  </si>
  <si>
    <t>Maris Rõõm</t>
  </si>
  <si>
    <t>Mati Rõõm</t>
  </si>
  <si>
    <t>Urmo Auväärt</t>
  </si>
  <si>
    <t>Kuupäev</t>
  </si>
  <si>
    <t>Aeg</t>
  </si>
  <si>
    <t>Võistlus</t>
  </si>
  <si>
    <t>Mänguviis</t>
  </si>
  <si>
    <t>R</t>
  </si>
  <si>
    <t>Toimumiskoht</t>
  </si>
  <si>
    <t>Korraldaja</t>
  </si>
  <si>
    <t>Osal</t>
  </si>
  <si>
    <t>Üksik</t>
  </si>
  <si>
    <t>Duo</t>
  </si>
  <si>
    <t>Trio</t>
  </si>
  <si>
    <t>EPKL</t>
  </si>
  <si>
    <t>Viimased muudatused on punasega</t>
  </si>
  <si>
    <t>Tulistamine</t>
  </si>
  <si>
    <t>SK Maestro Petanque</t>
  </si>
  <si>
    <t>PK Valga</t>
  </si>
  <si>
    <t>P</t>
  </si>
  <si>
    <t>Segatrio</t>
  </si>
  <si>
    <t>Segaduo</t>
  </si>
  <si>
    <t>WICIA</t>
  </si>
  <si>
    <t>aasta</t>
  </si>
  <si>
    <t>Kärdla</t>
  </si>
  <si>
    <t>SHK</t>
  </si>
  <si>
    <t>Maestro</t>
  </si>
  <si>
    <t>Marta Ruus</t>
  </si>
  <si>
    <t>Argo Sepp</t>
  </si>
  <si>
    <t>Valmar Pantšenko</t>
  </si>
  <si>
    <t>* N</t>
  </si>
  <si>
    <t>* J</t>
  </si>
  <si>
    <t>Üld</t>
  </si>
  <si>
    <t>Siiri Baranova</t>
  </si>
  <si>
    <t>VEERANDFINAALID</t>
  </si>
  <si>
    <t>min</t>
  </si>
  <si>
    <t>max</t>
  </si>
  <si>
    <t>POOLFINAALID</t>
  </si>
  <si>
    <t>PRONKSIMÄNG</t>
  </si>
  <si>
    <t>FINAAL</t>
  </si>
  <si>
    <t>VAHEVOOR</t>
  </si>
  <si>
    <t>EELVOOR</t>
  </si>
  <si>
    <r>
      <t>Koht</t>
    </r>
    <r>
      <rPr>
        <sz val="10"/>
        <color theme="1"/>
        <rFont val="Arial"/>
        <family val="2"/>
        <charset val="186"/>
      </rPr>
      <t>/edasi</t>
    </r>
  </si>
  <si>
    <t>Punkte</t>
  </si>
  <si>
    <t>Kristo Viljaste</t>
  </si>
  <si>
    <t>Margus Berkmann</t>
  </si>
  <si>
    <t xml:space="preserve">EMV </t>
  </si>
  <si>
    <t xml:space="preserve">Reiting </t>
  </si>
  <si>
    <t xml:space="preserve">Naised </t>
  </si>
  <si>
    <t xml:space="preserve">Juuniorid </t>
  </si>
  <si>
    <t>KOKKU</t>
  </si>
  <si>
    <t>EM ja MM KATSEVÕISTLUSTE JUHEND 2016</t>
  </si>
  <si>
    <t>EESMÄRK</t>
  </si>
  <si>
    <t>Selgitada välja võistkonnad, kes saavad õiguse esindada Eestit 2016. aastal meeste maailmameistrivõistlustel (MM-il), naiste Euroopa meistrivõistlustel (EM-il), juunioride Euroopa meistrivõistlustel (EM-il), naiste ja meeste üksikmängu Euroopa meistrivõistlustel (EM-il) ja veteranide 55+ Euroopa meistrivõistlustel (EM-il).</t>
  </si>
  <si>
    <t>NB! Meeste MM-il osalemise eelisõigus on võistkonnal koosseisus: Silver Kingissepp, Margus Limberg, Ivar Viljaste ja Priit Koppel, kellest võib välja vahetada kaks liiget. Kui nemad loobuvad soovist osaleda MM-il, siis toimuvad katsevõistlused meestele.   </t>
  </si>
  <si>
    <t>OSALEJAD</t>
  </si>
  <si>
    <t>Katsevõistlused on 3-4-liikmelistele võistkondadele, kusjuures mängija tohib katsevõistluste raames osaleda vaid ühe võistkonna eest. Üksikmängus naised ja mehed võistlevad eraldi arvestuses.</t>
  </si>
  <si>
    <t>EM-i katsevõistlustel tohivad osaleda ainult naised, juunioritel poisid-tüdrukud, veteranidel mehed-naised ja MM-i katsevõistlustel ainult mehed.</t>
  </si>
  <si>
    <t>Kui katsevõistlused võitnud võistkond on kolmeliikmeline, siis peavad sõitma tiitlivõistlusele kõik 3 osalenud mängijat ja hiljem võib lisada neljanda mängija. Kui võidab neljaliikmeline võistkond, siis võib tiitlivõistlusel osalevas võistkonnas ühe liikme välja vahetada.</t>
  </si>
  <si>
    <t>Katsevõistlustele registreerumisega annab mängija nõusoleku sõlmida EPKL-iga kokkulepe, mille kohaselt mängija kohustub hüvitama EPKL-ile kõik tema rahvusvahelisele tiitlivõistlusele lähetamiseks EPKL-i poolt tehtud kulutused ja muud juhtumiga seotult EPKL-i vastu esitatud nõuded, kui:</t>
  </si>
  <si>
    <t>- mängijale määratakse EPKL-i või rahvusvahelise alaliidu või tiitlivõistluse korraldaja poolt karistus alkoholi ja/või dopinguainete kasutamise eest;</t>
  </si>
  <si>
    <t>- mängija on Eesti esindusvõistkonna liikmena käitunud ebaväärikalt;</t>
  </si>
  <si>
    <t>- pärast esindusvõistkonna selgumist mängija mõjuva põhjuseta loobub esindusvõistkonnas osalemisest.</t>
  </si>
  <si>
    <t>REEGLID</t>
  </si>
  <si>
    <t>Võistlused viiakse läbi rahvusvaheliste petangireeglite ja kehtiva EPKL-i välishooaja 2016 üldjuhendi järgi.</t>
  </si>
  <si>
    <t>Katsevõistlustel tohivad osaleda ainult Eesti kodakondsust omavad petankerid ja neil peab olema kehtiv F.I.P.J.P liidu alla kuuluva riigi petanque liidu litsents.</t>
  </si>
  <si>
    <t>Võistkondadel peab olema ühtne võistlusvorm (särgid).</t>
  </si>
  <si>
    <t>Võistlustele määrab kohtuniku EPKL-i juhatus.</t>
  </si>
  <si>
    <t>VÕISTLUSTE AJAD</t>
  </si>
  <si>
    <t>Meeste MM toimumiskoha ja -aja kohta ootame kinnitatud infot FIPJP-lt</t>
  </si>
  <si>
    <t>EPKL-i katsevõistlused toimuvad:</t>
  </si>
  <si>
    <t>I ring - (I etapp) - 15.05.2016 veteranid 55+ </t>
  </si>
  <si>
    <t>Singel – 03.07.2016 </t>
  </si>
  <si>
    <t>NB! Veteranide II etappi aeg otsustatakse vajadusel võistlejate arvu selgumisel. Singli võistlussüsteem ja koht antakse teada 3 päeva jooksul pärast registreerinute selgumist.</t>
  </si>
  <si>
    <t>REGISTREERIMINE</t>
  </si>
  <si>
    <t>Katsevõistlustele saab registreerida e-posti aadressil juhatus@petanque.ee kuni 11. maini 2016 kell 21.00. Registreerimisel tuleb kirja panna osavõtjate nimed ja võistkonna esindaja kontaktandmed. Lisaregistreerimist ei saa hiljem teha.</t>
  </si>
  <si>
    <t>Oma osalemisest tiitlivõistlustel peab katsevõistlused võitnud võistkond andma EPKL-ile kinnituse 19.06.2016. Loobumise korral on teiseks tulnud võistkonnal kinnituse andmiseks aega 26.06.2016 ja selle loobumisel on kolmandaks tulnud võistkonnal aega kinnitus anda 03.07.2016. Kui kõik kolm esikolmikusse tulnud võistkonnad loobuvad, siis otsustab tiitlivõistlustel osalemise EPKL-i juhatus.</t>
  </si>
  <si>
    <t>OSAVÕTUTASU</t>
  </si>
  <si>
    <t>Katsevõistlustel osalemise tasu on 120 eurot võistkonna kohta. Lisaks tuleb tasuda tagatisraha 100 eurot võistkonna kohta, mille saab tagasi peale katsevõistluste lõppu kui on mängitud kõik mängud. Juhul kui võistkond loobub edasisest võistlemisest, annab kas või ühe loobumisvõidu, siis tagatisraha tagasi ei maksta. Singli osavõtutasu on 30€. Juunioride osavõtutasu on 5 eurot mängija kohta, mida ei tagastata.</t>
  </si>
  <si>
    <t>Osavõtutasu ja tagatisraha peab olema tasutud 14.05.2016 EPKL-i a/a EE05 2200 0011 2011 4684. </t>
  </si>
  <si>
    <t>VÕISTLUSTE LÄBIVIIMISE SÜSTEEM</t>
  </si>
  <si>
    <t>Katsevõistlused koosnevad 2 ringist:</t>
  </si>
  <si>
    <t>1. I ring – mängitakse 2 etappi (mängitakse kahel eraldi päeval) turniiri süsteemis (alagrupp). Kahe etapi tulemused liidetakse ja enim kahe etapiga võite saanud kaks võistkonda pääsevad II ringi ehk finaali.</t>
  </si>
  <si>
    <t>2. II ring – FINAAL. Finaali pääsevad I ringi kaks paremat võistkonda. Finaalis mängitakse 3 võiduni.</t>
  </si>
  <si>
    <t>3. Finaali ei toimu: </t>
  </si>
  <si>
    <t>a) juhul kui peale I ringi on esimese ja teise võistkonna vahe 4 (neli) võitu või rohkem,</t>
  </si>
  <si>
    <t>b) juhul kui esimese ja teise võistkonna vahe on 3 (kolm) võitu ning omavaheliste mängude seis esimese kasuks on 4-0 (kehtib 4 võistkonna puhul).</t>
  </si>
  <si>
    <t>4. Enim võite kahe etapiga kogunud võistkond või finaali võitja on katsevõistluste võitja.</t>
  </si>
  <si>
    <t>5. Võrdsete võitude arvu korral selgitatakse paremusjärjestus järgnevalt:</t>
  </si>
  <si>
    <t>a) omavahelistes mängudes saavutatud võidud,</t>
  </si>
  <si>
    <t>b) omavaheliste mängude punktide vahe,</t>
  </si>
  <si>
    <t>d) omavaheliste mängude punktide suhe,</t>
  </si>
  <si>
    <t>e) üldine punktide suhe.</t>
  </si>
  <si>
    <t>6. Mängude järjekord etappide järgi:</t>
  </si>
  <si>
    <t>b) II etapil asetatakse võistkonnad tabelisse nii, et I etapi järel liidriks olnud võistkond on tabelis kohal nr 1, teine kohal nr. 2 jne. Viimases voorus kohtuvad omavahel esimese ja teise asetuse saanud võistkonnad, kolmandana ja neljandana asetatud võistkonnad jne.</t>
  </si>
  <si>
    <t>7. Kui katsevõistlustele registreerub üks võistkond, siis on sellel võistkonnal automaatselt õigus esindada Eestit tiitlivõistlusel.</t>
  </si>
  <si>
    <t>8. Kui katsevõistlustele registreerub kaks võistkonda, siis jääb I ring ära ja mängitakse kohe II ring ehk finaal. Finaal mängitakse nelja võiduni.</t>
  </si>
  <si>
    <t>9. Kui katsevõistlustele registreerub kolm või neli võistkonda, siis mängitakse I ringis kaks etappi ja etappidel mängitakse kaks korda „kõik kõigiga“. Finaali saavad kaks paremat ja mängiatkse 3 võiduni (punktid 2 ja 3).</t>
  </si>
  <si>
    <t>10. Kui katsevõistlustele registreerub viis võistkonda, otsustatakse võistluste läbiviimise süsteem 2 päeva jooksul peale registreerimise lõppu. </t>
  </si>
  <si>
    <t>AUHINNAD</t>
  </si>
  <si>
    <t>Parim naiskond saab õiguse esindada Eestit 2016. aasta naiste Euroopa meistrivõistlustel. </t>
  </si>
  <si>
    <t>Parim juunioride võistkond saab õiguse esindada Eestit 2016. aasta juunioride Euroopa meistrivõistlustel (kui toimuvad katsevõistlused).</t>
  </si>
  <si>
    <t>Parim naine ja mees üksikmängus saavad õiguse esindada Eestit 2016. aasta Euroopa meistrivõistlustel üksikmängus.</t>
  </si>
  <si>
    <t>Parim veteranide võistkond saab õiguse esindada Eestit 2016. aasta veteranide Euroopa meistrivõistlustel.</t>
  </si>
  <si>
    <t>Osalemise ja võistkonna kinnitab EPKL või korraldatakse katsevõistlused.</t>
  </si>
  <si>
    <t>KATSEVÕISTLUSTE JUHEND 2016</t>
  </si>
  <si>
    <t>Katsevõistluste toimumisel saab parim meeskond õiguse esindada Eestit 2016. aasta Maailmameistrivõistlustel</t>
  </si>
  <si>
    <t>c) üldine punktide vahe,</t>
  </si>
  <si>
    <t>a) I etapil loositakse tabelisse,</t>
  </si>
  <si>
    <t>Naiste EM toimub 8.–11. septembrini 2016 Slovakkias Bratislavas</t>
  </si>
  <si>
    <t>Juunioride EM toimub 28.–30. oktoobrini Monacos.</t>
  </si>
  <si>
    <t>Veteranide EM toimub 18.–20. oktoobrini Monacos.</t>
  </si>
  <si>
    <t>Singli EM toimub 4.–6. novembrini Prantsusmaal Nimes.</t>
  </si>
  <si>
    <t>I ring – (I etapp) – 14.05.2016 Tallinnas N, J</t>
  </si>
  <si>
    <t>I ring – (II etapp) – 11.06.2016 Tallinnas </t>
  </si>
  <si>
    <t>II ring - finaal – 12.06.2016 Tallinnas</t>
  </si>
  <si>
    <t>EESTI PETANGI VÄLISHOOAJA REITING 2017</t>
  </si>
  <si>
    <t>EESTI PETANGIKALENDER 2017</t>
  </si>
  <si>
    <t>Seisuga 04.04.2017</t>
  </si>
  <si>
    <t>Juuni 2017</t>
  </si>
  <si>
    <t>Juuli 2017</t>
  </si>
  <si>
    <t>August 2017</t>
  </si>
  <si>
    <t>L, 20.05.2017</t>
  </si>
  <si>
    <t>P, 21.05.2017</t>
  </si>
  <si>
    <t>L, 03.06.2017</t>
  </si>
  <si>
    <t>P, 04.06.2017</t>
  </si>
  <si>
    <t>L, 10.06.2017</t>
  </si>
  <si>
    <t>P, 11.06.2017</t>
  </si>
  <si>
    <t>L, 27.05.2017</t>
  </si>
  <si>
    <t>L, 17.06.2017</t>
  </si>
  <si>
    <t>P, 18.06.2017</t>
  </si>
  <si>
    <t>P, 02.07.2017</t>
  </si>
  <si>
    <t>L, 05.08.2017</t>
  </si>
  <si>
    <t>P, 06.08.2017</t>
  </si>
  <si>
    <t>L, 19.08.2017</t>
  </si>
  <si>
    <t>P, 20.08.2017</t>
  </si>
  <si>
    <t>L, 26.08.2017</t>
  </si>
  <si>
    <t>Trio, duo, üksik</t>
  </si>
  <si>
    <t>P, 03.09.2017</t>
  </si>
  <si>
    <t>September 2017</t>
  </si>
  <si>
    <t>L, 02.09.2017</t>
  </si>
  <si>
    <t>L, 09.09.2017</t>
  </si>
  <si>
    <t>Thibaut Sergeï Mathon (Prantsusmaa)</t>
  </si>
  <si>
    <t>Veiko Proos</t>
  </si>
  <si>
    <t xml:space="preserve">Katri Aavekukk </t>
  </si>
  <si>
    <t>Anti Alasi</t>
  </si>
  <si>
    <t>Eve Müüdla</t>
  </si>
  <si>
    <t>Vahur Raudsepp</t>
  </si>
  <si>
    <t>Heigo Kullang</t>
  </si>
  <si>
    <t xml:space="preserve">Ljudmila Varendi </t>
  </si>
  <si>
    <t>Gunnar Hiiu</t>
  </si>
  <si>
    <t xml:space="preserve">Heili Vasser </t>
  </si>
  <si>
    <t>Peeter Mäeots</t>
  </si>
  <si>
    <t>Margus Vasser</t>
  </si>
  <si>
    <t>Roman Olmre</t>
  </si>
  <si>
    <t>Airi Kruusma</t>
  </si>
  <si>
    <t>Hannes Lõps</t>
  </si>
  <si>
    <t>Katrin Tiido</t>
  </si>
  <si>
    <t>Klavdia Piik</t>
  </si>
  <si>
    <t xml:space="preserve">Martha Aavisto </t>
  </si>
  <si>
    <t>Triin Mäe</t>
  </si>
  <si>
    <t>Vahur Soover</t>
  </si>
  <si>
    <t>Andrus Tommula</t>
  </si>
  <si>
    <t>Evgeny Osokin (Venemaa)</t>
  </si>
  <si>
    <t>Markus Erik Tommula</t>
  </si>
  <si>
    <t>Olga Malyarenko (Ukraina)</t>
  </si>
  <si>
    <t>Veiko Mäekivi</t>
  </si>
  <si>
    <t>Rahvusvahelised ja katsevõistlused on sinisega ja kaldkirjas</t>
  </si>
  <si>
    <t>Kadri Veljend</t>
  </si>
  <si>
    <t>Katri Aavekukk</t>
  </si>
  <si>
    <t>Marge Mägi</t>
  </si>
  <si>
    <t>Marju Velga</t>
  </si>
  <si>
    <t>Riina Ilves</t>
  </si>
  <si>
    <t>Külli Kariste</t>
  </si>
  <si>
    <t>Marina Vallik</t>
  </si>
  <si>
    <t>Mihkel Filipenko</t>
  </si>
  <si>
    <t>Maive Sein</t>
  </si>
  <si>
    <t>Margus Berkmann</t>
  </si>
  <si>
    <t>Egert Kingissepp</t>
  </si>
  <si>
    <t>Meelis Münt</t>
  </si>
  <si>
    <t>Silver Kingissepp</t>
  </si>
  <si>
    <t>Aivar Sein</t>
  </si>
  <si>
    <t>Marko Ode</t>
  </si>
  <si>
    <t>Oskar Sepp (jun.)</t>
  </si>
  <si>
    <t>Ivar Viljaste</t>
  </si>
  <si>
    <t>Saku PK</t>
  </si>
  <si>
    <t>Sirje Viljaste</t>
  </si>
  <si>
    <t>Kaido Kopel</t>
  </si>
  <si>
    <t>Jaan Sepp</t>
  </si>
  <si>
    <t>Piret Kopel </t>
  </si>
  <si>
    <t>Andres Veski</t>
  </si>
  <si>
    <t>Angelika Tauk</t>
  </si>
  <si>
    <t>Matti Vinni</t>
  </si>
  <si>
    <t>Toomas Tauk</t>
  </si>
  <si>
    <t>Mait Metsla</t>
  </si>
  <si>
    <t>Hardo Sokk</t>
  </si>
  <si>
    <t>Aarne Välja</t>
  </si>
  <si>
    <t>Thibaut Mathon</t>
  </si>
  <si>
    <t>Ülo Piik</t>
  </si>
  <si>
    <t>Kristjan Raudsepp</t>
  </si>
  <si>
    <t>Janek Tarto</t>
  </si>
  <si>
    <t>Heigo Kullang</t>
  </si>
  <si>
    <t>Svetlana Veski</t>
  </si>
  <si>
    <t>Vahur Raudsepp</t>
  </si>
  <si>
    <t>Kalle Orro</t>
  </si>
  <si>
    <t>Alar Sinimäe</t>
  </si>
  <si>
    <t>Aigi Orro</t>
  </si>
  <si>
    <t>Urmo Auväärt</t>
  </si>
  <si>
    <t>Ülle Gaver</t>
  </si>
  <si>
    <t>Triin Gretel Tauk</t>
  </si>
  <si>
    <t>Eve Oidsalu</t>
  </si>
  <si>
    <t>Kalju Olmre</t>
  </si>
  <si>
    <t>Võru Küti PK</t>
  </si>
  <si>
    <t>Kadri Arunurm</t>
  </si>
  <si>
    <t>Toomas Hoole</t>
  </si>
  <si>
    <t>Jaan Joonas</t>
  </si>
  <si>
    <t>Valga PK</t>
  </si>
  <si>
    <t>Marek Kolk</t>
  </si>
  <si>
    <t>Maris Rõõm</t>
  </si>
  <si>
    <t>Gunnar Usin</t>
  </si>
  <si>
    <t>Varje Reede</t>
  </si>
  <si>
    <t>LITSENTSIGA MÄNGIJAD 2017</t>
  </si>
  <si>
    <t>A-puul</t>
  </si>
  <si>
    <t>1-4, 2-3</t>
  </si>
  <si>
    <t>Võitjad</t>
  </si>
  <si>
    <t>Kaotajad</t>
  </si>
  <si>
    <t>VK-KV</t>
  </si>
  <si>
    <t>B-puul</t>
  </si>
  <si>
    <t>C-puul</t>
  </si>
  <si>
    <t>D-puul</t>
  </si>
  <si>
    <t>1 - 8 koht</t>
  </si>
  <si>
    <t>I koht</t>
  </si>
  <si>
    <t>II koht</t>
  </si>
  <si>
    <t>III koht</t>
  </si>
  <si>
    <t>4. koht</t>
  </si>
  <si>
    <t>5. koht</t>
  </si>
  <si>
    <t>6. koht</t>
  </si>
  <si>
    <t>7. koht</t>
  </si>
  <si>
    <t>8. koht</t>
  </si>
  <si>
    <t>9. koht</t>
  </si>
  <si>
    <t>10. koht</t>
  </si>
  <si>
    <t>11. koht</t>
  </si>
  <si>
    <t>Angelika Tauk</t>
  </si>
  <si>
    <t>Andero Kelu</t>
  </si>
  <si>
    <t>Triin Gretel Tauk</t>
  </si>
  <si>
    <t>EPKL-i VÕISTLUSTE LÄBIVIIMISE ÜLDJUHEND</t>
  </si>
  <si>
    <t>1.1. Käesolev EPKL-i võistluste läbiviimise üldjuhend kohaldub järgnevatele EPKL-i ja/või EPKL-i liikmesklubide poolt korraldatavatele võistlustele:</t>
  </si>
  <si>
    <t>1.1.1.Tiitlivõistlused (Eesti meistrivõistlused üksikmängus, paarismängus, trios, segatrios, segapaarismängus, tulistamisharjutuses, klubide meistrivõistlused ja klubide karikavõistlused);</t>
  </si>
  <si>
    <t>1.1.2. Reitinguvõistlused;</t>
  </si>
  <si>
    <t>1.1.3. MM ja EM katsevõistlused, Eestis korraldatavad ametlikud maavõistlused.</t>
  </si>
  <si>
    <t>1.2. Võistlused toimuvad rahvusvaheliste reeglite järgi, millest võidakse teha kohalikele oludele sõltuvalt muudatusi (nt väljakute suurused jms). Tehtud muudatustest teatab võistluste peakohtunik hiljemalt enne võistluste algust.</t>
  </si>
  <si>
    <t>2.1. EPKL-i võistluste kalendrisse kantakse rahvusvahelised tiitlivõistlused ja punktis 1.1. nimetatud võistlused. Veebilehelwww.petanque.ee peetakse informatiivsena kalendrit ka kõikide muude Eestis korraldatavate võistluste ja huvipakkuvate välisvõistluste kohta vastavalt informatsiooni kättesaadavusele.</t>
  </si>
  <si>
    <t>2.2. Võistluste kalendri koostab EPKL-i juhatus, küsides eelnevalt arvamuse liikmesklubidelt. Juhatus kinnitab välishooaja võistluste kalendri hiljemalt 01. aprilliks ning sisehooaja kalendri hiljemalt 01. oktoobriks ning teeb selle viivitamatult nähtavaks EPKL-i veebilehel.</t>
  </si>
  <si>
    <t>3.1. Tiitlivõistlused – osalemise eeltingimuseks on kehtiv mängijalitsents, lubatud on mängida ainult võistluskuulidega, tulemused lähevad reitinguarvestusse;</t>
  </si>
  <si>
    <t>3.2. MM ja EM katsevõistlused, ametlikud maavõistlused – osalemise eeltingimuseks on kehtiv mängijalitsents, lubatud on mängida ainult võistluskuulidega, tulemused ei lähe reitinguarvestusse;</t>
  </si>
  <si>
    <t>3.3. Reitinguvõistlused – tulemused lähevad reitinguarvestusse, võistleja ei pea omama  kehtivat mängijalitsentsi, on lubatud kasutada harjutuskuule</t>
  </si>
  <si>
    <t>3.4. „Muud“ võistlused – tulemused ei lähe reitinguarvestusse, ei ole kohustuslik omada mängijalitsentsi, on lubatud kasutada harjutuskuule.</t>
  </si>
  <si>
    <t>3.5. Võimalusel tuleb vältida punktides 3.1.-3.3 nimetatud võistluste kavandamist rahvusvaheliste tiitlivõistluste ja Euroopa klubide karikaga samale päevale.</t>
  </si>
  <si>
    <t>4.1. EPKL-il on FIPJP-i ja CEP-i liikmena ainuõigus Eestis anda välja rahvusvahelisi mängijalitsentse.</t>
  </si>
  <si>
    <t>4.2. Mängijalitsentsi saab taotleda oma klubiliikmele EPKL-i liikmeks olev klubi, kes on tasunud EPKL-i liikmemaksu, mille suurus on kehtestatud EPKL-i üldkoosoleku otsusega. Liikmemaksu tasumiseks esitab EPKL liikmeks olevale klubile vastavasisulise arve.</t>
  </si>
  <si>
    <t>4.3. Mängijalitsentsi olemasolu kontrollib võistluste kohtunik nimekirja alusel, mis on kinnitatud EPKL-i poolt (koduleheküljel olemas). Nimekirja kättesaadavus peab olema tagatud ka võistluspaigal.</t>
  </si>
  <si>
    <t>4.4. Mängija tohib hooaja jooksul omada ainult ühte mängijalitsentsi, mis on välja antud EPKL-i poolt või mõne muu FIPJP-i liikmeks oleva riigi alaliidu poolt vastavalt kehtestatud reeglitele. Mängijalitsentsi omav mängija tohib jooksval hooajal esindada ainult ühte klubi. Uueks hooajaks klubi vahetamisel peab olema eelmise klubi luba, mille andmisest ei tohi põhjendamatult keelduda.</t>
  </si>
  <si>
    <t>4.5. Mängijalitsentsiga taotlemisega kinnitab mängija, et ta: </t>
  </si>
  <si>
    <t>4.5.1. tervislik seisund võimaldab tal osaleda petangivõistlustel;</t>
  </si>
  <si>
    <t>4.5.2. nõustub tema isikuandmete töötlemisega seoses petangivõistluste korraldamisega;</t>
  </si>
  <si>
    <t>4.5.3. annab EPKL-ile õiguse tasuta mitteärilisel eesmärgil petangi arendamiseks ja EPKL poolt kindlaks määratud muudel mõistlikel eesmärkidel kasutada ja volitada kolmandaid isikuid kasutama tema fotosid või tema kohta koostatud audiovisuaalseid ja visuaalseid materjale (kaasa arvatud nime, asjassepuutuvat statistikat, andmeid ja kujutisi) koos klubi nime, embleemi ja mängijasärgiga (sealhulgas särgisponsorite ja varustuse tootjate reklaamiga);</t>
  </si>
  <si>
    <t>4.5.4. täidab FIPJP-i, CEP-i, EPKL-i ja tema klubi põhikirja, juhendeid, direktiive ning nende alusel ja nendega kooskõlas vastu võetud otsuseid;</t>
  </si>
  <si>
    <t>4.5.5. on tutvunud EPKL-i mängijate staatust ja üleminekuid reguleeriva korraga;</t>
  </si>
  <si>
    <t>4.5.6. hoidub igasugusest tegevusest, mis kahjustab või võib kahjustada EPKL-i või EPKL-i klubide poolt korraldatud võistluste aususe ja ausa mängu põhimõtet.</t>
  </si>
  <si>
    <t>4.6. EPKL-i poolt väljastatud mängijalitsents kehtib kalendriaasta s.o. vastava aasta 01. jaanuarist - 31. detsembrini, v.a. ühekordne mängijalitsents, mis kehtib vaid ühel litsentsivõistlusel osalemiseks.</t>
  </si>
  <si>
    <t>* Erandina kehtib 2017.a mängijalitsents perioodil 01.05.-31.12.2017.</t>
  </si>
  <si>
    <t>koduleheküljel alajaotuses spordimeditsiin ja antidoping). Võistluspaigas on keelatud viibimine ilmses joobeseisundis, samuti on keelatud suitsetamine mängu ajal (kehtib ka e-sigarettide kohta).</t>
  </si>
  <si>
    <t>5.2. Võistluste peakohtunik kõrvaldab võistluste žürii otsusel võistlustelt võistleja, kes on alkoholijoobes või tarvitab muid spordis keelatud aineid.</t>
  </si>
  <si>
    <t>6.1.1. Võistluspaigas peab olema sekretariaadi töökoht, kust saab teavet ja ka esmaabi (näiteks vähemalt autoapteek). Soovitav on ka riiete vahetamise ja (käte)pesemise koht võistluspaiga läheduses.</t>
  </si>
  <si>
    <t>6.1.3. Tiitlivõistlustel peab võistluspaigas olema Eesti Vabariigi lipp ja soovitavalt mängitakse avamisel ka Eesti Vabariigi hümni.</t>
  </si>
  <si>
    <t>6.1.4. Tiitlivõistluste peakohtunik peab olema eelnevalt läbinud reeglite tutvustus-koolituse. Nimekiri koolituse läbinutest avaldatakse EPKL-i kodulehel.</t>
  </si>
  <si>
    <t>6.2. VÕISTLUSELE REGISTREERIMINE</t>
  </si>
  <si>
    <t>6.2.1. Võistlusele registreerimine toimub vastavalt võistluskutses märgitule. Reitinguarvestusse kuuluvatele võistlustele registreerimine lõpeb võistlusnädala neljapäeval kell 21.00. Registreerimine toimub aadressile juhatus@petanque.ee. Vähese osavõtjate arvu tõttu võistluse ärajäämisest teatatakse EPKL-i kodulehel www.petanque.ee hiljemalt võistlusnädala reedel kell 12.00. Loosi tulemused pannakse kodulehele üles hiljemalt võistlusnädala reedel kell 14.00.</t>
  </si>
  <si>
    <t>6.2.2. Trios võib registreerida 4 mängijat ja paarismängus 3 mängijat.</t>
  </si>
  <si>
    <t>6.3.1. Juhatus kehtestab oma otsusega punktis 1.1 nimetatud võistluste osavõtumaksude piirmäärad ja avaldab need EPKL-i kodulehel enne iga sise- ja välishooaja algust. Trios registreeritud 4. ja paarismängus registreeritud 3. mängija peab samuti tasuma osavõtumaksu.</t>
  </si>
  <si>
    <t>6.3.2. Eesti meistrivõistlustel ei nõuta osavõtumaksu eelmise aasta võitjatelt.</t>
  </si>
  <si>
    <t>6.3.3. Eesti tiitlivõistluste osavõtutasudest läheb 50% EPKL-ile ja 50% korraldajaklubile. Muude reitinguvõistluste osavõtutasudest läheb välishooaja võistluste puhul 70% auhinnafondi ja 30% korraldajaklubile ning sisehooaja võistluste puhul 60% auhinnafondi ja 40% korraldajaklubile.</t>
  </si>
  <si>
    <t>6.4.1. Võistluste korraldajad peavad esitama võistluskutse EPKLile vähemalt 10 kalendripäeva enne võistluste algust e-posti aadressile juhatus@petanque.ee. Võistluskutse peab sisaldama vähemalt:</t>
  </si>
  <si>
    <t>võistluste nimi</t>
  </si>
  <si>
    <t>korraldaja</t>
  </si>
  <si>
    <t>kuupäev</t>
  </si>
  <si>
    <t>toimumise koht</t>
  </si>
  <si>
    <t>peakohtuniku nimi</t>
  </si>
  <si>
    <t>võistlussüsteemi lühikirjeldus</t>
  </si>
  <si>
    <t>auhinnad</t>
  </si>
  <si>
    <t>6.4.2. Korraldaja klubi peab 2 päeva jooksul pärast võistluste lõppu saatma EPKL´ile võistluste protokolli e-posti aadressilejuhatus@petanque.ee. Võistluste protokoll peab sisaldama vähemalt:</t>
  </si>
  <si>
    <t>võistluste nimi, korraldaja, kuupäev, toimumise koht</t>
  </si>
  <si>
    <t>võistluste peakohtuniku nimi</t>
  </si>
  <si>
    <t>žürii liikmete nimed</t>
  </si>
  <si>
    <t>määratud karistused</t>
  </si>
  <si>
    <t>esitatud protestid</t>
  </si>
  <si>
    <t>lõplik paremusjärjestus</t>
  </si>
  <si>
    <t>soovituslikult fotod esikolmikust.</t>
  </si>
  <si>
    <t>6.5.1. Võistluste žürii on 3-5 liikmeline ja selle moodustab võistluste korraldaja. Žüriisse kuuluvad peakohtunik, mängijate esindaja ja võistluste korraldajate esindaja. Kui kohtunik on korraldajate klubist, siis on ta ka automaatselt korraldajate esindaja ning sellisel juhul peab olema žüriis 2 mängijate esindajat. Tuleb jälgida, et korraldajaklubi esindatus žüriis oleks vähemuses.</t>
  </si>
  <si>
    <t>6.5.2. Žürii otsused on lõplikud. Häälte võrdsuse korral otsustab peakohtuniku hääl.</t>
  </si>
  <si>
    <t>6.6.2. Kui väljakud on maha märgitud (korraldaja märgib), siis peavad nende mõõtmed olema tiitlivõistluste, katsevõistluste ja maavõistluste korraldamisel 4 x 15 m ja teistel võistlustel soovituslikult 4 x 15 m, kuid minimaalselt 3 x 12 m. Nimetatud nõuded ei kehti sisehallides. Väljakute piirideks on soovitatav kasutada nööri. Pimedal ajal peab väljakutel olema küllaldane valgustus.</t>
  </si>
  <si>
    <t>6.7. EPKL-i SPONSORITE REKLAAMID</t>
  </si>
  <si>
    <t>6.7.1. Kõikidel EPKL-i võistluste kalendris olevatel Eestis toimuvatel tiitli- ja reitinguvõistlustel peab mänguväljaku juurde olema paigaldatud EPKL-i sponsorite reklaamtahvlid. Reklaamtahvlite olemasolu eest vastutab EPKL-i juhatus. </t>
  </si>
  <si>
    <t>6.8. VÄLISMAISED MÄNGIJAD</t>
  </si>
  <si>
    <t>6.8.1. Välismaistel s.t. Eesti kodakondsust mitteomavatel mängijatel on õigus osaleda tiitlivõistlustel ja reitinguvõistlustel samadel tingimustel Eesti kodakondsust omavate mängijatega.</t>
  </si>
  <si>
    <t>6.8.2. Euroopa meistrivõistlustel ja ametlikel maavõistlustel on Eesti esindusvõistkonnas õigus osaleda välismaisel mängijal, kellele on väljastatud kehtiv EPKL-i mängijalitsents, mis võistluste toimumise hetkeks on kehtinud kuus kuud.</t>
  </si>
  <si>
    <t>6.8.3. Maailmameistrivõistlustel trio mänguviisis on Eesti esindusvõistkonnas õigus osaleda ühel välismaisel mängijal, kellele on väljastatud kehtiv EPKL-i mängijalitsents, mis võistluste toimumise hetkeks on kehtinud kuus kuud. Maailmameistrivõistlustel paarismängus ja üksikmängus tohivad Eesti esindusvõistkonnas osaleda ainult Eesti kodakondsust omavad mängijad.</t>
  </si>
  <si>
    <t>6.9.1. Riietus peab vastama rahvusvaheliste võistlusreeglite nõuetele.</t>
  </si>
  <si>
    <t>6.9.2. Mängijad peavad olema korrektselt riietunud, eriti on keelatud mängida palja ülakehaga ja ohutuse tagamiseks peavad mängijad kandma täielikult suletud jalatseid, mis kaitsevad varbaid ja kandu.</t>
  </si>
  <si>
    <t>6.9.3. Tiitlivõistlustel, katsevõistlustel ja maavõistlustel peab ühe võistkonna mängijatel olema ühtne võistlussärk.</t>
  </si>
  <si>
    <t>6.9.4. Mängijad, kes ei järgi eeltoodud reegleid, eemaldatakse pärast kohtuniku poolt tehtud hoiatust võistlustelt.</t>
  </si>
  <si>
    <t>6.9.5. Eestit rahvusvahelistel tiitlivõistlustel esindavale võistkonnale antakse EPKL-i poolt võistlusvorm (särk).</t>
  </si>
  <si>
    <t>6.10.1. Tabelisse asetamisel arvestatakse jooksva aasta reitingupunkte, kehtib reitingutabel võistlusele eelneva kolmapäeva seisuga. Välishooaja esimesel võistlusel arvestatakse eelnenud sisehooaja reitingutabelit, sisehooaja esimesel võistlusel arvestatakse eelnenud välishooaja reitingutabelit. Võistkonna reitingupunktide arvestus (summeerimine) toimub alljärgnevalt: </t>
  </si>
  <si>
    <t>trio: 3 liikmeline võistkond – liidetakse mängijate punktid;</t>
  </si>
  <si>
    <t>trio: 4 liikmeline võistkond – liidetakse 4 mängija punktid, jagatakse 4-ga ja korrutatakse 3-ga,</t>
  </si>
  <si>
    <t>paarismäng: 2 liikmeline võistkond – liidetakse mängijate punktid;</t>
  </si>
  <si>
    <t>paarismäng: 3 liikmeline võistkond – mängijate punktid liidetakse, jagatakse 3-ga ja korrutatakse 2-ga;</t>
  </si>
  <si>
    <t>üksikmäng – mängija punktid.</t>
  </si>
  <si>
    <t>6.10.2. Puulidesse loositakse tugevusgruppide alusel vastavalt puulide arvule. Loosimise viib läbi kolmeliikmeline komisjon koosseisus peakohtunik, EPKL-i juhatuse liige ja mängijate esindaja.</t>
  </si>
  <si>
    <t>6.10.3. Kui vastavasisuline märge on toodud võistluskutses, võib võistkonnad puulidesse  paigutada ka nn „kalasaba“ süsteemi alusel.</t>
  </si>
  <si>
    <t>6.10.4. Puulidele järgneva karikasüsteemi puhul tehakse karikatabelisse loosimine pärast puulide lõppemist kohapeal. Loosimise teeb võistluse žürii.</t>
  </si>
  <si>
    <t>6.10.5. Šveitsi süsteemi kasutamisel asetatakse esimeses voorus pooled kõrgemate reitingupunktidega võistkonnad ja vastased loositakse (näiteks: kui on registreerunud 16 võistkonda, siis reitingu 1.-8. kohal olevad võistkonnad asetatakse ja neile loositakse vastasteks reitingu 9.-16. kohal olevad võistkonnad). Paaritu arvu võistkondade puhul jääb esimeses voorus vabaks üks loosiga määratavatest võistkondadest. Kui pärast Šveitsi süsteemis toimunud eelringi jätkatakse võistlust karikasüsteemis, siis paigutatakse võistkonnad karikatabelisse eelringi paremusjärjestust arvestades (loosimist ei toimu).</t>
  </si>
  <si>
    <t>6.10.6. Võistlusel kasutatav võistlussüsteem peab tagama võitjate võimalikult õiglasema väljaselgitamise.</t>
  </si>
  <si>
    <t>6.10.7. Mängupäevale ei ole soovitatav planeerida voore rohkem kui kaheksa (8) trio puhul ja üheksa (9) paaris- ja üksikmängu puhul. Suurema arvu mängude puhul soovitatakse puule alustada seisult 2:2 või jagada võistlused mitmele päevale. Erandkorras võib mängule või voorule kehtestada lõppemise aja, mille otsustab enne võistluste algust võistluste žürii ja teatab oma otsusest koheselt kõigile mängijatele.</t>
  </si>
  <si>
    <t>6.10.8. Võistlused võib läbi viia mängudega puuli-süsteemis, karikasüsteemis või nende ühendusena segasüsteemis. Reitinguvõistlusel võib korraldav klubi soovi korral kasutada ka Šveitsi süsteemi. Šveitsi süsteemi puhul võib võistluse kohtunik registreeruda võistkonna varumängijana ja osaleda mängudes alates karikasüsteemist.</t>
  </si>
  <si>
    <t>6.10.9. Mängudega puulides tuleb need moodustada nii, et edasi pääseks otse karikasüsteemi võistkondade arvuga 4-8-16-32 jne. On oluline, et igast puulist pääseks edasi sama arv võistkondi.</t>
  </si>
  <si>
    <t>6.10.10. Võistluste jätkamisel puuli-süsteemis loositakse vastavalt puulide arvule paremusjärjestuses esimesed võistkonnad eri puulidesse, siis paremusjärjestuses järgnevad jne. Jätkates karikasüsteemis, võib puulide võitjad ja teised kohad loosida kohe segamini, kuid siiski nii, et sama puuli esimene ja teine koht (või vastavalt kolmas ja neljas koht) ei satuks esimeses ringis vastamisi. Kui võistlustel on 4 või 8 puuli, siis karikasüsteemi paigutamisel ei tohi sama puuli võistkonnad omavahel kohtuda enne finaali.</t>
  </si>
  <si>
    <t>6.10.11. Karikasüsteemis võib paarid loosida iga ringi järel või ühekordselt ja edasised karikaringid toimuvad tabeli järgi. Korraldaja peab teatama enne võistluste algust, kuidas toimub loosimine võistluste käigus.</t>
  </si>
  <si>
    <t>6.10.12. Kui võistlus toimub segasüsteemis (üks puuli ring ja karikasüsteem), siis on võistlussüsteem alljärgnev:</t>
  </si>
  <si>
    <t>Võistkondade arv 6-8: 2 puuli, poolfinaal, finaal;</t>
  </si>
  <si>
    <t>Võistkondade arv 9-11: 3 puuli, veerandfinaal (kus kahel võistkonnal vastane puudub), poolfinaal, finaal;</t>
  </si>
  <si>
    <t>Võistkondade arv 12-16: 4 puuli, veerandfinaal, poolfinaal, finaal;</t>
  </si>
  <si>
    <t>Võistkondade arv 17: 5 puuli, 1/8 finaal (kus kuuel võistkonnal vastane puudub), veerandfinaal, poolfinaal, finaal;</t>
  </si>
  <si>
    <t>Võistkondade arv 18-20: 6 puuli, 1/8 finaal (kus neljal võistkonnal vastane puudub), veerandfinaal, poolfinaal, finaal;</t>
  </si>
  <si>
    <t>Võistkondade arv 21-23: 7 puuli, 1/8 finaal (kus kahel võistkonnal vastane puudub), veerandfinaal, poolfinaal, finaal;</t>
  </si>
  <si>
    <t>Võistkondade arv 24-32: 8 puuli, 1/8 finaal, veerandfinaal, poolfinaal, finaal;</t>
  </si>
  <si>
    <t>Võistkondade arv 33-36: 9 puuli, 1/16 finaal (kus 14 võistkonnal vastane puudub), 1/8 finaal, veerandfinaal, poolfinaal, finaal;</t>
  </si>
  <si>
    <t>Võistkondade arv 37-40: 10 puuli, 1/16 finaal (kus 12 võistkonnal vastane puudub), 1/8 finaal, veerandfinaal, poolfinaal, finaal;</t>
  </si>
  <si>
    <t>6.10.13. Šveitsi süsteemis mängitakse neli vooru, kui võistkondi on paarisarv, paaritu arvu võistkondade puhul kohtuvad viiendas voorus seni vabad olnud võistkonnad ja ülejäänud võistkonnad on vabad. Vaba voor on paremusjärjestuse keskel asuval võistkonnal. NB! Üks võistkond ei saa vabas voorus olla kaks korda, sellisel juhul on vabas voorus paremusjärjestuses järgnev võistkond.</t>
  </si>
  <si>
    <t>6.10.14. Šveitsi süsteemi mängud toimuvad ajalimiidiga: üksikmäng 40 minutit + 1 snadi, paarismäng ja trio 60 minutit + 1 snadi. Kohtunik peab kõigile mängijatele kuuldavalt, kuid siiski mitte mängu käiku häirivalt, andma märku mänguajast 10 minutit enne mänguaja lõppu ja koheselt mänguaja lõppemisel. Soovituslikult võiks sekretariaadis olla ka kõigile nähtav kell. Ajamängudes on kõrvalväljak nn „surnud tsoon“.</t>
  </si>
  <si>
    <t>6.10.15. Pärast Šveitsi süsteemi jätkub võistlus karikasüsteemis, kus paremusjärjestuse kohad 1-8 jätkavad mänge esikohale, kohad 9-16 jätkavad mänge üheksandale kohale, kohad 17-24 jätkavad mänge seitsmeteistkümnendale kohale jne.</t>
  </si>
  <si>
    <t>6.10.16. Tulistamisharjutuses viiakse võistlus läbi vastavalt tulistamisvõistluse reeglitele.</t>
  </si>
  <si>
    <t>7.1. Eesti meistrivõistlustel autasustatakse esikolmikusse tulnud mängijad medaliga.</t>
  </si>
  <si>
    <t>7.2. Reitinguvõistlustel peab korraldaja võistluskutses välja tooma auhinnad ja nende väärtuse, kusjuures esikolmikule peab olema tagatud auhinnafond vähemalt 70% ulatuses osavõtumaksudest välishooaja võistluste puhul ja vähemalt 60% sisehooaja võistluste puhul.</t>
  </si>
  <si>
    <t>7.3. Välishooaja Eesti meistrivõistluste osavõtumaksudest läheb 50% korraldajale ja 50% EPKL-i poolt kogutavasse välishooaja reitingu kokkuvõtte auhinnafondi (meeste ja naiste reiting).</t>
  </si>
  <si>
    <t>8.1. Loobumiskaotuse andnud võistkond/võistleja (tulemus 0:13) kõrvaldatakse võistlustelt. Loobumisel jääb võistkond/võistleja ilma oma kohast ja teised võistkonnad/võistlejad liiguvad koha võrra edasi. Võistlustest loobumise korral tuleb teavitada võistluste peakohtunikku. Kui võistkond või võistleja lahkub võistlustelt (ka teavitamise korral), rakendatakse loobunud võistkonna/võistleja suhtes alljärgnevaid trahve: </t>
  </si>
  <si>
    <t>Trahvi määrab võistluse korraldaja. Määratud trahvisumma ja selle tasumise/mittetasumise kohta tehakse märge võistluse protokolli. Trahve ei rakendata vaid Eesti saarte praamile minejatele või muul võistluste žürii hinnangu kohasel mõjuval põhjusel (nt terviserike, viimase kohamängu eeldatavalt väga pikk ooteaeg ja seejärel pikk teekond koju vms). Mängija, kes ei ole eeltoodud trahvi võistluse korraldajale või EPKL-ile tasunud, ei saa enne trahvi tasumist järgmistel võistlustel osaleda (vastutab järgmiste võistluste korraldaja). Trahvisumma jagatakse võrdselt EPKLi ja trahvi määranud võistluse korraldaja vahel.</t>
  </si>
  <si>
    <t>8.2. Kui võistkond või mängija leiab, et tema huvid on kohtuniku otsuse tõttu tõsiselt kahjustatud, on tal õigus esitada protesti. Võistkonna esindaja poolt allkirjastatud protest tuleb esitada võistluste peakohtunikule või korraldajale koheselt pärast mängu (hiljemalt 15 minuti jooksul mängu lõppemisest arvates), kui protest puudutab konkreetset mängusituatsiooni või koheselt pärast võistluste lõppu (15 minuti jooksul pärast viimase mängu lõppemist), kui protest puudutab võistluste korraldust.</t>
  </si>
  <si>
    <t>8.3. Protest (näidisvorm on saadaval veebilehel www.petanque.ee) tuleb esitada koos 30 (kolmkümmend) euro suuruse tagatismaksuga.</t>
  </si>
  <si>
    <t>8.4. Esitatud protest peab sisaldama vähemalt:</t>
  </si>
  <si>
    <t>võistluse nimi;</t>
  </si>
  <si>
    <t>kuupäev;</t>
  </si>
  <si>
    <t>protesti esitamise kellaaeg;</t>
  </si>
  <si>
    <t>protesti sisu;</t>
  </si>
  <si>
    <t>protesti esitaja nimi ja allkiri;</t>
  </si>
  <si>
    <t>protesti vastuvõtja nimi ja allkiri.</t>
  </si>
  <si>
    <t>8.5. Protesti lahendab võistluste žürii mõistliku aja jooksul, kuid mitte hiljem kui 3 (kolme) päeva jooksul ning teatab otsusest kirjalikult protesti esitajale. Kui protest saab positiivse lahenduse esitaja jaoks, siis tagatismaks tagastatakse.</t>
  </si>
  <si>
    <t>9.1. Mängija, kes eksib sportliku käitumise reeglite vastu, või veelgi hullem, näidates üles mitteaustust (nt. alkoholijoobes olek, jne) või vägivaldsust korraldajate, kohtunike, teiste mängijate või pealtvaatajate suhtes, saab karistatud sõltuvalt rikkumise suurusest ühe või mitme karistusega, mis on toodud alljärgnevalt:</t>
  </si>
  <si>
    <t>9.1.1. Võistlustelt eemaldamine – karistuse määrab võistluse žürii, kelle otsus on lõplik;</t>
  </si>
  <si>
    <t>9.1.2. Mängijalitsentsi tühistamine – ettepaneku teeb võistluse žürii, otsustab EPKL-i juhatus;</t>
  </si>
  <si>
    <t>9.1.3. Auhindade mitte väljaandmine – karistuse määrab võistluse žürii, teatades sellest 48 tunni jooksul kirjalikult EPKL-i juhatusele (võistluse protokollis), millisel juhul kuuluvad auhinnad tagastamisele korraldajale.</t>
  </si>
  <si>
    <t>9.2. Karistus, mis on rakendatud võistkonna ühe mängija suhtes,  võib laieneda ka tema võistkonna liikmetele.</t>
  </si>
  <si>
    <t>9.3. Kõik määratud karistused tuleb peakohtuniku poolt fikseerida võistluse protokollis ja protokoll edastada EPKL-i juhatusele juhendis määratud tähtaja jooksul.</t>
  </si>
  <si>
    <t>9.4. Võistluselt eemaldatud mängija jääb ilma reitingupunktidest ja klubil, kelle liige mängija on, tuleb maksta trahvi 13.- eurot mängija kohta. Karistatud mängija ei saa enne osaleda järgmisel võistlusel, kui määratud trahv on tasutud.</t>
  </si>
  <si>
    <t>9.5. Trahvisumma jagatakse pooleks EPKL-i ja võistluse korraldaja vahel.</t>
  </si>
  <si>
    <t>Käesolev juhend on kinnitatud EPKL-i juhatuse poolt 28. aprillil 2017.a ja kehtib alates 01. maist 2017.a</t>
  </si>
  <si>
    <t>EPKL-I VÕISTLUSTE ÜLDJUHEND (2017)</t>
  </si>
  <si>
    <t>EPKL-i VÄLISHOOAJA VÕISTLUSTE REITINGU JUHEND (kehtib perioodil 01. mai – 30. oktoober)</t>
  </si>
  <si>
    <t>1. Välishooajal lähevad reitinguarvestusse vastavalt EPKL-i poolt antud hooajaks kinnitatud kalendrile:</t>
  </si>
  <si>
    <t>c. Eelnenud sisehooaja reitingutabeli paremusjärjestus, mida arvestatakse välishooaja reitingutabelis igal juhul ühe reitinguvõistlusena.</t>
  </si>
  <si>
    <t>2. Reitingupunkte arvestatakse ainult siis, kui võistlustel osaleb vähemalt 6 (kuus) võistlejat/võistkonda. Trios neljandana ja paarismängus kolmandana registreeritud võistlejale arvestatakse reitingupunkte ainult juhul, kui ta on võistluse käigus osalenud vähemalt ühes mängus.</t>
  </si>
  <si>
    <t>3. Reitinguarvestust peetakse neljas kategoorias:</t>
  </si>
  <si>
    <t>a. üldreiting (paremusjärjestus võistluste eelringides puulidesse või Šveitsi süsteemi tabelisse paigutamiseks);</t>
  </si>
  <si>
    <t>b. üldreitingu parim mees (koostatakse eraldi tabel paremaks jälgimiseks);</t>
  </si>
  <si>
    <t>d. üldreitingu parim juunior (koostatakse eraldi tabel paremaks jälgimiseks).</t>
  </si>
  <si>
    <t>4. Üldreitingusse lähevad nii meeste, naiste kui ka juunioride tulemused. Arvestus toimub vastavalt üldreitingu tabelile. </t>
  </si>
  <si>
    <t>5. Naiste ja juunioride puhul toimub EMV-l eraldi punktiarvestus üksikmängus (S) ja tulistamises (TUL) (vt punktitabel). Kui naisi osaleb võistlusel vähem kui 6, siis võistlevad nad koos meestega ja reitingupunkte saavad vastavalt EMV punktitabelile. Kui juuniore osaleb võistlusel vähem kui 6, siis võistlevad naisjuuniorid koos naistega ja meesjuuniorid koos meestega. Naisjuuniorid saavad sel juhul reitingupunkte vastavalt naiste (S ja TUL) punktitabelile ja meesjuuniorid saavad reitingupunkte vastavalt EMV punktitabelile. Kui naisi (koos naisjuunioridega) osaleb võistlusel vähem kui 6, siis võistlevad nad koos meestega ja reitingupunkte saavad vastavalt EMV punktitabelile.</t>
  </si>
  <si>
    <t>6. Võrdsete punktide korral saab reitingutabelis kõrgema koha võistleja, kellel on rohkem kõrgema koha punkte.</t>
  </si>
  <si>
    <t>7. Eraldi nii naiste kui meeste arvestuses autasustatakse reitingu kuut parimat mängijat järgnevalt:</t>
  </si>
  <si>
    <t>a. I koht: rahaline auhind (25% EPKL-ile laekunud Eesti meistrivõistluste osalustasudest) + meene + järgmise võistlushooaja litsents;</t>
  </si>
  <si>
    <t>b. II koht: rahaline auhind (15% EPKL-ile laekunud Eesti meistrivõistluste osalustasudest) + meene + järgmise võistlushooaja litsents;</t>
  </si>
  <si>
    <t>c. III koht: rahaline auhind (10% EPKL-ile laekunud Eesti meistrivõistluste osalustasudest) + meene + järgmise võistlushooaja litsents;</t>
  </si>
  <si>
    <t>d. IV – VI koht: järgmise võistlushooaja litsents.</t>
  </si>
  <si>
    <t>8. Kolme parimat juuniori autasustatakse meenetega. </t>
  </si>
  <si>
    <t>Käesolev juhend on kehtiv alates 01. maist 2017.a</t>
  </si>
  <si>
    <t>EPKL-I REITINGU JUHEND (2017)</t>
  </si>
  <si>
    <t>b. Reitinguvõistlused, millest kokkuvõttes arvestatakse maha 1 halvim tulemus, kui reitinguvõistlusi on kuni 6; 2 halvimat tulemust, kui reitinguvõistlusi on 7-9; 3 halvimat tulemust, kui reitinguvõistlusi on 10 või rohkem;</t>
  </si>
  <si>
    <t>a. Eesti meistrivõistlused (EMV) üksikmängus, paarismängus, trios, segatrios, segapaarismängus ja tulistamisharjutuses, millest kokkuvõttes arvestatakse maha 1 halvim tulemus;</t>
  </si>
  <si>
    <t>c. üldreitingu parim naine (koostatakse eraldi tabel paremaks jälgimiseks);</t>
  </si>
  <si>
    <t>REITINGU PUNKTIARVESTUS 2017</t>
  </si>
  <si>
    <t>Arvesse läheb 10 võistlust 12st  (5 reitinguvõistlust 6st + 5 Eesti MV-d 6st) + sisereiting</t>
  </si>
  <si>
    <t>Saku PK</t>
  </si>
  <si>
    <t>PK Wicia</t>
  </si>
  <si>
    <t>10:00</t>
  </si>
  <si>
    <t>11:00</t>
  </si>
  <si>
    <t>Jaan Sepp, Mait Metsla, Oskar Sepp</t>
  </si>
  <si>
    <t>Kadri Veljend, Mare Kingissepp, Marko Ode</t>
  </si>
  <si>
    <t>Alar Sinimäe, Kristjan Raudsepp, Vahur Raudsepp</t>
  </si>
  <si>
    <t>Aivar Sein, Egert Kingissepp, Silver Kingissepp</t>
  </si>
  <si>
    <t>Andero Kelu, Hardo Sokk, Urmo Auväärt</t>
  </si>
  <si>
    <t>Heigo Kullang, Indrek Vaho, Triin Gretel Tauk</t>
  </si>
  <si>
    <t>Kadri Arunurm, Kalju Olmre, Mihkel Filipenko, Ülo Piik</t>
  </si>
  <si>
    <t>Marek Lehis, Margo Peebo, Margus Limberg</t>
  </si>
  <si>
    <t>Mati Tapo, Vallo Sillamaa, Vello Sillasoo</t>
  </si>
  <si>
    <t>Ivar Viljaste, Marina Vallik, Sirje Viljaste</t>
  </si>
  <si>
    <t>Angelika Tauk, Kaido Kopel, Toomas Tauk</t>
  </si>
  <si>
    <t>I</t>
  </si>
  <si>
    <t>II</t>
  </si>
  <si>
    <t>III</t>
  </si>
  <si>
    <t>B1</t>
  </si>
  <si>
    <t>9 - 11 koht</t>
  </si>
  <si>
    <t>V-K</t>
  </si>
  <si>
    <t>2-0</t>
  </si>
  <si>
    <t>0-2</t>
  </si>
  <si>
    <t>1-1</t>
  </si>
  <si>
    <t>D2</t>
  </si>
  <si>
    <t>A1</t>
  </si>
  <si>
    <t>C2</t>
  </si>
  <si>
    <t>C1</t>
  </si>
  <si>
    <t>B2</t>
  </si>
  <si>
    <t>D1</t>
  </si>
  <si>
    <t>A2</t>
  </si>
  <si>
    <t>DNS</t>
  </si>
  <si>
    <t>Arti Lindvest, Jaanus Otsman, Merle Lindvest (haigestumine)</t>
  </si>
  <si>
    <t>Tasu</t>
  </si>
  <si>
    <t>Ü L D R E I T I N G</t>
  </si>
  <si>
    <t>2-2</t>
  </si>
  <si>
    <t>-1</t>
  </si>
  <si>
    <t>IV</t>
  </si>
  <si>
    <t>0</t>
  </si>
  <si>
    <t>0-4</t>
  </si>
  <si>
    <t>V</t>
  </si>
  <si>
    <t>+1</t>
  </si>
  <si>
    <t xml:space="preserve">II </t>
  </si>
  <si>
    <t>4-0</t>
  </si>
  <si>
    <t xml:space="preserve">I </t>
  </si>
  <si>
    <t>1. voor</t>
  </si>
  <si>
    <t>2 - 5</t>
  </si>
  <si>
    <t>3 - 4</t>
  </si>
  <si>
    <t>2. voor</t>
  </si>
  <si>
    <t>1 - 3</t>
  </si>
  <si>
    <t>4 - 5</t>
  </si>
  <si>
    <t>3. voor</t>
  </si>
  <si>
    <t>1 - 5</t>
  </si>
  <si>
    <t>2 - 4</t>
  </si>
  <si>
    <t>4. voor</t>
  </si>
  <si>
    <t>2 - 1</t>
  </si>
  <si>
    <t>3 - 5</t>
  </si>
  <si>
    <t>5. voor</t>
  </si>
  <si>
    <t>2 - 3</t>
  </si>
  <si>
    <t>1 - 4</t>
  </si>
  <si>
    <t>Angelika Tauk, Eve Oidsalu, Kadri Arunurm</t>
  </si>
  <si>
    <t>Katri Aavekukk, Külli Kariste, Merike Aava</t>
  </si>
  <si>
    <t>1-3</t>
  </si>
  <si>
    <t>3-1</t>
  </si>
  <si>
    <t>1 - 2</t>
  </si>
  <si>
    <t>VETERANID</t>
  </si>
  <si>
    <t>Alari Keedus</t>
  </si>
  <si>
    <t>Kertu Palm</t>
  </si>
  <si>
    <t>w</t>
  </si>
  <si>
    <t>Anny Lusbo</t>
  </si>
  <si>
    <t>Maret Arike</t>
  </si>
  <si>
    <t>E-puul</t>
  </si>
  <si>
    <t>F-puul</t>
  </si>
  <si>
    <t>1 - 4 koht</t>
  </si>
  <si>
    <t>12. koht</t>
  </si>
  <si>
    <t>13. koht</t>
  </si>
  <si>
    <t>14. koht</t>
  </si>
  <si>
    <t>15. koht</t>
  </si>
  <si>
    <t>16. koht</t>
  </si>
  <si>
    <t>17. koht</t>
  </si>
  <si>
    <t>18. koht</t>
  </si>
  <si>
    <t>19. koht</t>
  </si>
  <si>
    <t>20. koht</t>
  </si>
  <si>
    <t>Egert, Mare, Silver Kingissepp</t>
  </si>
  <si>
    <t>Martha Aavisto, Oskar Sepp</t>
  </si>
  <si>
    <t>Aigi Orro, Kalle Orro</t>
  </si>
  <si>
    <t>Kadri Veljend, Urmo Auväärt</t>
  </si>
  <si>
    <t>Aivar Sein, Marge Mägi</t>
  </si>
  <si>
    <t>Maive Sein, Marek Kolk</t>
  </si>
  <si>
    <t>Ivar Viljaste, Sirje Viljaste</t>
  </si>
  <si>
    <t>Kevin Kangur, Maris Rõõm</t>
  </si>
  <si>
    <t>Alari Keedus, Kertu Palm</t>
  </si>
  <si>
    <t>Kadri Arunurm, Kalju Olmre</t>
  </si>
  <si>
    <t>Arvi Palla, Marina Vallik</t>
  </si>
  <si>
    <t>Aigar Lusbo, Merike Lusbo</t>
  </si>
  <si>
    <t>Kaido Kopel, Piret Kopel</t>
  </si>
  <si>
    <t>Maret Arike, Vahur Raudsepp</t>
  </si>
  <si>
    <t>Andres Veski, Svetlana Veski</t>
  </si>
  <si>
    <t>Marta Ruus, Valmar Pantšenko</t>
  </si>
  <si>
    <t>Angelika Tauk, Toomas Tauk</t>
  </si>
  <si>
    <t>Irene Võrklaev, Jaan Sepp, Mait Metsla</t>
  </si>
  <si>
    <t>Toomas Reede, Varje Reede</t>
  </si>
  <si>
    <t>Ivar Viljaste, Kadri Arunurm, Kalju Olmre</t>
  </si>
  <si>
    <t>Marge Mägi, Marina Vallik, Sirje Viljaste</t>
  </si>
  <si>
    <t>Aivar Sein, Egert, Mare, Silver Kingissepp</t>
  </si>
  <si>
    <t>Marek Lehis, Margo Peebo, Margus Strööm</t>
  </si>
  <si>
    <t>Irene Võrklaev, Kadri Veljend, Marko Ode</t>
  </si>
  <si>
    <t>Alar Sinimäe, Kristjan Raudsepp, Triin Gretel Tauk</t>
  </si>
  <si>
    <t>Jaan Sepp, Oskar Sepp, Mait Metsla</t>
  </si>
  <si>
    <t>Andres Veski, Svetlana Veski, Urmo Auväärt</t>
  </si>
  <si>
    <t>Arvi Palla, Indrek Vaho, Janek Kiisk</t>
  </si>
  <si>
    <t>Anne Sillamaa, Vallo Sillamaa, Vello Sillasoo</t>
  </si>
  <si>
    <t>Maive Sein, Toomas Reede, Varje Reede</t>
  </si>
  <si>
    <t>Aigar Lusbo, Anny Lusbo, Merike Lusbo</t>
  </si>
  <si>
    <t>Alari Keedus, Kertu Palm, Marek Kolk</t>
  </si>
  <si>
    <t>9 - 16 koht</t>
  </si>
  <si>
    <t>Irene Võrklaev</t>
  </si>
  <si>
    <t>Maret Arike</t>
  </si>
  <si>
    <t>Mare Kingissepp</t>
  </si>
  <si>
    <t>Toomas Reede</t>
  </si>
  <si>
    <t>Tiit Kattai</t>
  </si>
  <si>
    <t>Anna Liisa Kattai (jun.)</t>
  </si>
  <si>
    <t>Kevin Kangur</t>
  </si>
  <si>
    <t>Aimar Poom</t>
  </si>
  <si>
    <t>Alari Keedus</t>
  </si>
  <si>
    <t>10:30</t>
  </si>
  <si>
    <t>Võit - 2 punkti</t>
  </si>
  <si>
    <t>Viik - 1 punkt</t>
  </si>
  <si>
    <t>Kaotus - 0 punkti</t>
  </si>
  <si>
    <t>Skoor</t>
  </si>
  <si>
    <t>A</t>
  </si>
  <si>
    <t>B</t>
  </si>
  <si>
    <t>C</t>
  </si>
  <si>
    <t>D</t>
  </si>
  <si>
    <t>E</t>
  </si>
  <si>
    <t>F</t>
  </si>
  <si>
    <t>G</t>
  </si>
  <si>
    <t>H</t>
  </si>
  <si>
    <t>S</t>
  </si>
  <si>
    <t>L</t>
  </si>
  <si>
    <t>O</t>
  </si>
  <si>
    <t>Paremusjärjestus pärast nelja eelvooru</t>
  </si>
  <si>
    <t>Sk</t>
  </si>
  <si>
    <t>Buch</t>
  </si>
  <si>
    <t>Võit - 1 punkt</t>
  </si>
  <si>
    <t>1. + 2. voor</t>
  </si>
  <si>
    <t>jrk</t>
  </si>
  <si>
    <t>ÜMBERVISKED</t>
  </si>
  <si>
    <t xml:space="preserve">Kokku: </t>
  </si>
  <si>
    <t>Kristjan Raudsepp, Triin Gretel Tauk</t>
  </si>
  <si>
    <t>Maret Arike, Martha Aavisto, Vahur Raudsepp</t>
  </si>
  <si>
    <t>Tundmatu Narvast</t>
  </si>
  <si>
    <t>Eve Tõnisson</t>
  </si>
  <si>
    <t>Romek Tarto</t>
  </si>
  <si>
    <t>Seisuga 08.06.2017</t>
  </si>
  <si>
    <t>1x</t>
  </si>
  <si>
    <t>Martha Aavisto (jun.)</t>
  </si>
  <si>
    <t>1-4,2-3</t>
  </si>
  <si>
    <t>-</t>
  </si>
  <si>
    <t>F2</t>
  </si>
  <si>
    <t>E1</t>
  </si>
  <si>
    <t>F1</t>
  </si>
  <si>
    <t>E2</t>
  </si>
  <si>
    <t>5 - 8 koht</t>
  </si>
  <si>
    <t>C3</t>
  </si>
  <si>
    <t>B3</t>
  </si>
  <si>
    <t>D3</t>
  </si>
  <si>
    <t>F3</t>
  </si>
  <si>
    <t>E3</t>
  </si>
  <si>
    <t>A3</t>
  </si>
  <si>
    <t>21. koht</t>
  </si>
  <si>
    <t>22. koht</t>
  </si>
  <si>
    <t>23. koht</t>
  </si>
  <si>
    <t>Viktor Svarõgin</t>
  </si>
  <si>
    <t>G-puul</t>
  </si>
  <si>
    <t>Ljudmila Varendi</t>
  </si>
  <si>
    <t>1 - 6 koht</t>
  </si>
  <si>
    <t>1. koht</t>
  </si>
  <si>
    <t>2. koht</t>
  </si>
  <si>
    <t>3. koht</t>
  </si>
  <si>
    <t>7 - 9 koht</t>
  </si>
  <si>
    <t>* M</t>
  </si>
  <si>
    <t>13 - 20 koht</t>
  </si>
  <si>
    <t>9 - 12 koht</t>
  </si>
  <si>
    <t>E4</t>
  </si>
  <si>
    <t>C4</t>
  </si>
  <si>
    <t>3-0</t>
  </si>
  <si>
    <t>1-2</t>
  </si>
  <si>
    <t>2-1</t>
  </si>
  <si>
    <t>0-3</t>
  </si>
  <si>
    <t>G1</t>
  </si>
  <si>
    <t>G2</t>
  </si>
  <si>
    <t>9 - 14 koht</t>
  </si>
  <si>
    <t>15 - 23 koht</t>
  </si>
  <si>
    <t>B4</t>
  </si>
  <si>
    <t>G3</t>
  </si>
  <si>
    <t>G4</t>
  </si>
  <si>
    <t>vahevooru 1</t>
  </si>
  <si>
    <t>vahevooru 2</t>
  </si>
  <si>
    <t>vahevooru 3</t>
  </si>
  <si>
    <t>vahevooru 4</t>
  </si>
  <si>
    <t>edasi 2</t>
  </si>
  <si>
    <t>edasi 1</t>
  </si>
  <si>
    <t>edasi 3</t>
  </si>
  <si>
    <t>edasi 4</t>
  </si>
  <si>
    <t>20-21</t>
  </si>
  <si>
    <t>23-24</t>
  </si>
  <si>
    <t>Anti alasi</t>
  </si>
  <si>
    <t>4Üld</t>
  </si>
  <si>
    <t>5Üld</t>
  </si>
  <si>
    <r>
      <rPr>
        <b/>
        <sz val="10"/>
        <rFont val="Calibri"/>
        <family val="2"/>
        <charset val="186"/>
        <scheme val="minor"/>
      </rPr>
      <t>S**</t>
    </r>
    <r>
      <rPr>
        <sz val="10"/>
        <rFont val="Arial"/>
        <family val="2"/>
        <charset val="186"/>
      </rPr>
      <t xml:space="preserve"> - segaduo</t>
    </r>
  </si>
  <si>
    <r>
      <rPr>
        <b/>
        <sz val="10"/>
        <rFont val="Calibri"/>
        <family val="2"/>
        <charset val="186"/>
        <scheme val="minor"/>
      </rPr>
      <t>***</t>
    </r>
    <r>
      <rPr>
        <sz val="10"/>
        <rFont val="Arial"/>
        <family val="2"/>
        <charset val="186"/>
      </rPr>
      <t xml:space="preserve"> - trio</t>
    </r>
  </si>
  <si>
    <r>
      <rPr>
        <b/>
        <sz val="10"/>
        <rFont val="Calibri"/>
        <family val="2"/>
        <charset val="186"/>
        <scheme val="minor"/>
      </rPr>
      <t>*</t>
    </r>
    <r>
      <rPr>
        <sz val="10"/>
        <rFont val="Arial"/>
        <family val="2"/>
        <charset val="186"/>
      </rPr>
      <t xml:space="preserve"> - üksik</t>
    </r>
  </si>
  <si>
    <r>
      <rPr>
        <b/>
        <sz val="10"/>
        <rFont val="Calibri"/>
        <family val="2"/>
        <charset val="186"/>
        <scheme val="minor"/>
      </rPr>
      <t>TUL</t>
    </r>
    <r>
      <rPr>
        <sz val="10"/>
        <rFont val="Arial"/>
        <family val="2"/>
        <charset val="186"/>
      </rPr>
      <t xml:space="preserve"> - tulistamine</t>
    </r>
  </si>
  <si>
    <t>17 - 24 koht</t>
  </si>
  <si>
    <t>24. koht</t>
  </si>
  <si>
    <t>:</t>
  </si>
  <si>
    <t>Ivar Viljaste, Toomas Reede</t>
  </si>
  <si>
    <t>Urmo Auväärt, Ülo Piik</t>
  </si>
  <si>
    <t>Mare Kingissepp, Marge Mägi</t>
  </si>
  <si>
    <t>Egert Kingissepp, Silver Kingissepp</t>
  </si>
  <si>
    <t>Jaan Sepp, Oskar Sepp</t>
  </si>
  <si>
    <t>Kertu Palm, Valmar Pantšenko</t>
  </si>
  <si>
    <t>Jaan Joonas, Toomas Hoole</t>
  </si>
  <si>
    <t>Martha Aavisto, Vahur Raudsepp</t>
  </si>
  <si>
    <t>Margo Peebo, Margus Strööm</t>
  </si>
  <si>
    <t>Mait Metsla, Vladimir Ogneštšikov</t>
  </si>
  <si>
    <t>Mati Tapo, Vallo Sillamaa</t>
  </si>
  <si>
    <t>Tõnu Sõrmus, Viljar Kerb</t>
  </si>
  <si>
    <t>Marika Poom, Robert Schmidt</t>
  </si>
  <si>
    <t>Maris Rõõm, Mati Rõõm</t>
  </si>
  <si>
    <t>Danel Pilv, Jaan Lüitsepp</t>
  </si>
  <si>
    <t>Mauno Mill, Varje Reede</t>
  </si>
  <si>
    <t>Anna Liisa Kattai, Anneli Kattai, Tiit Kattai</t>
  </si>
  <si>
    <t>Janek Kangur, Uudo Blaasen</t>
  </si>
  <si>
    <t>T</t>
  </si>
  <si>
    <t>Agita Lejniece, Egils Lejnieks</t>
  </si>
  <si>
    <t>Marek Lehis, Peeter Mäeots</t>
  </si>
  <si>
    <t>U</t>
  </si>
  <si>
    <t>Õ</t>
  </si>
  <si>
    <t>Ä</t>
  </si>
  <si>
    <t>Anne Sillamaa, Vello Sillasoo</t>
  </si>
  <si>
    <t>X</t>
  </si>
  <si>
    <t>Y</t>
  </si>
  <si>
    <t>Mihkel Lillemets, Siiri Baranova</t>
  </si>
  <si>
    <t>Aimar Poom, Marek Kolk</t>
  </si>
  <si>
    <t>51:24</t>
  </si>
  <si>
    <t>41:33</t>
  </si>
  <si>
    <t>48:35</t>
  </si>
  <si>
    <t>48:25</t>
  </si>
  <si>
    <t>49:28</t>
  </si>
  <si>
    <t>46:27</t>
  </si>
  <si>
    <t>41:31</t>
  </si>
  <si>
    <t>41:35</t>
  </si>
  <si>
    <t>42:42</t>
  </si>
  <si>
    <t>34:39</t>
  </si>
  <si>
    <t>37:33</t>
  </si>
  <si>
    <t>39:40</t>
  </si>
  <si>
    <t>27:41</t>
  </si>
  <si>
    <t>34:33</t>
  </si>
  <si>
    <t>38:35</t>
  </si>
  <si>
    <t>39:45</t>
  </si>
  <si>
    <t>41:39</t>
  </si>
  <si>
    <t>25:46</t>
  </si>
  <si>
    <t>20:42</t>
  </si>
  <si>
    <t>39:41</t>
  </si>
  <si>
    <t>24.52</t>
  </si>
  <si>
    <t>22:52</t>
  </si>
  <si>
    <t>?</t>
  </si>
  <si>
    <t>Danel Pilv</t>
  </si>
  <si>
    <t>Jaan Lüitsepp</t>
  </si>
  <si>
    <t>Mauno Mill</t>
  </si>
  <si>
    <t>Mihkel Lillemets</t>
  </si>
  <si>
    <t>Egils Lejnieks (Läti)</t>
  </si>
  <si>
    <t>Agita Lejniece (Läti)</t>
  </si>
  <si>
    <t>Janek Kangur</t>
  </si>
  <si>
    <t>Uudo Blaasen</t>
  </si>
  <si>
    <t>Marika Poom</t>
  </si>
  <si>
    <t>Robert Schmidt</t>
  </si>
  <si>
    <t>Anneli Kattai</t>
  </si>
  <si>
    <t>Viljar Kerb</t>
  </si>
  <si>
    <t>Tõnu Sõrmus</t>
  </si>
  <si>
    <t>Kohtla-Järve SHK, Ivar Viljaste</t>
  </si>
  <si>
    <t>Valga PK, Tiit Kattai</t>
  </si>
  <si>
    <t>Koef</t>
  </si>
  <si>
    <t>Ruudi Väärtnõu</t>
  </si>
  <si>
    <t>Andres Pebre</t>
  </si>
  <si>
    <t>Andrus Treiman</t>
  </si>
  <si>
    <t>Tõnu Piik</t>
  </si>
  <si>
    <t>Marita Salomäki (Soome)</t>
  </si>
  <si>
    <t>Tapio Salomäki (Soome)</t>
  </si>
  <si>
    <t>Boriss Klubov</t>
  </si>
  <si>
    <t>Sari Muko (Soome)</t>
  </si>
  <si>
    <t>Katrin Lember</t>
  </si>
  <si>
    <t>Alex Lember</t>
  </si>
  <si>
    <t>Ville Liimatainen (Soome)</t>
  </si>
  <si>
    <t>Pentti Leppänen (Soome)</t>
  </si>
  <si>
    <t>Tuula Hallikainen (Soome)</t>
  </si>
  <si>
    <t>Eeva Liisa Perttula (Soome)</t>
  </si>
  <si>
    <t>Meelis Münt</t>
  </si>
  <si>
    <t>Joonas Tohert</t>
  </si>
  <si>
    <t>Gunnar Usin</t>
  </si>
  <si>
    <t>T M</t>
  </si>
  <si>
    <t>T N</t>
  </si>
  <si>
    <t>T J</t>
  </si>
  <si>
    <t>Aimar Poom, Marek Kolk, Toomas Hoole</t>
  </si>
  <si>
    <t>Alar Sinimäe, Marko Ode, Ruudi Väärtnõu</t>
  </si>
  <si>
    <t>Andrus Tommula, Heigo Kullang, Vahur Raudsepp</t>
  </si>
  <si>
    <t>Jaan Sepp, Mait Metsla, Oskar Sepp, Sirje Viljaste</t>
  </si>
  <si>
    <t>Kevin Sten Liik, Markus Erik Tommula, Ott Karl Kopel</t>
  </si>
  <si>
    <t>A4</t>
  </si>
  <si>
    <t>7 - 10 koht</t>
  </si>
  <si>
    <t>Andrus Tommula, Külli Kariste, Urmo Auväärt</t>
  </si>
  <si>
    <t>Arvi Palla, Janek Kiisk, Kadri Veljend</t>
  </si>
  <si>
    <t>Katri Aavekukk, Merike Aava, Thibaut Sergeï Mathon</t>
  </si>
  <si>
    <t>Aimar Poom, Kertu Palm, Marek Kolk, Valmar Pantšenko</t>
  </si>
  <si>
    <t>Aarne Välja, Aigi Orro, Kalle Orro</t>
  </si>
  <si>
    <t>Arvi Palla, Kadri Arunurm, Kalju Olmre</t>
  </si>
  <si>
    <t>Kadri Veljend, Margo Peebo, Marko Ode</t>
  </si>
  <si>
    <t>Gunnar Usin, Marek Kolk, Toomas Hoole</t>
  </si>
  <si>
    <t>Kaido Kopel, Margus Berkmann, Meelis Münt</t>
  </si>
  <si>
    <t>Aarne Välja, Ivar Viljaste, Matti Vinni</t>
  </si>
  <si>
    <t>Aivar Sein, Maive Sein, Varje Reede</t>
  </si>
  <si>
    <t>Kevin Sten Liik, Mare Kingissepp, Marge Mägi, Silver Kingissepp</t>
  </si>
  <si>
    <t>Alar Sinimäe, Andero Kelu, Mihkel Palk, Urmo Auväärt</t>
  </si>
  <si>
    <t>Aimar Poom, Kertu Palm, Valmar Pantšenko</t>
  </si>
  <si>
    <t>Jaan Sepp, Oskar Sepp, Sirje Viljaste</t>
  </si>
  <si>
    <t>Joonas Tohert, Markus Erik Tommula, Ott Karl Kopel</t>
  </si>
  <si>
    <t>Eve Oidsalu, Kaarel Mikk, Toomas Tauk</t>
  </si>
  <si>
    <t>Angelika Tauk, Piret Kopel, Triin Gretel Tauk</t>
  </si>
  <si>
    <t>Andres Veski, Mait Metsla, Svetlana Veski</t>
  </si>
  <si>
    <t>11.  koht</t>
  </si>
  <si>
    <t>D4</t>
  </si>
  <si>
    <t>Kaido Kopel, Mihkel Filipenko</t>
  </si>
  <si>
    <t>Janek Kiisk, Marek Lehis</t>
  </si>
  <si>
    <t>Marek Kolk, Toomas Hoole</t>
  </si>
  <si>
    <t>Gunnar Usin, Marina Vallik</t>
  </si>
  <si>
    <t>Alar Sinimäe, Marko Ode</t>
  </si>
  <si>
    <t>Kadri Veljend, Margo Peebo</t>
  </si>
  <si>
    <t>Aimar Poom, Ivar Viljaste</t>
  </si>
  <si>
    <t>Toomas Tauk, Veiko Proos</t>
  </si>
  <si>
    <t>Andero Kelu, Urmo Auväärt</t>
  </si>
  <si>
    <t>Mait Metsla, Sirje Viljaste</t>
  </si>
  <si>
    <t>Eve Oidsalu, Thibaut Sergeï Mathon</t>
  </si>
  <si>
    <t>Kaarel Mikk, Triin Gretel Tauk</t>
  </si>
  <si>
    <t>Mare Kingissepp, Marge Mägi, Silver Kingissepp</t>
  </si>
  <si>
    <t>Kevin Sten Liik, Markus Erik Tommula</t>
  </si>
  <si>
    <t>Piret Kopel, Vahur Raudsepp</t>
  </si>
  <si>
    <t>Ü</t>
  </si>
  <si>
    <t>Z</t>
  </si>
  <si>
    <t>Q</t>
  </si>
  <si>
    <t>W</t>
  </si>
  <si>
    <t>+7</t>
  </si>
  <si>
    <t>+5</t>
  </si>
  <si>
    <t>+9</t>
  </si>
  <si>
    <t>+4</t>
  </si>
  <si>
    <t>+2</t>
  </si>
  <si>
    <t>-8</t>
  </si>
  <si>
    <t>-9</t>
  </si>
  <si>
    <t>Egert Kingissepp, Mare Kingissepp, Margo Peebo, Silver Kingissepp</t>
  </si>
  <si>
    <t>Egert Kingissepp, Mare Kingissepp, Marge Mägi, Silver Kingissepp</t>
  </si>
  <si>
    <t>Katri Aavekukk, Külli Kariste</t>
  </si>
  <si>
    <t>Maive Sein, Varje Reede</t>
  </si>
  <si>
    <t>Andero Kelu, Kristjan Raudsepp</t>
  </si>
  <si>
    <t>Kevin Sten Liik, Ott Karl Kopel</t>
  </si>
  <si>
    <t>Egert Kingissepp, Mare Kingissepp, Silver Kingissepp</t>
  </si>
  <si>
    <t>Margo Peebo, Marko Ode</t>
  </si>
  <si>
    <t>Alar Sinimäe, Ruudi Väärtnõu</t>
  </si>
  <si>
    <t>Hardo Sokk, Urmo Auväärt</t>
  </si>
  <si>
    <t>Kaido Kopel, Margus Berkmann</t>
  </si>
  <si>
    <t>Aarne Välja, Janek Tarto</t>
  </si>
  <si>
    <t>Kevin Kangur, Tiit Kattai</t>
  </si>
  <si>
    <t>Heigo Kullang, Vahur Raudsepp</t>
  </si>
  <si>
    <t>Andres Pebre, Andrus Treiman</t>
  </si>
  <si>
    <t>F4</t>
  </si>
  <si>
    <t>Kevin Sten Liik, Mare Kingissepp, Marge Mägi, Silver Kingis.</t>
  </si>
  <si>
    <t>Thibaut Sergeï Mathon, Urmo Auväärt</t>
  </si>
  <si>
    <t>Pertti Leppänen, Ville Liimatainen</t>
  </si>
  <si>
    <t>Ivar Viljaste, Kristo Viljaste</t>
  </si>
  <si>
    <t>Matti Vinni, Vello Vasser</t>
  </si>
  <si>
    <t>Eeva Liisa Perttula, Tuula Hallikainen</t>
  </si>
  <si>
    <t>Kadri Veljend, Mait Metsla</t>
  </si>
  <si>
    <t>Alex Lember, Katrin Lember</t>
  </si>
  <si>
    <t>Elmo Lageda, Tõnu Piik</t>
  </si>
  <si>
    <t>Kevin Sten Liik, Mare Kingissepp, Marge Mägi</t>
  </si>
  <si>
    <t>Sirje Viljaste, Tõnu Kapper</t>
  </si>
  <si>
    <t>Marita Salomäki, Tapio Salomäki</t>
  </si>
  <si>
    <t>Mihkel Filipenko, Silver Kingissepp</t>
  </si>
  <si>
    <t>Arvi Palla, Janek Kiisk</t>
  </si>
  <si>
    <t>Boriss Klubov, Sari Muko</t>
  </si>
  <si>
    <t>15 - 21 koht</t>
  </si>
  <si>
    <t>M1</t>
  </si>
  <si>
    <t>M2</t>
  </si>
  <si>
    <t>M3</t>
  </si>
  <si>
    <t>EST</t>
  </si>
  <si>
    <t>FIN</t>
  </si>
  <si>
    <t>V 55+</t>
  </si>
  <si>
    <t>Kaodo Kopel, Margus Berkmann, Veiko Proos</t>
  </si>
  <si>
    <t>Andero Kelu, Marko Ode, Urmo Auväärt</t>
  </si>
  <si>
    <t>Eve Oidsalu, Katri Aavekukk, Külli Kariste, Merike Aava</t>
  </si>
  <si>
    <t>Kevin Sten Liik, Markus Erik Tommula, Oskar Sepp</t>
  </si>
  <si>
    <t>Ivar Viljaste, Kalju Olmre, Matti Vinni</t>
  </si>
  <si>
    <t>Henri Palmqvist, Kai Aalto, Kari Harsia</t>
  </si>
  <si>
    <t>Mari Lohman, Ninna Hätönen, Tiia Salo</t>
  </si>
  <si>
    <t>Jimi Lohman, Martta Ylirönni, Teo Ekström</t>
  </si>
  <si>
    <t>Ismo Ristolainen, Risto Tuiskula, Ville Sappinen</t>
  </si>
  <si>
    <t>Arto Stenberg, Harri Lehtinen, Timo Salminen</t>
  </si>
  <si>
    <t>Antti Pasanen, Elmo Yli-Vainio, Niklas Palmqvist, Thanakorn Signthong</t>
  </si>
  <si>
    <t>6. voor</t>
  </si>
  <si>
    <t>Kaido Kopel, Margus Berkmann, Meelis Münt, Veiko Proos</t>
  </si>
  <si>
    <t>Andero Kelu, Hardo Sokk, Kalju Olmre, Thibaut Sergeï Mathon</t>
  </si>
  <si>
    <t>Gunnar Usin, Jaan Joonas, Marek Kolk, Toomas Hoole</t>
  </si>
  <si>
    <t>Marko Ode, Mihkel Filipenko, Silver Kingissepp, Urmo Auväärt</t>
  </si>
  <si>
    <t>Maive Sein, Maris Rõõm, Varje Reede</t>
  </si>
  <si>
    <t>1. etapp</t>
  </si>
  <si>
    <t>2. etapp</t>
  </si>
  <si>
    <t>6-2</t>
  </si>
  <si>
    <t>2-6</t>
  </si>
  <si>
    <t>4-4</t>
  </si>
  <si>
    <t>3-5</t>
  </si>
  <si>
    <t>Ivar Viljaste, Kalju Olmre, Matti Vinni, Sirje Viljaste</t>
  </si>
  <si>
    <t>Aivar Sein, Marina Vallik, Riina Ilves</t>
  </si>
  <si>
    <t>Aarne Välja, Andres Veski, Kalle Orro, Mait Metsla</t>
  </si>
  <si>
    <t>7-1</t>
  </si>
  <si>
    <t>8-0</t>
  </si>
  <si>
    <t>5-3</t>
  </si>
  <si>
    <t xml:space="preserve">Alar Sinimäe, Kristjan Raudsepp, Vahur Raudsepp
</t>
  </si>
  <si>
    <t>Finaali</t>
  </si>
  <si>
    <t>0-8</t>
  </si>
  <si>
    <t>Finaalis mängitakse 3 võiduni.</t>
  </si>
  <si>
    <t>Mai 2017</t>
  </si>
  <si>
    <t xml:space="preserve">   Rasvases trükis on Ida-Virumaa petankerid</t>
  </si>
  <si>
    <t>Trio (M,N,55+,J)</t>
  </si>
  <si>
    <t xml:space="preserve">Aivar Sein, Marina Vallik, Riina Ilves
</t>
  </si>
  <si>
    <t>MM-ile</t>
  </si>
  <si>
    <t>EM-ile</t>
  </si>
  <si>
    <t xml:space="preserve">b) juhul kui esimese ja teise võistkonna vahe on 3 (kolm) võitu </t>
  </si>
  <si>
    <r>
      <t xml:space="preserve">ning omavaheliste mängude seis esimese kasuks on 4-0 </t>
    </r>
    <r>
      <rPr>
        <sz val="10"/>
        <color rgb="FFFF0000"/>
        <rFont val="Arial"/>
        <family val="2"/>
        <charset val="186"/>
      </rPr>
      <t>(kehtib 4 võistkonna puhul)</t>
    </r>
    <r>
      <rPr>
        <sz val="10"/>
        <color theme="1"/>
        <rFont val="Arial"/>
        <family val="2"/>
        <charset val="186"/>
      </rPr>
      <t>.</t>
    </r>
  </si>
  <si>
    <t>MM-ile sõitja selgus juba esimeses ringis</t>
  </si>
  <si>
    <t>EM-ile sõitja selgus juba esimeses ringis</t>
  </si>
  <si>
    <t>Juhendist:</t>
  </si>
  <si>
    <t>Naistel oleks pidanud finaal toimuma</t>
  </si>
  <si>
    <t>KOHT</t>
  </si>
  <si>
    <t>Janek Tarto, Ljudmila Varendi, Viktor Svarõgin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</si>
</sst>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1]"/>
    <numFmt numFmtId="166" formatCode=";;;@"/>
  </numFmts>
  <fonts count="70" x14ac:knownFonts="1">
    <font>
      <sz val="10"/>
      <color theme="1"/>
      <name val="Arial"/>
      <family val="2"/>
      <charset val="186"/>
    </font>
    <font>
      <b/>
      <sz val="10"/>
      <name val="Arial"/>
      <family val="2"/>
      <charset val="186"/>
    </font>
    <font>
      <sz val="10"/>
      <name val="Arial"/>
      <family val="2"/>
      <charset val="186"/>
    </font>
    <font>
      <i/>
      <sz val="10"/>
      <name val="Arial"/>
      <family val="2"/>
      <charset val="186"/>
    </font>
    <font>
      <b/>
      <sz val="8"/>
      <color indexed="81"/>
      <name val="Tahoma"/>
      <family val="2"/>
      <charset val="186"/>
    </font>
    <font>
      <sz val="10"/>
      <name val="Arial"/>
      <family val="2"/>
      <charset val="204"/>
    </font>
    <font>
      <sz val="11"/>
      <color indexed="8"/>
      <name val="Calibri"/>
      <family val="2"/>
      <charset val="186"/>
    </font>
    <font>
      <sz val="8"/>
      <color indexed="8"/>
      <name val="Arial Narrow"/>
      <family val="2"/>
    </font>
    <font>
      <sz val="10"/>
      <color indexed="8"/>
      <name val="Times New Roman"/>
      <family val="1"/>
      <charset val="186"/>
    </font>
    <font>
      <sz val="10"/>
      <color theme="1"/>
      <name val="Arial"/>
      <family val="2"/>
      <charset val="186"/>
    </font>
    <font>
      <u/>
      <sz val="10"/>
      <color theme="10"/>
      <name val="Arial"/>
      <family val="2"/>
      <charset val="186"/>
    </font>
    <font>
      <u/>
      <sz val="11"/>
      <color theme="10"/>
      <name val="Calibri"/>
      <family val="2"/>
      <charset val="186"/>
      <scheme val="minor"/>
    </font>
    <font>
      <u/>
      <sz val="10"/>
      <color theme="10"/>
      <name val="Times New Roman"/>
      <family val="1"/>
      <charset val="186"/>
    </font>
    <font>
      <sz val="11"/>
      <color theme="1"/>
      <name val="Calibri"/>
      <family val="2"/>
      <charset val="186"/>
      <scheme val="minor"/>
    </font>
    <font>
      <sz val="10"/>
      <color rgb="FF000000"/>
      <name val="Arial"/>
      <family val="2"/>
      <charset val="186"/>
    </font>
    <font>
      <sz val="10"/>
      <color rgb="FF000000"/>
      <name val="Times New Roman"/>
      <family val="1"/>
      <charset val="186"/>
    </font>
    <font>
      <sz val="11"/>
      <color theme="1"/>
      <name val="Calibri"/>
      <family val="2"/>
      <scheme val="minor"/>
    </font>
    <font>
      <sz val="11"/>
      <color rgb="FF000000"/>
      <name val="Calibri"/>
      <family val="2"/>
      <scheme val="minor"/>
    </font>
    <font>
      <b/>
      <sz val="10"/>
      <color theme="1"/>
      <name val="Arial"/>
      <family val="2"/>
      <charset val="186"/>
    </font>
    <font>
      <sz val="10"/>
      <color rgb="FFFF0000"/>
      <name val="Arial"/>
      <family val="2"/>
      <charset val="186"/>
    </font>
    <font>
      <sz val="10"/>
      <color theme="0" tint="-0.34998626667073579"/>
      <name val="Arial"/>
      <family val="2"/>
      <charset val="186"/>
    </font>
    <font>
      <b/>
      <sz val="10"/>
      <name val="Calibri"/>
      <family val="2"/>
      <charset val="186"/>
      <scheme val="minor"/>
    </font>
    <font>
      <sz val="10"/>
      <color rgb="FFCC0000"/>
      <name val="Arial"/>
      <family val="2"/>
      <charset val="186"/>
    </font>
    <font>
      <sz val="10"/>
      <color rgb="FF0070C0"/>
      <name val="Arial"/>
      <family val="2"/>
      <charset val="186"/>
    </font>
    <font>
      <b/>
      <sz val="10"/>
      <color rgb="FFCC0000"/>
      <name val="Arial"/>
      <family val="2"/>
      <charset val="186"/>
    </font>
    <font>
      <u/>
      <sz val="10"/>
      <color theme="1"/>
      <name val="Arial"/>
      <family val="2"/>
      <charset val="186"/>
    </font>
    <font>
      <i/>
      <sz val="10"/>
      <color theme="1"/>
      <name val="Arial"/>
      <family val="2"/>
      <charset val="186"/>
    </font>
    <font>
      <b/>
      <sz val="10"/>
      <color rgb="FF00B0F0"/>
      <name val="Arial"/>
      <family val="2"/>
      <charset val="186"/>
    </font>
    <font>
      <sz val="10"/>
      <color rgb="FF00B0F0"/>
      <name val="Arial"/>
      <family val="2"/>
      <charset val="186"/>
    </font>
    <font>
      <sz val="10"/>
      <color theme="0" tint="-0.14999847407452621"/>
      <name val="Arial"/>
      <family val="2"/>
      <charset val="186"/>
    </font>
    <font>
      <b/>
      <u/>
      <sz val="10"/>
      <color theme="1"/>
      <name val="Arial"/>
      <family val="2"/>
      <charset val="186"/>
    </font>
    <font>
      <sz val="9"/>
      <color theme="0" tint="-0.34998626667073579"/>
      <name val="Arial"/>
      <family val="2"/>
      <charset val="186"/>
    </font>
    <font>
      <sz val="9"/>
      <color rgb="FF0070C0"/>
      <name val="Arial"/>
      <family val="2"/>
      <charset val="186"/>
    </font>
    <font>
      <sz val="10"/>
      <color rgb="FF0000FF"/>
      <name val="Arial"/>
      <family val="2"/>
      <charset val="186"/>
    </font>
    <font>
      <u/>
      <sz val="10"/>
      <color rgb="FF0000FF"/>
      <name val="Arial"/>
      <family val="2"/>
      <charset val="186"/>
    </font>
    <font>
      <b/>
      <sz val="10"/>
      <color rgb="FFCC0000"/>
      <name val="Calibri"/>
      <family val="2"/>
      <charset val="186"/>
      <scheme val="minor"/>
    </font>
    <font>
      <sz val="10"/>
      <color rgb="FF00B050"/>
      <name val="Arial"/>
      <family val="2"/>
      <charset val="186"/>
    </font>
    <font>
      <sz val="9"/>
      <color rgb="FFCC0000"/>
      <name val="Arial"/>
      <family val="2"/>
      <charset val="186"/>
    </font>
    <font>
      <b/>
      <sz val="9"/>
      <color rgb="FFCC0000"/>
      <name val="Arial"/>
      <family val="2"/>
      <charset val="186"/>
    </font>
    <font>
      <b/>
      <sz val="10"/>
      <color rgb="FF33CC33"/>
      <name val="Arial"/>
      <family val="2"/>
      <charset val="186"/>
    </font>
    <font>
      <b/>
      <sz val="10"/>
      <color rgb="FF33CC33"/>
      <name val="Calibri"/>
      <family val="2"/>
      <charset val="186"/>
      <scheme val="minor"/>
    </font>
    <font>
      <b/>
      <sz val="9"/>
      <color rgb="FF33CC33"/>
      <name val="Arial"/>
      <family val="2"/>
      <charset val="186"/>
    </font>
    <font>
      <sz val="10"/>
      <color rgb="FF33CC33"/>
      <name val="Arial"/>
      <family val="2"/>
      <charset val="186"/>
    </font>
    <font>
      <sz val="9"/>
      <color rgb="FF33CC33"/>
      <name val="Arial"/>
      <family val="2"/>
      <charset val="186"/>
    </font>
    <font>
      <b/>
      <sz val="10"/>
      <color rgb="FF0070C0"/>
      <name val="Arial"/>
      <family val="2"/>
      <charset val="186"/>
    </font>
    <font>
      <i/>
      <sz val="10"/>
      <color theme="8" tint="0.39997558519241921"/>
      <name val="Arial"/>
      <family val="2"/>
      <charset val="186"/>
    </font>
    <font>
      <i/>
      <u/>
      <sz val="10"/>
      <color theme="8" tint="0.39997558519241921"/>
      <name val="Arial"/>
      <family val="2"/>
      <charset val="186"/>
    </font>
    <font>
      <i/>
      <u/>
      <sz val="10"/>
      <color theme="10"/>
      <name val="Arial"/>
      <family val="2"/>
      <charset val="186"/>
    </font>
    <font>
      <i/>
      <sz val="10"/>
      <color rgb="FFCC0000"/>
      <name val="Arial"/>
      <family val="2"/>
      <charset val="186"/>
    </font>
    <font>
      <sz val="8"/>
      <color theme="1"/>
      <name val="Arial"/>
      <family val="2"/>
      <charset val="186"/>
    </font>
    <font>
      <u/>
      <sz val="8"/>
      <color theme="10"/>
      <name val="Arial"/>
      <family val="2"/>
      <charset val="186"/>
    </font>
    <font>
      <b/>
      <sz val="10"/>
      <color rgb="FF00B0F0"/>
      <name val="Calibri"/>
      <family val="2"/>
      <charset val="186"/>
      <scheme val="minor"/>
    </font>
    <font>
      <strike/>
      <sz val="10"/>
      <color rgb="FF00B0F0"/>
      <name val="Arial"/>
      <family val="2"/>
      <charset val="186"/>
    </font>
    <font>
      <b/>
      <sz val="10"/>
      <color rgb="FF00B050"/>
      <name val="Arial"/>
      <family val="2"/>
      <charset val="186"/>
    </font>
    <font>
      <b/>
      <sz val="9"/>
      <color theme="1"/>
      <name val="Arial"/>
      <family val="2"/>
      <charset val="186"/>
    </font>
    <font>
      <sz val="8"/>
      <color indexed="81"/>
      <name val="Tahoma"/>
      <family val="2"/>
      <charset val="186"/>
    </font>
    <font>
      <b/>
      <sz val="10"/>
      <color theme="1"/>
      <name val="Calibri"/>
      <family val="2"/>
      <charset val="186"/>
      <scheme val="minor"/>
    </font>
    <font>
      <u/>
      <sz val="8"/>
      <color theme="1"/>
      <name val="Arial"/>
      <family val="2"/>
      <charset val="186"/>
    </font>
    <font>
      <sz val="8"/>
      <color rgb="FF0070C0"/>
      <name val="Arial"/>
      <family val="2"/>
      <charset val="186"/>
    </font>
    <font>
      <b/>
      <sz val="10"/>
      <color rgb="FFFF0000"/>
      <name val="Arial"/>
      <family val="2"/>
      <charset val="186"/>
    </font>
    <font>
      <b/>
      <sz val="8"/>
      <color indexed="10"/>
      <name val="Tahoma"/>
      <family val="2"/>
      <charset val="186"/>
    </font>
    <font>
      <b/>
      <u/>
      <sz val="10"/>
      <color rgb="FF0000FF"/>
      <name val="Arial"/>
      <family val="2"/>
      <charset val="186"/>
    </font>
    <font>
      <b/>
      <sz val="10"/>
      <color rgb="FF0000FF"/>
      <name val="Arial"/>
      <family val="2"/>
      <charset val="186"/>
    </font>
    <font>
      <b/>
      <u/>
      <sz val="10"/>
      <color theme="10"/>
      <name val="Arial"/>
      <family val="2"/>
      <charset val="186"/>
    </font>
    <font>
      <strike/>
      <sz val="10"/>
      <color theme="1"/>
      <name val="Arial"/>
      <family val="2"/>
      <charset val="186"/>
    </font>
    <font>
      <sz val="9"/>
      <color theme="1"/>
      <name val="Arial"/>
      <family val="2"/>
      <charset val="186"/>
    </font>
    <font>
      <b/>
      <sz val="9"/>
      <color theme="0" tint="-0.34998626667073579"/>
      <name val="Arial"/>
      <family val="2"/>
      <charset val="186"/>
    </font>
    <font>
      <sz val="8"/>
      <name val="Arial"/>
      <family val="2"/>
      <charset val="186"/>
    </font>
    <font>
      <b/>
      <i/>
      <sz val="8"/>
      <color indexed="81"/>
      <name val="Tahoma"/>
      <family val="2"/>
      <charset val="186"/>
    </font>
    <font>
      <b/>
      <sz val="10"/>
      <color indexed="8"/>
      <name val="Arial"/>
      <family val="2"/>
      <charset val="186"/>
    </font>
  </fonts>
  <fills count="30">
    <fill>
      <patternFill patternType="none"/>
    </fill>
    <fill>
      <patternFill patternType="gray125"/>
    </fill>
    <fill>
      <patternFill patternType="solid">
        <fgColor indexed="65"/>
        <bgColor indexed="64"/>
      </patternFill>
    </fill>
    <fill>
      <patternFill patternType="solid">
        <fgColor rgb="FFD9D9D9"/>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00"/>
        <bgColor indexed="64"/>
      </patternFill>
    </fill>
    <fill>
      <patternFill patternType="solid">
        <fgColor rgb="FFFFFF00"/>
        <bgColor indexed="8"/>
      </patternFill>
    </fill>
    <fill>
      <patternFill patternType="solid">
        <fgColor rgb="FFCCFFCC"/>
        <bgColor indexed="64"/>
      </patternFill>
    </fill>
    <fill>
      <patternFill patternType="solid">
        <fgColor rgb="FFCCECFF"/>
        <bgColor indexed="64"/>
      </patternFill>
    </fill>
    <fill>
      <patternFill patternType="solid">
        <fgColor rgb="FFFFFFFF"/>
      </patternFill>
    </fill>
    <fill>
      <patternFill patternType="solid">
        <fgColor rgb="FFFFC0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99FF99"/>
        <bgColor indexed="64"/>
      </patternFill>
    </fill>
    <fill>
      <patternFill patternType="solid">
        <fgColor theme="0" tint="-0.249977111117893"/>
        <bgColor indexed="64"/>
      </patternFill>
    </fill>
    <fill>
      <patternFill patternType="solid">
        <fgColor rgb="FFFFCCCC"/>
        <bgColor indexed="64"/>
      </patternFill>
    </fill>
    <fill>
      <patternFill patternType="solid">
        <fgColor rgb="FFFF9999"/>
        <bgColor indexed="64"/>
      </patternFill>
    </fill>
    <fill>
      <patternFill patternType="solid">
        <fgColor rgb="FFEAEAEA"/>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66FF66"/>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1499679555650502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theme="0" tint="-0.14996795556505021"/>
      </left>
      <right style="thin">
        <color indexed="64"/>
      </right>
      <top style="thin">
        <color indexed="64"/>
      </top>
      <bottom style="thin">
        <color theme="0" tint="-0.14993743705557422"/>
      </bottom>
      <diagonal/>
    </border>
    <border>
      <left style="thin">
        <color theme="0" tint="-0.14996795556505021"/>
      </left>
      <right style="thin">
        <color indexed="64"/>
      </right>
      <top style="thin">
        <color theme="0" tint="-0.14993743705557422"/>
      </top>
      <bottom style="thin">
        <color theme="0" tint="-0.14993743705557422"/>
      </bottom>
      <diagonal/>
    </border>
    <border>
      <left style="thin">
        <color theme="0" tint="-0.14996795556505021"/>
      </left>
      <right style="thin">
        <color theme="0" tint="-0.14996795556505021"/>
      </right>
      <top style="thin">
        <color indexed="64"/>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8"/>
      </left>
      <right style="thin">
        <color indexed="8"/>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3">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xf numFmtId="0" fontId="14" fillId="0" borderId="0"/>
    <xf numFmtId="0" fontId="5" fillId="0" borderId="0"/>
    <xf numFmtId="0" fontId="5" fillId="0" borderId="0"/>
    <xf numFmtId="0" fontId="15" fillId="0" borderId="0"/>
    <xf numFmtId="0" fontId="5" fillId="0" borderId="0"/>
    <xf numFmtId="0" fontId="8" fillId="0" borderId="0"/>
    <xf numFmtId="0" fontId="16" fillId="0" borderId="0"/>
    <xf numFmtId="0" fontId="2" fillId="0" borderId="0"/>
    <xf numFmtId="0" fontId="15" fillId="0" borderId="0"/>
    <xf numFmtId="0" fontId="13" fillId="0" borderId="0"/>
    <xf numFmtId="0" fontId="17" fillId="0" borderId="0"/>
    <xf numFmtId="0" fontId="6" fillId="0" borderId="0"/>
    <xf numFmtId="0" fontId="2" fillId="0" borderId="0"/>
    <xf numFmtId="0" fontId="13" fillId="0" borderId="0"/>
    <xf numFmtId="0" fontId="9" fillId="0" borderId="0"/>
    <xf numFmtId="49" fontId="7" fillId="3" borderId="0" applyBorder="0" applyProtection="0">
      <alignment horizontal="left" vertical="top" wrapText="1"/>
    </xf>
  </cellStyleXfs>
  <cellXfs count="1035">
    <xf numFmtId="0" fontId="0" fillId="0" borderId="0" xfId="0"/>
    <xf numFmtId="0" fontId="1" fillId="0" borderId="0" xfId="13" applyFont="1" applyFill="1" applyBorder="1" applyAlignment="1"/>
    <xf numFmtId="0" fontId="2" fillId="0" borderId="0" xfId="13" applyFont="1" applyFill="1" applyBorder="1" applyAlignment="1"/>
    <xf numFmtId="0" fontId="2" fillId="0" borderId="0" xfId="13" applyFont="1" applyBorder="1" applyAlignment="1">
      <alignment horizontal="center"/>
    </xf>
    <xf numFmtId="0" fontId="2" fillId="0" borderId="0" xfId="13" applyFont="1" applyBorder="1" applyAlignment="1"/>
    <xf numFmtId="0" fontId="2" fillId="0" borderId="0" xfId="17" applyFont="1" applyFill="1" applyBorder="1" applyAlignment="1"/>
    <xf numFmtId="0" fontId="2" fillId="0" borderId="0" xfId="7" applyFont="1" applyFill="1" applyBorder="1" applyAlignment="1"/>
    <xf numFmtId="0" fontId="1" fillId="4" borderId="0" xfId="7" applyFont="1" applyFill="1" applyBorder="1" applyAlignment="1"/>
    <xf numFmtId="0" fontId="3" fillId="0" borderId="0" xfId="13" applyFont="1" applyFill="1" applyBorder="1" applyAlignment="1"/>
    <xf numFmtId="0" fontId="1" fillId="0" borderId="0" xfId="13" applyFont="1" applyFill="1" applyBorder="1" applyAlignment="1">
      <alignment horizontal="center"/>
    </xf>
    <xf numFmtId="0" fontId="2" fillId="0" borderId="0" xfId="13" applyFont="1" applyFill="1" applyBorder="1" applyAlignment="1">
      <alignment horizontal="center"/>
    </xf>
    <xf numFmtId="0" fontId="2" fillId="5" borderId="0" xfId="7" applyFont="1" applyFill="1" applyBorder="1" applyAlignment="1"/>
    <xf numFmtId="0" fontId="2" fillId="6" borderId="0" xfId="7" applyFont="1" applyFill="1" applyBorder="1" applyAlignment="1"/>
    <xf numFmtId="0" fontId="2" fillId="0" borderId="1" xfId="13" applyFont="1" applyFill="1" applyBorder="1" applyAlignment="1">
      <alignment horizontal="center"/>
    </xf>
    <xf numFmtId="0" fontId="2" fillId="0" borderId="2" xfId="7" applyFont="1" applyFill="1" applyBorder="1" applyAlignment="1"/>
    <xf numFmtId="0" fontId="2" fillId="0" borderId="3" xfId="7" applyFont="1" applyFill="1" applyBorder="1" applyAlignment="1"/>
    <xf numFmtId="0" fontId="2" fillId="0" borderId="4" xfId="7" applyFont="1" applyFill="1" applyBorder="1" applyAlignment="1"/>
    <xf numFmtId="0" fontId="2" fillId="7" borderId="5" xfId="13" applyFont="1" applyFill="1" applyBorder="1" applyAlignment="1"/>
    <xf numFmtId="0" fontId="2" fillId="0" borderId="6" xfId="7" applyFont="1" applyFill="1" applyBorder="1" applyAlignment="1"/>
    <xf numFmtId="0" fontId="2" fillId="7" borderId="6" xfId="13" applyFont="1" applyFill="1" applyBorder="1" applyAlignment="1"/>
    <xf numFmtId="0" fontId="20" fillId="0" borderId="1" xfId="13" applyFont="1" applyFill="1" applyBorder="1" applyAlignment="1"/>
    <xf numFmtId="0" fontId="2" fillId="0" borderId="6" xfId="13" applyFont="1" applyFill="1" applyBorder="1" applyAlignment="1"/>
    <xf numFmtId="0" fontId="2" fillId="0" borderId="5" xfId="7" applyFont="1" applyFill="1" applyBorder="1" applyAlignment="1"/>
    <xf numFmtId="0" fontId="21" fillId="0" borderId="1" xfId="13" applyFont="1" applyFill="1" applyBorder="1" applyAlignment="1">
      <alignment horizontal="center"/>
    </xf>
    <xf numFmtId="0" fontId="21" fillId="7" borderId="1" xfId="13" applyFont="1" applyFill="1" applyBorder="1" applyAlignment="1">
      <alignment horizontal="center"/>
    </xf>
    <xf numFmtId="0" fontId="0" fillId="0" borderId="1" xfId="0" applyBorder="1"/>
    <xf numFmtId="0" fontId="2" fillId="0" borderId="7" xfId="7" applyFont="1" applyFill="1" applyBorder="1" applyAlignment="1"/>
    <xf numFmtId="0" fontId="2" fillId="0" borderId="7" xfId="13" applyFont="1" applyFill="1" applyBorder="1" applyAlignment="1"/>
    <xf numFmtId="0" fontId="2" fillId="7" borderId="7" xfId="13" applyFont="1" applyFill="1" applyBorder="1" applyAlignment="1"/>
    <xf numFmtId="164" fontId="2" fillId="0" borderId="24" xfId="7" applyNumberFormat="1" applyFont="1" applyFill="1" applyBorder="1" applyAlignment="1">
      <alignment horizontal="center"/>
    </xf>
    <xf numFmtId="164" fontId="2" fillId="0" borderId="25" xfId="7" applyNumberFormat="1" applyFont="1" applyFill="1" applyBorder="1" applyAlignment="1">
      <alignment horizontal="center"/>
    </xf>
    <xf numFmtId="164" fontId="22" fillId="0" borderId="26" xfId="13" applyNumberFormat="1" applyFont="1" applyFill="1" applyBorder="1" applyAlignment="1">
      <alignment horizontal="center"/>
    </xf>
    <xf numFmtId="0" fontId="1" fillId="5" borderId="8" xfId="13" applyFont="1" applyFill="1" applyBorder="1" applyAlignment="1">
      <alignment horizontal="center"/>
    </xf>
    <xf numFmtId="0" fontId="2" fillId="5" borderId="8" xfId="13" applyFont="1" applyFill="1" applyBorder="1" applyAlignment="1"/>
    <xf numFmtId="0" fontId="23" fillId="5" borderId="8" xfId="13" applyFont="1" applyFill="1" applyBorder="1" applyAlignment="1">
      <alignment horizontal="center"/>
    </xf>
    <xf numFmtId="164" fontId="1" fillId="5" borderId="8" xfId="13" applyNumberFormat="1" applyFont="1" applyFill="1" applyBorder="1" applyAlignment="1">
      <alignment horizontal="center"/>
    </xf>
    <xf numFmtId="164" fontId="24" fillId="5" borderId="8" xfId="13" applyNumberFormat="1" applyFont="1" applyFill="1" applyBorder="1" applyAlignment="1">
      <alignment horizontal="center"/>
    </xf>
    <xf numFmtId="0" fontId="2" fillId="5" borderId="0" xfId="13" applyFont="1" applyFill="1" applyBorder="1" applyAlignment="1"/>
    <xf numFmtId="0" fontId="2" fillId="5" borderId="0" xfId="7" applyFont="1" applyFill="1" applyBorder="1" applyAlignment="1">
      <alignment horizontal="center"/>
    </xf>
    <xf numFmtId="0" fontId="10" fillId="0" borderId="1" xfId="1" applyBorder="1" applyAlignment="1"/>
    <xf numFmtId="0" fontId="10" fillId="7" borderId="1" xfId="1" applyFill="1" applyBorder="1" applyAlignment="1"/>
    <xf numFmtId="0" fontId="18" fillId="0" borderId="0" xfId="0" applyFont="1"/>
    <xf numFmtId="0" fontId="18" fillId="0" borderId="0" xfId="0" applyFont="1" applyAlignment="1">
      <alignment wrapText="1"/>
    </xf>
    <xf numFmtId="0" fontId="18" fillId="0" borderId="1" xfId="0" applyFont="1" applyFill="1" applyBorder="1" applyAlignment="1"/>
    <xf numFmtId="0" fontId="26" fillId="0" borderId="1" xfId="13" applyFont="1" applyFill="1" applyBorder="1" applyAlignment="1"/>
    <xf numFmtId="0" fontId="27" fillId="0" borderId="1" xfId="13" applyFont="1" applyFill="1" applyBorder="1" applyAlignment="1">
      <alignment horizontal="center"/>
    </xf>
    <xf numFmtId="0" fontId="24" fillId="0" borderId="1" xfId="13" applyFont="1" applyFill="1" applyBorder="1" applyAlignment="1">
      <alignment horizontal="center"/>
    </xf>
    <xf numFmtId="0" fontId="28" fillId="0" borderId="1" xfId="13" applyFont="1" applyFill="1" applyBorder="1" applyAlignment="1">
      <alignment horizontal="center"/>
    </xf>
    <xf numFmtId="0" fontId="28" fillId="0" borderId="1" xfId="13" applyNumberFormat="1" applyFont="1" applyFill="1" applyBorder="1" applyAlignment="1">
      <alignment horizontal="center"/>
    </xf>
    <xf numFmtId="0" fontId="22" fillId="0" borderId="1" xfId="13" applyNumberFormat="1" applyFont="1" applyFill="1" applyBorder="1" applyAlignment="1">
      <alignment horizontal="center"/>
    </xf>
    <xf numFmtId="0" fontId="22" fillId="0" borderId="1" xfId="0" applyFont="1" applyBorder="1"/>
    <xf numFmtId="0" fontId="22" fillId="0" borderId="1" xfId="13" applyFont="1" applyFill="1" applyBorder="1" applyAlignment="1"/>
    <xf numFmtId="0" fontId="22" fillId="9" borderId="1" xfId="13" applyFont="1" applyFill="1" applyBorder="1" applyAlignment="1"/>
    <xf numFmtId="0" fontId="18" fillId="0" borderId="1" xfId="13" applyFont="1" applyFill="1" applyBorder="1" applyAlignment="1"/>
    <xf numFmtId="0" fontId="24" fillId="0" borderId="1" xfId="13" applyFont="1" applyFill="1" applyBorder="1" applyAlignment="1"/>
    <xf numFmtId="0" fontId="22" fillId="0" borderId="1" xfId="0" applyFont="1" applyFill="1" applyBorder="1" applyAlignment="1"/>
    <xf numFmtId="0" fontId="18" fillId="9" borderId="1" xfId="13" applyFont="1" applyFill="1" applyBorder="1" applyAlignment="1"/>
    <xf numFmtId="1" fontId="9" fillId="5" borderId="0" xfId="7" applyNumberFormat="1" applyFont="1" applyFill="1" applyBorder="1" applyAlignment="1">
      <alignment horizontal="center"/>
    </xf>
    <xf numFmtId="164" fontId="9" fillId="5" borderId="8" xfId="7" applyNumberFormat="1" applyFont="1" applyFill="1" applyBorder="1" applyAlignment="1">
      <alignment horizontal="center"/>
    </xf>
    <xf numFmtId="0" fontId="18" fillId="0" borderId="1" xfId="16" applyFont="1" applyBorder="1"/>
    <xf numFmtId="0" fontId="18" fillId="0" borderId="1" xfId="8" applyFont="1" applyBorder="1" applyAlignment="1"/>
    <xf numFmtId="0" fontId="18" fillId="4" borderId="1" xfId="8" applyFont="1" applyFill="1" applyBorder="1" applyAlignment="1"/>
    <xf numFmtId="0" fontId="9" fillId="0" borderId="1" xfId="8" applyFont="1" applyBorder="1" applyAlignment="1"/>
    <xf numFmtId="0" fontId="18" fillId="0" borderId="0" xfId="16" applyFont="1"/>
    <xf numFmtId="0" fontId="18" fillId="0" borderId="0" xfId="11" applyFont="1" applyAlignment="1"/>
    <xf numFmtId="0" fontId="9" fillId="0" borderId="0" xfId="11" applyFont="1" applyBorder="1" applyAlignment="1"/>
    <xf numFmtId="0" fontId="18" fillId="0" borderId="1" xfId="11" applyFont="1" applyBorder="1" applyAlignment="1"/>
    <xf numFmtId="0" fontId="18" fillId="4" borderId="1" xfId="11" applyFont="1" applyFill="1" applyBorder="1" applyAlignment="1"/>
    <xf numFmtId="0" fontId="9" fillId="5" borderId="1" xfId="11" applyFont="1" applyFill="1" applyBorder="1" applyAlignment="1"/>
    <xf numFmtId="0" fontId="9" fillId="0" borderId="1" xfId="6" applyFont="1" applyBorder="1"/>
    <xf numFmtId="0" fontId="1" fillId="5" borderId="1" xfId="13" applyFont="1" applyFill="1" applyBorder="1" applyAlignment="1">
      <alignment horizontal="center"/>
    </xf>
    <xf numFmtId="0" fontId="31" fillId="0" borderId="1" xfId="13"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vertical="center" wrapText="1"/>
    </xf>
    <xf numFmtId="0" fontId="25" fillId="0" borderId="0" xfId="0" applyFont="1"/>
    <xf numFmtId="0" fontId="2" fillId="0" borderId="3" xfId="13" applyFont="1" applyBorder="1" applyAlignment="1"/>
    <xf numFmtId="0" fontId="2" fillId="7" borderId="3" xfId="13" applyFont="1" applyFill="1" applyBorder="1" applyAlignment="1">
      <alignment horizontal="right"/>
    </xf>
    <xf numFmtId="0" fontId="2" fillId="0" borderId="3" xfId="13" applyFont="1" applyFill="1" applyBorder="1" applyAlignment="1"/>
    <xf numFmtId="0" fontId="2" fillId="0" borderId="3" xfId="13" applyFont="1" applyFill="1" applyBorder="1" applyAlignment="1">
      <alignment horizontal="right"/>
    </xf>
    <xf numFmtId="0" fontId="22" fillId="0" borderId="3" xfId="13" applyFont="1" applyBorder="1" applyAlignment="1">
      <alignment horizontal="right"/>
    </xf>
    <xf numFmtId="0" fontId="1" fillId="0" borderId="9" xfId="13" applyFont="1" applyBorder="1" applyAlignment="1"/>
    <xf numFmtId="0" fontId="9" fillId="9" borderId="1" xfId="13" applyFont="1" applyFill="1" applyBorder="1" applyAlignment="1"/>
    <xf numFmtId="0" fontId="24" fillId="0" borderId="0" xfId="0" applyFont="1"/>
    <xf numFmtId="0" fontId="18" fillId="9" borderId="0" xfId="0" applyFont="1" applyFill="1"/>
    <xf numFmtId="0" fontId="24" fillId="4" borderId="1" xfId="8" applyFont="1" applyFill="1" applyBorder="1" applyAlignment="1"/>
    <xf numFmtId="0" fontId="10" fillId="0" borderId="0" xfId="1"/>
    <xf numFmtId="0" fontId="31" fillId="0" borderId="1" xfId="13" applyFont="1" applyFill="1" applyBorder="1" applyAlignment="1"/>
    <xf numFmtId="0" fontId="27" fillId="5" borderId="8" xfId="13" applyFont="1" applyFill="1" applyBorder="1" applyAlignment="1">
      <alignment horizontal="center"/>
    </xf>
    <xf numFmtId="0" fontId="24" fillId="5" borderId="8" xfId="13" applyFont="1" applyFill="1" applyBorder="1" applyAlignment="1">
      <alignment horizontal="center"/>
    </xf>
    <xf numFmtId="0" fontId="9" fillId="0" borderId="0" xfId="16" applyFont="1" applyBorder="1"/>
    <xf numFmtId="0" fontId="9" fillId="0" borderId="0" xfId="16" applyFont="1"/>
    <xf numFmtId="0" fontId="9" fillId="5" borderId="1" xfId="8" applyFont="1" applyFill="1" applyBorder="1" applyAlignment="1"/>
    <xf numFmtId="0" fontId="9" fillId="6" borderId="1" xfId="8" applyFont="1" applyFill="1" applyBorder="1" applyAlignment="1"/>
    <xf numFmtId="0" fontId="0" fillId="0" borderId="0" xfId="0" applyFont="1"/>
    <xf numFmtId="0" fontId="9" fillId="0" borderId="1" xfId="16" applyFont="1" applyBorder="1"/>
    <xf numFmtId="0" fontId="9" fillId="0" borderId="0" xfId="6" applyFont="1"/>
    <xf numFmtId="0" fontId="9" fillId="0" borderId="1" xfId="8" applyFont="1" applyFill="1" applyBorder="1" applyAlignment="1"/>
    <xf numFmtId="0" fontId="0" fillId="0" borderId="0" xfId="0" applyFont="1"/>
    <xf numFmtId="0" fontId="0" fillId="0" borderId="1" xfId="0" applyFont="1" applyBorder="1"/>
    <xf numFmtId="0" fontId="0" fillId="0" borderId="0" xfId="0" applyFont="1" applyFill="1"/>
    <xf numFmtId="0" fontId="0" fillId="0" borderId="0" xfId="0" applyFont="1" applyAlignment="1">
      <alignment wrapText="1"/>
    </xf>
    <xf numFmtId="0" fontId="2" fillId="7" borderId="0" xfId="13" applyFont="1" applyFill="1" applyBorder="1" applyAlignment="1"/>
    <xf numFmtId="0" fontId="18" fillId="0" borderId="0" xfId="6" applyNumberFormat="1" applyFont="1" applyAlignment="1"/>
    <xf numFmtId="0" fontId="9" fillId="0" borderId="0" xfId="6" applyNumberFormat="1" applyFont="1" applyAlignment="1"/>
    <xf numFmtId="0" fontId="18" fillId="5" borderId="1" xfId="6" applyNumberFormat="1" applyFont="1" applyFill="1" applyBorder="1" applyAlignment="1"/>
    <xf numFmtId="0" fontId="9" fillId="0" borderId="0" xfId="6" applyNumberFormat="1" applyFont="1" applyAlignment="1">
      <alignment horizontal="center"/>
    </xf>
    <xf numFmtId="0" fontId="9" fillId="0" borderId="0" xfId="6" applyNumberFormat="1" applyFont="1" applyFill="1" applyAlignment="1"/>
    <xf numFmtId="164" fontId="9" fillId="0" borderId="0" xfId="6" applyNumberFormat="1" applyFont="1" applyAlignment="1">
      <alignment horizontal="center"/>
    </xf>
    <xf numFmtId="0" fontId="9" fillId="0" borderId="0" xfId="6" applyNumberFormat="1" applyFont="1" applyBorder="1" applyAlignment="1"/>
    <xf numFmtId="0" fontId="34" fillId="0" borderId="0" xfId="2" applyNumberFormat="1" applyFont="1" applyBorder="1" applyAlignment="1"/>
    <xf numFmtId="165" fontId="9" fillId="0" borderId="0" xfId="6" applyNumberFormat="1" applyFont="1" applyBorder="1" applyAlignment="1">
      <alignment horizontal="center"/>
    </xf>
    <xf numFmtId="0" fontId="9" fillId="0" borderId="0" xfId="6" applyNumberFormat="1" applyFont="1" applyFill="1" applyAlignment="1">
      <alignment horizontal="left"/>
    </xf>
    <xf numFmtId="0" fontId="19" fillId="0" borderId="0" xfId="6" applyNumberFormat="1" applyFont="1" applyAlignment="1"/>
    <xf numFmtId="0" fontId="9" fillId="0" borderId="0" xfId="6" applyFont="1" applyFill="1" applyAlignment="1"/>
    <xf numFmtId="0" fontId="9" fillId="6" borderId="1" xfId="11" applyFont="1" applyFill="1" applyBorder="1" applyAlignment="1"/>
    <xf numFmtId="0" fontId="9" fillId="5" borderId="1" xfId="8" applyFont="1" applyFill="1" applyBorder="1" applyAlignment="1"/>
    <xf numFmtId="0" fontId="9" fillId="0" borderId="0" xfId="6" applyFont="1" applyAlignment="1"/>
    <xf numFmtId="0" fontId="18" fillId="0" borderId="0" xfId="6" applyFont="1" applyAlignment="1"/>
    <xf numFmtId="0" fontId="9" fillId="0" borderId="1" xfId="11" applyFont="1" applyBorder="1" applyAlignment="1"/>
    <xf numFmtId="0" fontId="9" fillId="0" borderId="1" xfId="11" applyFont="1" applyFill="1" applyBorder="1" applyAlignment="1"/>
    <xf numFmtId="0" fontId="9" fillId="0" borderId="0" xfId="11" applyFont="1" applyAlignment="1"/>
    <xf numFmtId="0" fontId="9" fillId="0" borderId="0" xfId="6" applyFont="1"/>
    <xf numFmtId="0" fontId="9" fillId="0" borderId="1" xfId="6" applyFont="1" applyBorder="1"/>
    <xf numFmtId="0" fontId="9" fillId="0" borderId="1" xfId="11" applyFont="1" applyFill="1" applyBorder="1"/>
    <xf numFmtId="0" fontId="9" fillId="0" borderId="1" xfId="11" applyFont="1" applyBorder="1" applyAlignment="1"/>
    <xf numFmtId="0" fontId="9" fillId="0" borderId="1" xfId="11" applyFont="1" applyFill="1" applyBorder="1" applyAlignment="1"/>
    <xf numFmtId="0" fontId="9" fillId="0" borderId="0" xfId="11" applyFont="1" applyAlignment="1"/>
    <xf numFmtId="0" fontId="9" fillId="5" borderId="1" xfId="11" applyFont="1" applyFill="1" applyBorder="1" applyAlignment="1"/>
    <xf numFmtId="0" fontId="9" fillId="6" borderId="1" xfId="11" applyFont="1" applyFill="1" applyBorder="1" applyAlignment="1"/>
    <xf numFmtId="0" fontId="24" fillId="4" borderId="1" xfId="11" applyFont="1" applyFill="1" applyBorder="1" applyAlignment="1"/>
    <xf numFmtId="0" fontId="18" fillId="0" borderId="0" xfId="0" applyFont="1" applyFill="1"/>
    <xf numFmtId="0" fontId="0" fillId="0" borderId="1" xfId="0" applyFill="1" applyBorder="1"/>
    <xf numFmtId="164" fontId="31" fillId="0" borderId="1" xfId="13" applyNumberFormat="1" applyFont="1" applyFill="1" applyBorder="1" applyAlignment="1">
      <alignment horizontal="center"/>
    </xf>
    <xf numFmtId="0" fontId="35" fillId="8" borderId="1" xfId="13" applyFont="1" applyFill="1" applyBorder="1" applyAlignment="1">
      <alignment horizontal="center"/>
    </xf>
    <xf numFmtId="0" fontId="9" fillId="11" borderId="0" xfId="10" applyFont="1" applyFill="1" applyBorder="1" applyAlignment="1">
      <alignment horizontal="right"/>
    </xf>
    <xf numFmtId="0" fontId="9" fillId="0" borderId="0" xfId="16" applyFont="1"/>
    <xf numFmtId="0" fontId="9" fillId="0" borderId="1" xfId="11" applyFont="1" applyFill="1" applyBorder="1" applyAlignment="1"/>
    <xf numFmtId="0" fontId="9" fillId="0" borderId="1" xfId="13" applyFont="1" applyFill="1" applyBorder="1" applyAlignment="1">
      <alignment horizontal="center"/>
    </xf>
    <xf numFmtId="1" fontId="22" fillId="0" borderId="1" xfId="13" applyNumberFormat="1" applyFont="1" applyFill="1" applyBorder="1" applyAlignment="1">
      <alignment horizontal="right"/>
    </xf>
    <xf numFmtId="1" fontId="28" fillId="0" borderId="1" xfId="13" applyNumberFormat="1" applyFont="1" applyFill="1" applyBorder="1" applyAlignment="1">
      <alignment horizontal="right"/>
    </xf>
    <xf numFmtId="0" fontId="38" fillId="0" borderId="1" xfId="13" applyFont="1" applyFill="1" applyBorder="1" applyAlignment="1"/>
    <xf numFmtId="0" fontId="31" fillId="0" borderId="1" xfId="13" applyNumberFormat="1" applyFont="1" applyFill="1" applyBorder="1" applyAlignment="1">
      <alignment horizontal="center"/>
    </xf>
    <xf numFmtId="0" fontId="9" fillId="0" borderId="0" xfId="14" applyFont="1"/>
    <xf numFmtId="0" fontId="18" fillId="0" borderId="0" xfId="9" applyFont="1" applyAlignment="1">
      <alignment vertical="center"/>
    </xf>
    <xf numFmtId="0" fontId="9" fillId="0" borderId="13" xfId="9" applyFont="1" applyBorder="1" applyAlignment="1">
      <alignment horizontal="center"/>
    </xf>
    <xf numFmtId="0" fontId="9" fillId="0" borderId="1" xfId="9" applyFont="1" applyBorder="1" applyAlignment="1">
      <alignment horizontal="center"/>
    </xf>
    <xf numFmtId="0" fontId="9" fillId="0" borderId="9" xfId="9" applyFont="1" applyBorder="1" applyAlignment="1">
      <alignment horizontal="center"/>
    </xf>
    <xf numFmtId="0" fontId="9" fillId="0" borderId="14" xfId="9" applyFont="1" applyFill="1" applyBorder="1" applyAlignment="1">
      <alignment horizontal="center"/>
    </xf>
    <xf numFmtId="0" fontId="9" fillId="0" borderId="27" xfId="14" applyFont="1" applyBorder="1"/>
    <xf numFmtId="0" fontId="9" fillId="0" borderId="28" xfId="14" applyFont="1" applyBorder="1"/>
    <xf numFmtId="0" fontId="9" fillId="0" borderId="14" xfId="14" applyFont="1" applyFill="1" applyBorder="1" applyAlignment="1">
      <alignment horizontal="center"/>
    </xf>
    <xf numFmtId="0" fontId="9" fillId="0" borderId="27" xfId="14" applyFont="1" applyFill="1" applyBorder="1" applyAlignment="1">
      <alignment horizontal="center"/>
    </xf>
    <xf numFmtId="0" fontId="9" fillId="0" borderId="27" xfId="9" applyFont="1" applyFill="1" applyBorder="1" applyAlignment="1">
      <alignment horizontal="center"/>
    </xf>
    <xf numFmtId="0" fontId="9" fillId="0" borderId="0" xfId="9" applyFont="1" applyFill="1" applyBorder="1" applyAlignment="1">
      <alignment horizontal="center"/>
    </xf>
    <xf numFmtId="0" fontId="9" fillId="0" borderId="0" xfId="14" applyFont="1" applyBorder="1"/>
    <xf numFmtId="0" fontId="18" fillId="0" borderId="14" xfId="9" applyFont="1" applyFill="1" applyBorder="1" applyAlignment="1">
      <alignment horizontal="center"/>
    </xf>
    <xf numFmtId="0" fontId="9" fillId="0" borderId="15" xfId="9" applyFont="1" applyBorder="1" applyAlignment="1">
      <alignment horizontal="center"/>
    </xf>
    <xf numFmtId="0" fontId="9" fillId="0" borderId="10" xfId="9" applyFont="1" applyBorder="1" applyAlignment="1">
      <alignment horizontal="center"/>
    </xf>
    <xf numFmtId="0" fontId="9" fillId="0" borderId="16" xfId="9" applyFont="1" applyBorder="1" applyAlignment="1">
      <alignment horizontal="center"/>
    </xf>
    <xf numFmtId="0" fontId="9" fillId="0" borderId="17" xfId="14" applyFont="1" applyFill="1" applyBorder="1" applyAlignment="1">
      <alignment horizontal="center"/>
    </xf>
    <xf numFmtId="0" fontId="18" fillId="0" borderId="17" xfId="9" applyFont="1" applyFill="1" applyBorder="1" applyAlignment="1">
      <alignment horizontal="center"/>
    </xf>
    <xf numFmtId="0" fontId="9" fillId="0" borderId="1" xfId="14" applyFont="1" applyBorder="1" applyAlignment="1">
      <alignment horizontal="left"/>
    </xf>
    <xf numFmtId="0" fontId="9" fillId="5" borderId="13" xfId="14" applyFont="1" applyFill="1" applyBorder="1" applyAlignment="1">
      <alignment horizontal="center"/>
    </xf>
    <xf numFmtId="0" fontId="9" fillId="5" borderId="1" xfId="14" applyFont="1" applyFill="1" applyBorder="1" applyAlignment="1">
      <alignment horizontal="center"/>
    </xf>
    <xf numFmtId="0" fontId="9" fillId="5" borderId="9" xfId="14" applyFont="1" applyFill="1" applyBorder="1" applyAlignment="1">
      <alignment horizontal="center"/>
    </xf>
    <xf numFmtId="0" fontId="9" fillId="5" borderId="14" xfId="14" applyFont="1" applyFill="1" applyBorder="1" applyAlignment="1">
      <alignment horizontal="center"/>
    </xf>
    <xf numFmtId="0" fontId="9" fillId="0" borderId="13" xfId="14" applyFont="1" applyFill="1" applyBorder="1" applyAlignment="1">
      <alignment horizontal="center"/>
    </xf>
    <xf numFmtId="0" fontId="9" fillId="0" borderId="1" xfId="14" applyFont="1" applyFill="1" applyBorder="1" applyAlignment="1">
      <alignment horizontal="center"/>
    </xf>
    <xf numFmtId="0" fontId="9" fillId="0" borderId="9" xfId="14" applyFont="1" applyFill="1" applyBorder="1" applyAlignment="1">
      <alignment horizontal="center"/>
    </xf>
    <xf numFmtId="0" fontId="9" fillId="0" borderId="14" xfId="9" applyFont="1" applyBorder="1" applyAlignment="1"/>
    <xf numFmtId="0" fontId="18" fillId="0" borderId="19" xfId="9" applyFont="1" applyBorder="1" applyAlignment="1"/>
    <xf numFmtId="0" fontId="9" fillId="5" borderId="14" xfId="9" applyFont="1" applyFill="1" applyBorder="1" applyAlignment="1"/>
    <xf numFmtId="0" fontId="9" fillId="0" borderId="0" xfId="14" applyFont="1" applyAlignment="1"/>
    <xf numFmtId="0" fontId="9" fillId="0" borderId="14" xfId="14" applyFont="1" applyBorder="1" applyAlignment="1"/>
    <xf numFmtId="0" fontId="18" fillId="0" borderId="13" xfId="9" applyFont="1" applyBorder="1" applyAlignment="1"/>
    <xf numFmtId="0" fontId="18" fillId="0" borderId="12" xfId="9" applyFont="1" applyBorder="1" applyAlignment="1"/>
    <xf numFmtId="0" fontId="9" fillId="0" borderId="9" xfId="9" applyFont="1" applyFill="1" applyBorder="1" applyAlignment="1">
      <alignment horizontal="center"/>
    </xf>
    <xf numFmtId="0" fontId="9" fillId="0" borderId="17" xfId="14" applyFont="1" applyBorder="1" applyAlignment="1"/>
    <xf numFmtId="0" fontId="18" fillId="0" borderId="1" xfId="14" applyFont="1" applyBorder="1" applyAlignment="1"/>
    <xf numFmtId="0" fontId="9" fillId="5" borderId="1" xfId="14" applyFont="1" applyFill="1" applyBorder="1" applyAlignment="1"/>
    <xf numFmtId="0" fontId="9" fillId="6" borderId="1" xfId="14" applyFont="1" applyFill="1" applyBorder="1" applyAlignment="1"/>
    <xf numFmtId="0" fontId="9" fillId="0" borderId="1" xfId="14" applyFont="1" applyBorder="1" applyAlignment="1"/>
    <xf numFmtId="0" fontId="9" fillId="0" borderId="1" xfId="9" applyFont="1" applyFill="1" applyBorder="1" applyAlignment="1">
      <alignment horizontal="left"/>
    </xf>
    <xf numFmtId="0" fontId="9" fillId="0" borderId="21" xfId="9" applyFont="1" applyBorder="1" applyAlignment="1"/>
    <xf numFmtId="0" fontId="9" fillId="0" borderId="22" xfId="9" applyFont="1" applyFill="1" applyBorder="1" applyAlignment="1"/>
    <xf numFmtId="0" fontId="9" fillId="0" borderId="22" xfId="14" applyFont="1" applyFill="1" applyBorder="1" applyAlignment="1">
      <alignment horizontal="center"/>
    </xf>
    <xf numFmtId="0" fontId="9" fillId="0" borderId="5" xfId="14" applyFont="1" applyFill="1" applyBorder="1" applyAlignment="1">
      <alignment horizontal="center"/>
    </xf>
    <xf numFmtId="0" fontId="9" fillId="0" borderId="2" xfId="14" applyFont="1" applyFill="1" applyBorder="1" applyAlignment="1">
      <alignment horizontal="center"/>
    </xf>
    <xf numFmtId="0" fontId="9" fillId="5" borderId="17" xfId="9" applyFont="1" applyFill="1" applyBorder="1" applyAlignment="1"/>
    <xf numFmtId="0" fontId="9" fillId="5" borderId="15" xfId="14" applyFont="1" applyFill="1" applyBorder="1" applyAlignment="1">
      <alignment horizontal="center"/>
    </xf>
    <xf numFmtId="0" fontId="9" fillId="5" borderId="10" xfId="14" applyFont="1" applyFill="1" applyBorder="1" applyAlignment="1">
      <alignment horizontal="center"/>
    </xf>
    <xf numFmtId="0" fontId="9" fillId="5" borderId="16" xfId="14" applyFont="1" applyFill="1" applyBorder="1" applyAlignment="1">
      <alignment horizontal="center"/>
    </xf>
    <xf numFmtId="0" fontId="9" fillId="5" borderId="17" xfId="14" applyFont="1" applyFill="1" applyBorder="1" applyAlignment="1">
      <alignment horizontal="center"/>
    </xf>
    <xf numFmtId="0" fontId="9" fillId="0" borderId="13" xfId="14" applyFont="1" applyBorder="1" applyAlignment="1">
      <alignment horizontal="left"/>
    </xf>
    <xf numFmtId="0" fontId="9" fillId="0" borderId="15" xfId="9" applyFont="1" applyFill="1" applyBorder="1" applyAlignment="1">
      <alignment horizontal="left"/>
    </xf>
    <xf numFmtId="0" fontId="9" fillId="0" borderId="13" xfId="9" applyFont="1" applyFill="1" applyBorder="1" applyAlignment="1"/>
    <xf numFmtId="0" fontId="9" fillId="0" borderId="13" xfId="9" applyFont="1" applyFill="1" applyBorder="1" applyAlignment="1">
      <alignment horizontal="left"/>
    </xf>
    <xf numFmtId="0" fontId="9" fillId="5" borderId="13" xfId="14" applyFont="1" applyFill="1" applyBorder="1" applyAlignment="1"/>
    <xf numFmtId="0" fontId="9" fillId="0" borderId="20" xfId="14" applyFont="1" applyBorder="1" applyAlignment="1"/>
    <xf numFmtId="0" fontId="9" fillId="0" borderId="13" xfId="14" applyFont="1" applyFill="1" applyBorder="1" applyAlignment="1"/>
    <xf numFmtId="0" fontId="9" fillId="5" borderId="13" xfId="9" applyFont="1" applyFill="1" applyBorder="1" applyAlignment="1"/>
    <xf numFmtId="0" fontId="9" fillId="0" borderId="20" xfId="14" applyFont="1" applyBorder="1" applyAlignment="1">
      <alignment horizontal="left"/>
    </xf>
    <xf numFmtId="0" fontId="9" fillId="5" borderId="15" xfId="14" applyFont="1" applyFill="1" applyBorder="1" applyAlignment="1"/>
    <xf numFmtId="0" fontId="24" fillId="4" borderId="1" xfId="16" applyFont="1" applyFill="1" applyBorder="1" applyAlignment="1"/>
    <xf numFmtId="0" fontId="24" fillId="0" borderId="0" xfId="16" applyFont="1"/>
    <xf numFmtId="164" fontId="22" fillId="0" borderId="29" xfId="13" applyNumberFormat="1" applyFont="1" applyFill="1" applyBorder="1" applyAlignment="1">
      <alignment horizontal="center"/>
    </xf>
    <xf numFmtId="0" fontId="0" fillId="0" borderId="0" xfId="0" applyFont="1"/>
    <xf numFmtId="0" fontId="0" fillId="0" borderId="0" xfId="0" applyFont="1" applyBorder="1"/>
    <xf numFmtId="0" fontId="0" fillId="0" borderId="0" xfId="0" applyFont="1" applyAlignment="1">
      <alignment horizontal="right"/>
    </xf>
    <xf numFmtId="0" fontId="2" fillId="12" borderId="0" xfId="13" applyFont="1" applyFill="1" applyBorder="1" applyAlignment="1"/>
    <xf numFmtId="0" fontId="2" fillId="13" borderId="0" xfId="13" applyFont="1" applyFill="1" applyBorder="1" applyAlignment="1"/>
    <xf numFmtId="0" fontId="9" fillId="0" borderId="1" xfId="13" applyFont="1" applyFill="1" applyBorder="1" applyAlignment="1"/>
    <xf numFmtId="0" fontId="18" fillId="0" borderId="1" xfId="13" applyFont="1" applyFill="1" applyBorder="1" applyAlignment="1">
      <alignment horizontal="center"/>
    </xf>
    <xf numFmtId="0" fontId="18" fillId="5" borderId="0" xfId="6" quotePrefix="1" applyNumberFormat="1" applyFont="1" applyFill="1" applyAlignment="1"/>
    <xf numFmtId="0" fontId="9" fillId="5" borderId="0" xfId="6" applyNumberFormat="1" applyFont="1" applyFill="1" applyAlignment="1"/>
    <xf numFmtId="0" fontId="10" fillId="7" borderId="1" xfId="1" applyFont="1" applyFill="1" applyBorder="1" applyAlignment="1"/>
    <xf numFmtId="0" fontId="10" fillId="0" borderId="1" xfId="1" applyFont="1" applyBorder="1" applyAlignment="1"/>
    <xf numFmtId="0" fontId="0" fillId="0" borderId="1" xfId="0" applyFont="1" applyFill="1" applyBorder="1" applyAlignment="1"/>
    <xf numFmtId="0" fontId="10" fillId="7" borderId="4" xfId="1" applyFill="1" applyBorder="1" applyAlignment="1"/>
    <xf numFmtId="0" fontId="40" fillId="8" borderId="1" xfId="13" applyFont="1" applyFill="1" applyBorder="1" applyAlignment="1">
      <alignment horizontal="center"/>
    </xf>
    <xf numFmtId="0" fontId="41" fillId="0" borderId="1" xfId="13" applyFont="1" applyFill="1" applyBorder="1" applyAlignment="1"/>
    <xf numFmtId="1" fontId="42" fillId="0" borderId="1" xfId="13" applyNumberFormat="1" applyFont="1" applyFill="1" applyBorder="1" applyAlignment="1">
      <alignment horizontal="right"/>
    </xf>
    <xf numFmtId="0" fontId="39" fillId="5" borderId="8" xfId="13" applyFont="1" applyFill="1" applyBorder="1" applyAlignment="1">
      <alignment horizontal="center"/>
    </xf>
    <xf numFmtId="0" fontId="18" fillId="0" borderId="1" xfId="19" applyFont="1" applyFill="1" applyBorder="1" applyAlignment="1">
      <alignment horizontal="center"/>
    </xf>
    <xf numFmtId="0" fontId="9" fillId="0" borderId="0" xfId="19" applyFont="1" applyFill="1" applyBorder="1" applyAlignment="1"/>
    <xf numFmtId="0" fontId="0" fillId="0" borderId="0" xfId="0" applyFont="1" applyFill="1" applyBorder="1"/>
    <xf numFmtId="0" fontId="23" fillId="0" borderId="0" xfId="19" applyFont="1" applyFill="1" applyBorder="1" applyAlignment="1">
      <alignment horizontal="right"/>
    </xf>
    <xf numFmtId="0" fontId="44" fillId="0" borderId="0" xfId="0" applyFont="1"/>
    <xf numFmtId="0" fontId="44" fillId="0" borderId="0" xfId="0" applyFont="1" applyFill="1" applyBorder="1" applyAlignment="1">
      <alignment horizontal="right"/>
    </xf>
    <xf numFmtId="0" fontId="21" fillId="8" borderId="7" xfId="13" applyFont="1" applyFill="1" applyBorder="1" applyAlignment="1">
      <alignment horizontal="center"/>
    </xf>
    <xf numFmtId="0" fontId="21" fillId="0" borderId="7" xfId="13" applyFont="1" applyFill="1" applyBorder="1" applyAlignment="1">
      <alignment horizontal="center"/>
    </xf>
    <xf numFmtId="0" fontId="21" fillId="7" borderId="7" xfId="13" applyFont="1" applyFill="1" applyBorder="1" applyAlignment="1">
      <alignment horizontal="center"/>
    </xf>
    <xf numFmtId="0" fontId="9" fillId="0" borderId="30" xfId="14" applyFont="1" applyBorder="1" applyAlignment="1"/>
    <xf numFmtId="0" fontId="18" fillId="0" borderId="30" xfId="14" applyFont="1" applyBorder="1" applyAlignment="1">
      <alignment horizontal="center"/>
    </xf>
    <xf numFmtId="0" fontId="9" fillId="0" borderId="31" xfId="14" applyFont="1" applyBorder="1" applyAlignment="1"/>
    <xf numFmtId="0" fontId="9" fillId="0" borderId="32" xfId="14" applyFont="1" applyBorder="1" applyAlignment="1"/>
    <xf numFmtId="0" fontId="9" fillId="0" borderId="33" xfId="14" applyFont="1" applyBorder="1" applyAlignment="1"/>
    <xf numFmtId="0" fontId="9" fillId="0" borderId="30" xfId="14" applyFont="1" applyFill="1" applyBorder="1" applyAlignment="1"/>
    <xf numFmtId="0" fontId="18" fillId="0" borderId="30" xfId="9" applyFont="1" applyBorder="1" applyAlignment="1"/>
    <xf numFmtId="0" fontId="18" fillId="0" borderId="32" xfId="9" applyFont="1" applyBorder="1" applyAlignment="1">
      <alignment horizontal="center"/>
    </xf>
    <xf numFmtId="0" fontId="18" fillId="0" borderId="34" xfId="9" applyFont="1" applyBorder="1" applyAlignment="1">
      <alignment horizontal="center"/>
    </xf>
    <xf numFmtId="0" fontId="18" fillId="0" borderId="35" xfId="9" applyFont="1" applyBorder="1" applyAlignment="1">
      <alignment horizontal="center"/>
    </xf>
    <xf numFmtId="0" fontId="18" fillId="0" borderId="36" xfId="9" applyFont="1" applyBorder="1" applyAlignment="1">
      <alignment horizontal="center"/>
    </xf>
    <xf numFmtId="0" fontId="18" fillId="0" borderId="32" xfId="9" applyFont="1" applyFill="1" applyBorder="1" applyAlignment="1">
      <alignment horizontal="center"/>
    </xf>
    <xf numFmtId="0" fontId="18" fillId="0" borderId="30" xfId="9" applyFont="1" applyFill="1" applyBorder="1" applyAlignment="1">
      <alignment horizontal="center"/>
    </xf>
    <xf numFmtId="0" fontId="9" fillId="0" borderId="18" xfId="9" applyFont="1" applyBorder="1" applyAlignment="1"/>
    <xf numFmtId="0" fontId="18" fillId="0" borderId="37" xfId="9" applyFont="1" applyBorder="1" applyAlignment="1"/>
    <xf numFmtId="0" fontId="9" fillId="0" borderId="37" xfId="9" applyFont="1" applyBorder="1" applyAlignment="1">
      <alignment horizontal="center"/>
    </xf>
    <xf numFmtId="0" fontId="9" fillId="0" borderId="11" xfId="9" applyFont="1" applyBorder="1" applyAlignment="1">
      <alignment horizontal="center"/>
    </xf>
    <xf numFmtId="0" fontId="9" fillId="0" borderId="23" xfId="9" applyFont="1" applyBorder="1" applyAlignment="1">
      <alignment horizontal="center"/>
    </xf>
    <xf numFmtId="0" fontId="9" fillId="0" borderId="18" xfId="9" applyFont="1" applyFill="1" applyBorder="1" applyAlignment="1">
      <alignment horizontal="center"/>
    </xf>
    <xf numFmtId="0" fontId="9" fillId="5" borderId="14" xfId="14" applyFont="1" applyFill="1" applyBorder="1" applyAlignment="1"/>
    <xf numFmtId="0" fontId="9" fillId="5" borderId="20" xfId="14" applyFont="1" applyFill="1" applyBorder="1" applyAlignment="1"/>
    <xf numFmtId="0" fontId="9" fillId="5" borderId="13" xfId="9" applyFont="1" applyFill="1" applyBorder="1" applyAlignment="1">
      <alignment horizontal="center"/>
    </xf>
    <xf numFmtId="0" fontId="9" fillId="5" borderId="1" xfId="9" applyFont="1" applyFill="1" applyBorder="1" applyAlignment="1">
      <alignment horizontal="center"/>
    </xf>
    <xf numFmtId="0" fontId="9" fillId="5" borderId="9" xfId="9" applyFont="1" applyFill="1" applyBorder="1" applyAlignment="1">
      <alignment horizontal="center"/>
    </xf>
    <xf numFmtId="0" fontId="9" fillId="5" borderId="14" xfId="9" applyFont="1" applyFill="1" applyBorder="1" applyAlignment="1">
      <alignment horizontal="center"/>
    </xf>
    <xf numFmtId="0" fontId="9" fillId="5" borderId="13" xfId="9" applyFont="1" applyFill="1" applyBorder="1" applyAlignment="1">
      <alignment horizontal="left"/>
    </xf>
    <xf numFmtId="0" fontId="9" fillId="0" borderId="9" xfId="14" applyFont="1" applyBorder="1" applyAlignment="1"/>
    <xf numFmtId="0" fontId="9" fillId="0" borderId="3" xfId="14" applyFont="1" applyBorder="1" applyAlignment="1"/>
    <xf numFmtId="0" fontId="9" fillId="0" borderId="4" xfId="14" applyFont="1" applyBorder="1" applyAlignment="1"/>
    <xf numFmtId="0" fontId="9" fillId="0" borderId="9" xfId="9" applyFont="1" applyFill="1" applyBorder="1" applyAlignment="1"/>
    <xf numFmtId="0" fontId="9" fillId="0" borderId="9" xfId="14" applyFont="1" applyBorder="1" applyAlignment="1">
      <alignment horizontal="left"/>
    </xf>
    <xf numFmtId="0" fontId="0" fillId="0" borderId="1" xfId="13" applyFont="1" applyFill="1" applyBorder="1" applyAlignment="1"/>
    <xf numFmtId="0" fontId="2" fillId="9" borderId="4" xfId="13" applyFont="1" applyFill="1" applyBorder="1" applyAlignment="1">
      <alignment horizontal="right"/>
    </xf>
    <xf numFmtId="0" fontId="9" fillId="0" borderId="1" xfId="19" applyFont="1" applyFill="1" applyBorder="1" applyAlignment="1">
      <alignment horizontal="center"/>
    </xf>
    <xf numFmtId="0" fontId="18" fillId="0" borderId="0" xfId="0" applyNumberFormat="1" applyFont="1" applyAlignment="1">
      <alignment wrapText="1"/>
    </xf>
    <xf numFmtId="0" fontId="0" fillId="0" borderId="0" xfId="0" applyNumberFormat="1" applyFont="1" applyAlignment="1">
      <alignment wrapText="1"/>
    </xf>
    <xf numFmtId="0" fontId="25" fillId="0" borderId="0" xfId="0" applyNumberFormat="1" applyFont="1" applyAlignment="1">
      <alignment wrapText="1"/>
    </xf>
    <xf numFmtId="0" fontId="0" fillId="0" borderId="0" xfId="0" quotePrefix="1" applyNumberFormat="1" applyFont="1" applyAlignment="1">
      <alignment wrapText="1"/>
    </xf>
    <xf numFmtId="0" fontId="0" fillId="0" borderId="0" xfId="0" applyAlignment="1">
      <alignment wrapText="1"/>
    </xf>
    <xf numFmtId="0" fontId="0" fillId="11" borderId="0" xfId="10" applyFont="1" applyFill="1" applyBorder="1" applyAlignment="1">
      <alignment horizontal="right"/>
    </xf>
    <xf numFmtId="14" fontId="45" fillId="0" borderId="1" xfId="6" applyNumberFormat="1" applyFont="1" applyFill="1" applyBorder="1" applyAlignment="1"/>
    <xf numFmtId="49" fontId="45" fillId="0" borderId="1" xfId="0" applyNumberFormat="1" applyFont="1" applyFill="1" applyBorder="1" applyAlignment="1"/>
    <xf numFmtId="0" fontId="45" fillId="0" borderId="1" xfId="0" applyNumberFormat="1" applyFont="1" applyFill="1" applyBorder="1" applyAlignment="1"/>
    <xf numFmtId="0" fontId="46" fillId="2" borderId="1" xfId="1" applyFont="1" applyFill="1" applyBorder="1" applyAlignment="1"/>
    <xf numFmtId="165" fontId="45" fillId="0" borderId="1" xfId="6" applyNumberFormat="1" applyFont="1" applyFill="1" applyBorder="1" applyAlignment="1">
      <alignment horizontal="center"/>
    </xf>
    <xf numFmtId="164" fontId="45" fillId="0" borderId="1" xfId="6" applyNumberFormat="1" applyFont="1" applyFill="1" applyBorder="1" applyAlignment="1">
      <alignment horizontal="center"/>
    </xf>
    <xf numFmtId="0" fontId="45" fillId="0" borderId="1" xfId="6" applyNumberFormat="1" applyFont="1" applyFill="1" applyBorder="1" applyAlignment="1"/>
    <xf numFmtId="49" fontId="45" fillId="0" borderId="1" xfId="6" applyNumberFormat="1" applyFont="1" applyFill="1" applyBorder="1" applyAlignment="1"/>
    <xf numFmtId="0" fontId="46" fillId="0" borderId="1" xfId="2" applyFont="1" applyBorder="1"/>
    <xf numFmtId="0" fontId="9" fillId="0" borderId="1" xfId="13" applyNumberFormat="1" applyFont="1" applyFill="1" applyBorder="1" applyAlignment="1">
      <alignment horizontal="center"/>
    </xf>
    <xf numFmtId="0" fontId="9" fillId="8" borderId="1" xfId="1" applyFont="1" applyFill="1" applyBorder="1" applyAlignment="1"/>
    <xf numFmtId="0" fontId="9" fillId="7" borderId="10" xfId="1" applyFont="1" applyFill="1" applyBorder="1" applyAlignment="1"/>
    <xf numFmtId="0" fontId="0" fillId="7" borderId="10" xfId="1" applyFont="1" applyFill="1" applyBorder="1" applyAlignment="1"/>
    <xf numFmtId="0" fontId="10" fillId="8" borderId="4" xfId="1" applyFill="1" applyBorder="1" applyAlignment="1"/>
    <xf numFmtId="0" fontId="0" fillId="7" borderId="9" xfId="1" applyFont="1" applyFill="1" applyBorder="1" applyAlignment="1"/>
    <xf numFmtId="0" fontId="10" fillId="8" borderId="3" xfId="1" applyFill="1" applyBorder="1" applyAlignment="1"/>
    <xf numFmtId="0" fontId="10" fillId="7" borderId="3" xfId="1" applyFill="1" applyBorder="1" applyAlignment="1"/>
    <xf numFmtId="0" fontId="40" fillId="7" borderId="1" xfId="13" applyFont="1" applyFill="1" applyBorder="1" applyAlignment="1">
      <alignment horizontal="center"/>
    </xf>
    <xf numFmtId="164" fontId="2" fillId="0" borderId="38" xfId="7" applyNumberFormat="1" applyFont="1" applyFill="1" applyBorder="1" applyAlignment="1">
      <alignment horizontal="center"/>
    </xf>
    <xf numFmtId="164" fontId="2" fillId="0" borderId="39" xfId="7" applyNumberFormat="1" applyFont="1" applyFill="1" applyBorder="1" applyAlignment="1">
      <alignment horizontal="center"/>
    </xf>
    <xf numFmtId="0" fontId="22" fillId="0" borderId="1" xfId="0" applyFont="1" applyFill="1" applyBorder="1"/>
    <xf numFmtId="0" fontId="48" fillId="0" borderId="1" xfId="13" applyFont="1" applyFill="1" applyBorder="1" applyAlignment="1"/>
    <xf numFmtId="0" fontId="22" fillId="0" borderId="1" xfId="13" applyFont="1" applyBorder="1" applyAlignment="1"/>
    <xf numFmtId="0" fontId="0" fillId="0" borderId="1" xfId="13" applyFont="1" applyBorder="1" applyAlignment="1"/>
    <xf numFmtId="0" fontId="0" fillId="9" borderId="1" xfId="13" applyFont="1" applyFill="1" applyBorder="1" applyAlignment="1"/>
    <xf numFmtId="0" fontId="24" fillId="0" borderId="1" xfId="13" applyFont="1" applyBorder="1" applyAlignment="1"/>
    <xf numFmtId="0" fontId="22" fillId="9" borderId="1" xfId="0" applyFont="1" applyFill="1" applyBorder="1" applyAlignment="1"/>
    <xf numFmtId="0" fontId="18" fillId="9" borderId="0" xfId="16" applyFont="1" applyFill="1"/>
    <xf numFmtId="0" fontId="9" fillId="9" borderId="0" xfId="16" applyFont="1" applyFill="1"/>
    <xf numFmtId="0" fontId="0" fillId="0" borderId="0" xfId="0" applyFont="1" applyAlignment="1"/>
    <xf numFmtId="0" fontId="1" fillId="16" borderId="1" xfId="13" applyFont="1" applyFill="1" applyBorder="1" applyAlignment="1">
      <alignment horizontal="center"/>
    </xf>
    <xf numFmtId="0" fontId="49" fillId="0" borderId="1" xfId="1" applyFont="1" applyFill="1" applyBorder="1" applyAlignment="1"/>
    <xf numFmtId="0" fontId="49" fillId="0" borderId="10" xfId="1" applyFont="1" applyFill="1" applyBorder="1" applyAlignment="1"/>
    <xf numFmtId="0" fontId="50" fillId="0" borderId="1" xfId="1" applyFont="1" applyFill="1" applyBorder="1" applyAlignment="1"/>
    <xf numFmtId="0" fontId="50" fillId="7" borderId="1" xfId="1" applyFont="1" applyFill="1" applyBorder="1" applyAlignment="1"/>
    <xf numFmtId="0" fontId="51" fillId="7" borderId="7" xfId="13" applyFont="1" applyFill="1" applyBorder="1" applyAlignment="1">
      <alignment horizontal="center"/>
    </xf>
    <xf numFmtId="0" fontId="20" fillId="5" borderId="3" xfId="13" applyFont="1" applyFill="1" applyBorder="1" applyAlignment="1"/>
    <xf numFmtId="0" fontId="9" fillId="5" borderId="3" xfId="13" applyFont="1" applyFill="1" applyBorder="1" applyAlignment="1"/>
    <xf numFmtId="0" fontId="18" fillId="5" borderId="3" xfId="13" applyFont="1" applyFill="1" applyBorder="1" applyAlignment="1"/>
    <xf numFmtId="164" fontId="2" fillId="0" borderId="40" xfId="7" applyNumberFormat="1" applyFont="1" applyFill="1" applyBorder="1" applyAlignment="1">
      <alignment horizontal="center"/>
    </xf>
    <xf numFmtId="164" fontId="2" fillId="0" borderId="41" xfId="7" applyNumberFormat="1" applyFont="1" applyFill="1" applyBorder="1" applyAlignment="1">
      <alignment horizontal="center"/>
    </xf>
    <xf numFmtId="0" fontId="45" fillId="0" borderId="0" xfId="6" applyFont="1" applyFill="1" applyAlignment="1">
      <alignment horizontal="right"/>
    </xf>
    <xf numFmtId="0" fontId="0" fillId="0" borderId="0" xfId="0" applyAlignment="1">
      <alignment horizontal="right"/>
    </xf>
    <xf numFmtId="0" fontId="0" fillId="0" borderId="1" xfId="13" applyFont="1" applyFill="1" applyBorder="1" applyAlignment="1">
      <alignment horizontal="center"/>
    </xf>
    <xf numFmtId="0" fontId="52" fillId="0" borderId="1" xfId="13" applyFont="1" applyFill="1" applyBorder="1" applyAlignment="1">
      <alignment horizontal="center"/>
    </xf>
    <xf numFmtId="0" fontId="18" fillId="0" borderId="9" xfId="16" applyFont="1" applyBorder="1" applyAlignment="1"/>
    <xf numFmtId="0" fontId="18" fillId="0" borderId="4" xfId="16" applyFont="1" applyBorder="1" applyAlignment="1"/>
    <xf numFmtId="0" fontId="18" fillId="0" borderId="1" xfId="16" applyFont="1" applyBorder="1" applyAlignment="1">
      <alignment horizontal="center"/>
    </xf>
    <xf numFmtId="0" fontId="18" fillId="0" borderId="1" xfId="16" applyFont="1" applyBorder="1" applyAlignment="1"/>
    <xf numFmtId="0" fontId="9" fillId="0" borderId="1" xfId="16" applyFont="1" applyFill="1" applyBorder="1" applyAlignment="1">
      <alignment horizontal="center"/>
    </xf>
    <xf numFmtId="49" fontId="9" fillId="0" borderId="1" xfId="16" applyNumberFormat="1" applyFont="1" applyFill="1" applyBorder="1" applyAlignment="1">
      <alignment horizontal="center"/>
    </xf>
    <xf numFmtId="0" fontId="9" fillId="0" borderId="1" xfId="16" applyFont="1" applyFill="1" applyBorder="1" applyAlignment="1"/>
    <xf numFmtId="0" fontId="18" fillId="0" borderId="0" xfId="16" applyFont="1" applyBorder="1" applyAlignment="1"/>
    <xf numFmtId="0" fontId="9" fillId="0" borderId="0" xfId="16" applyFont="1" applyBorder="1" applyAlignment="1"/>
    <xf numFmtId="0" fontId="9" fillId="0" borderId="0" xfId="16" applyFont="1" applyBorder="1" applyAlignment="1">
      <alignment horizontal="center"/>
    </xf>
    <xf numFmtId="0" fontId="9" fillId="0" borderId="0" xfId="16" applyFont="1" applyFill="1" applyBorder="1" applyAlignment="1">
      <alignment horizontal="center"/>
    </xf>
    <xf numFmtId="49" fontId="9" fillId="0" borderId="0" xfId="16" applyNumberFormat="1" applyFont="1" applyBorder="1" applyAlignment="1">
      <alignment horizontal="center"/>
    </xf>
    <xf numFmtId="0" fontId="30" fillId="0" borderId="0" xfId="11" applyFont="1" applyAlignment="1"/>
    <xf numFmtId="0" fontId="9" fillId="0" borderId="8" xfId="11" applyFont="1" applyBorder="1" applyAlignment="1"/>
    <xf numFmtId="0" fontId="9" fillId="0" borderId="42" xfId="11" applyFont="1" applyBorder="1" applyAlignment="1"/>
    <xf numFmtId="0" fontId="9" fillId="0" borderId="43" xfId="11" applyFont="1" applyBorder="1" applyAlignment="1"/>
    <xf numFmtId="0" fontId="9" fillId="0" borderId="0" xfId="11" applyFont="1" applyAlignment="1">
      <alignment horizontal="left"/>
    </xf>
    <xf numFmtId="0" fontId="9" fillId="0" borderId="44" xfId="8" applyFont="1" applyFill="1" applyBorder="1" applyAlignment="1"/>
    <xf numFmtId="0" fontId="9" fillId="0" borderId="45" xfId="11" applyFont="1" applyBorder="1" applyAlignment="1">
      <alignment horizontal="left"/>
    </xf>
    <xf numFmtId="0" fontId="9" fillId="0" borderId="46" xfId="11" applyFont="1" applyBorder="1" applyAlignment="1"/>
    <xf numFmtId="0" fontId="9" fillId="0" borderId="47" xfId="11" applyFont="1" applyBorder="1" applyAlignment="1"/>
    <xf numFmtId="0" fontId="9" fillId="0" borderId="0" xfId="11" applyFont="1" applyBorder="1" applyAlignment="1">
      <alignment horizontal="left"/>
    </xf>
    <xf numFmtId="0" fontId="9" fillId="0" borderId="45" xfId="11" applyFont="1" applyBorder="1" applyAlignment="1"/>
    <xf numFmtId="0" fontId="9" fillId="0" borderId="44" xfId="11" applyFont="1" applyBorder="1" applyAlignment="1"/>
    <xf numFmtId="0" fontId="9" fillId="0" borderId="49" xfId="11" applyFont="1" applyBorder="1" applyAlignment="1"/>
    <xf numFmtId="0" fontId="18" fillId="0" borderId="50" xfId="11" applyFont="1" applyBorder="1" applyAlignment="1"/>
    <xf numFmtId="0" fontId="9" fillId="0" borderId="50" xfId="11" applyFont="1" applyBorder="1" applyAlignment="1"/>
    <xf numFmtId="0" fontId="9" fillId="0" borderId="48" xfId="11" applyFont="1" applyBorder="1" applyAlignment="1"/>
    <xf numFmtId="0" fontId="9" fillId="0" borderId="2" xfId="11" applyFont="1" applyBorder="1" applyAlignment="1">
      <alignment horizontal="left"/>
    </xf>
    <xf numFmtId="0" fontId="18" fillId="0" borderId="0" xfId="11" applyFont="1" applyBorder="1" applyAlignment="1"/>
    <xf numFmtId="0" fontId="18" fillId="5" borderId="9" xfId="13" applyFont="1" applyFill="1" applyBorder="1" applyAlignment="1"/>
    <xf numFmtId="0" fontId="0" fillId="0" borderId="1" xfId="11" applyFont="1" applyFill="1" applyBorder="1" applyAlignment="1"/>
    <xf numFmtId="0" fontId="0" fillId="0" borderId="1" xfId="11" applyFont="1" applyFill="1" applyBorder="1"/>
    <xf numFmtId="0" fontId="0" fillId="0" borderId="1" xfId="11" applyFont="1" applyFill="1" applyBorder="1" applyAlignment="1">
      <alignment wrapText="1"/>
    </xf>
    <xf numFmtId="0" fontId="0" fillId="0" borderId="48" xfId="11" applyFont="1" applyFill="1" applyBorder="1"/>
    <xf numFmtId="49" fontId="0" fillId="0" borderId="1" xfId="16" applyNumberFormat="1" applyFont="1" applyFill="1" applyBorder="1" applyAlignment="1">
      <alignment horizontal="center"/>
    </xf>
    <xf numFmtId="0" fontId="0" fillId="0" borderId="1" xfId="16" applyFont="1" applyFill="1" applyBorder="1" applyAlignment="1">
      <alignment horizontal="center"/>
    </xf>
    <xf numFmtId="0" fontId="0" fillId="0" borderId="0" xfId="11" applyFont="1" applyAlignment="1"/>
    <xf numFmtId="0" fontId="0" fillId="0" borderId="1" xfId="16" applyNumberFormat="1" applyFont="1" applyFill="1" applyBorder="1" applyAlignment="1"/>
    <xf numFmtId="0" fontId="9" fillId="17" borderId="1" xfId="16" applyFont="1" applyFill="1" applyBorder="1" applyAlignment="1">
      <alignment horizontal="center"/>
    </xf>
    <xf numFmtId="0" fontId="9" fillId="0" borderId="1" xfId="16" applyFont="1" applyBorder="1" applyAlignment="1">
      <alignment horizontal="center"/>
    </xf>
    <xf numFmtId="49" fontId="0" fillId="0" borderId="1" xfId="16" applyNumberFormat="1" applyFont="1" applyBorder="1" applyAlignment="1">
      <alignment horizontal="center"/>
    </xf>
    <xf numFmtId="0" fontId="0" fillId="0" borderId="1" xfId="16" applyFont="1" applyBorder="1" applyAlignment="1">
      <alignment horizontal="center"/>
    </xf>
    <xf numFmtId="0" fontId="0" fillId="0" borderId="1" xfId="8" applyNumberFormat="1" applyFont="1" applyFill="1" applyBorder="1" applyAlignment="1"/>
    <xf numFmtId="0" fontId="0" fillId="0" borderId="1" xfId="16" applyFont="1" applyBorder="1"/>
    <xf numFmtId="0" fontId="2" fillId="0" borderId="1" xfId="16" applyFont="1" applyBorder="1" applyAlignment="1">
      <alignment horizontal="center"/>
    </xf>
    <xf numFmtId="0" fontId="0" fillId="0" borderId="43" xfId="8" applyFont="1" applyFill="1" applyBorder="1" applyAlignment="1"/>
    <xf numFmtId="0" fontId="0" fillId="0" borderId="48" xfId="11" applyFont="1" applyBorder="1" applyAlignment="1"/>
    <xf numFmtId="0" fontId="0" fillId="0" borderId="1" xfId="11" applyFont="1" applyBorder="1" applyAlignment="1"/>
    <xf numFmtId="0" fontId="46" fillId="0" borderId="1" xfId="1" applyNumberFormat="1" applyFont="1" applyFill="1" applyBorder="1" applyAlignment="1"/>
    <xf numFmtId="0" fontId="22" fillId="0" borderId="1" xfId="13" applyFont="1" applyFill="1" applyBorder="1" applyAlignment="1">
      <alignment horizontal="center"/>
    </xf>
    <xf numFmtId="0" fontId="10" fillId="0" borderId="9" xfId="1" applyFill="1" applyBorder="1" applyAlignment="1"/>
    <xf numFmtId="0" fontId="10" fillId="0" borderId="4" xfId="1" applyFill="1" applyBorder="1" applyAlignment="1"/>
    <xf numFmtId="0" fontId="10" fillId="15" borderId="9" xfId="1" applyFill="1" applyBorder="1" applyAlignment="1"/>
    <xf numFmtId="0" fontId="10" fillId="15" borderId="4" xfId="1" applyFill="1" applyBorder="1" applyAlignment="1"/>
    <xf numFmtId="0" fontId="33" fillId="0" borderId="0" xfId="6" applyNumberFormat="1" applyFont="1" applyBorder="1" applyAlignment="1"/>
    <xf numFmtId="0" fontId="47" fillId="0" borderId="4" xfId="1" applyFont="1" applyFill="1" applyBorder="1" applyAlignment="1"/>
    <xf numFmtId="0" fontId="10" fillId="0" borderId="3" xfId="1" applyFill="1" applyBorder="1" applyAlignment="1"/>
    <xf numFmtId="0" fontId="10" fillId="15" borderId="3" xfId="1" applyFill="1" applyBorder="1" applyAlignment="1"/>
    <xf numFmtId="0" fontId="47" fillId="0" borderId="3" xfId="1" applyFont="1" applyFill="1" applyBorder="1" applyAlignment="1"/>
    <xf numFmtId="0" fontId="1" fillId="19" borderId="1" xfId="13" applyFont="1" applyFill="1" applyBorder="1" applyAlignment="1">
      <alignment horizontal="center"/>
    </xf>
    <xf numFmtId="0" fontId="1" fillId="16" borderId="0" xfId="13" applyFont="1" applyFill="1" applyBorder="1" applyAlignment="1">
      <alignment horizontal="center"/>
    </xf>
    <xf numFmtId="0" fontId="2" fillId="16" borderId="0" xfId="13" applyFont="1" applyFill="1" applyBorder="1" applyAlignment="1">
      <alignment horizontal="center"/>
    </xf>
    <xf numFmtId="0" fontId="2" fillId="0" borderId="1" xfId="13" applyFont="1" applyBorder="1" applyAlignment="1"/>
    <xf numFmtId="0" fontId="18" fillId="5" borderId="1" xfId="13" applyFont="1" applyFill="1" applyBorder="1" applyAlignment="1"/>
    <xf numFmtId="0" fontId="20" fillId="0" borderId="3" xfId="13" applyFont="1" applyFill="1" applyBorder="1" applyAlignment="1"/>
    <xf numFmtId="0" fontId="36" fillId="0" borderId="1" xfId="13" applyNumberFormat="1" applyFont="1" applyFill="1" applyBorder="1" applyAlignment="1">
      <alignment horizontal="center"/>
    </xf>
    <xf numFmtId="0" fontId="53" fillId="5" borderId="8" xfId="13" applyFont="1" applyFill="1" applyBorder="1" applyAlignment="1">
      <alignment horizontal="center"/>
    </xf>
    <xf numFmtId="0" fontId="1" fillId="5" borderId="9" xfId="13" applyFont="1" applyFill="1" applyBorder="1" applyAlignment="1"/>
    <xf numFmtId="0" fontId="1" fillId="5" borderId="1" xfId="13" applyFont="1" applyFill="1" applyBorder="1" applyAlignment="1"/>
    <xf numFmtId="0" fontId="20" fillId="5" borderId="4" xfId="13" applyFont="1" applyFill="1" applyBorder="1" applyAlignment="1"/>
    <xf numFmtId="0" fontId="2" fillId="5" borderId="1" xfId="13" applyFont="1" applyFill="1" applyBorder="1" applyAlignment="1"/>
    <xf numFmtId="0" fontId="53" fillId="0" borderId="1" xfId="13" applyFont="1" applyFill="1" applyBorder="1" applyAlignment="1">
      <alignment horizontal="center"/>
    </xf>
    <xf numFmtId="0" fontId="9" fillId="0" borderId="9" xfId="13" applyFont="1" applyFill="1" applyBorder="1" applyAlignment="1"/>
    <xf numFmtId="0" fontId="2" fillId="0" borderId="9" xfId="13" applyFont="1" applyBorder="1" applyAlignment="1"/>
    <xf numFmtId="1" fontId="42" fillId="0" borderId="9" xfId="13" applyNumberFormat="1" applyFont="1" applyFill="1" applyBorder="1" applyAlignment="1">
      <alignment horizontal="right"/>
    </xf>
    <xf numFmtId="0" fontId="2" fillId="0" borderId="9" xfId="13" applyFont="1" applyFill="1" applyBorder="1" applyAlignment="1"/>
    <xf numFmtId="0" fontId="18" fillId="0" borderId="1" xfId="0" applyFont="1" applyBorder="1"/>
    <xf numFmtId="0" fontId="18" fillId="0" borderId="1" xfId="0" applyNumberFormat="1" applyFont="1" applyBorder="1" applyAlignment="1">
      <alignment horizontal="center"/>
    </xf>
    <xf numFmtId="0" fontId="18" fillId="0" borderId="1" xfId="0" applyFont="1" applyBorder="1" applyAlignment="1">
      <alignment horizontal="center"/>
    </xf>
    <xf numFmtId="0" fontId="0" fillId="17" borderId="1" xfId="0" applyFont="1" applyFill="1" applyBorder="1" applyAlignment="1">
      <alignment horizontal="center"/>
    </xf>
    <xf numFmtId="0" fontId="0" fillId="0" borderId="1" xfId="0" applyNumberFormat="1" applyFont="1" applyBorder="1" applyAlignment="1">
      <alignment horizontal="center"/>
    </xf>
    <xf numFmtId="0" fontId="0" fillId="0" borderId="1" xfId="0" applyFont="1" applyBorder="1" applyAlignment="1">
      <alignment horizontal="center"/>
    </xf>
    <xf numFmtId="0" fontId="0" fillId="0" borderId="0" xfId="0" applyFont="1" applyAlignment="1">
      <alignment horizontal="center"/>
    </xf>
    <xf numFmtId="0" fontId="18" fillId="0" borderId="0" xfId="0" applyFont="1" applyAlignment="1">
      <alignment horizontal="center"/>
    </xf>
    <xf numFmtId="0" fontId="0" fillId="0" borderId="45" xfId="0" applyFont="1" applyBorder="1" applyAlignment="1">
      <alignment horizontal="right"/>
    </xf>
    <xf numFmtId="0" fontId="0" fillId="0" borderId="45" xfId="0" quotePrefix="1" applyFont="1" applyBorder="1" applyAlignment="1">
      <alignment horizontal="right"/>
    </xf>
    <xf numFmtId="0" fontId="0" fillId="0" borderId="1" xfId="0" applyFont="1" applyBorder="1" applyAlignment="1">
      <alignment wrapText="1"/>
    </xf>
    <xf numFmtId="0" fontId="0" fillId="0" borderId="0" xfId="0" applyFont="1" applyAlignment="1">
      <alignment horizontal="right" wrapText="1"/>
    </xf>
    <xf numFmtId="0" fontId="0" fillId="17" borderId="1" xfId="0" applyFont="1" applyFill="1" applyBorder="1" applyAlignment="1">
      <alignment horizontal="center" vertical="center"/>
    </xf>
    <xf numFmtId="0" fontId="0" fillId="14" borderId="1" xfId="0" applyNumberFormat="1" applyFont="1" applyFill="1" applyBorder="1" applyAlignment="1">
      <alignment horizontal="center" vertical="center"/>
    </xf>
    <xf numFmtId="0" fontId="0" fillId="0" borderId="1" xfId="0" applyNumberFormat="1" applyFont="1" applyBorder="1" applyAlignment="1">
      <alignment horizontal="center" vertical="center"/>
    </xf>
    <xf numFmtId="0" fontId="0" fillId="20" borderId="1" xfId="0" applyFont="1" applyFill="1" applyBorder="1" applyAlignment="1">
      <alignment horizontal="center" vertical="center"/>
    </xf>
    <xf numFmtId="0" fontId="0" fillId="0" borderId="1" xfId="0" applyFont="1" applyBorder="1" applyAlignment="1">
      <alignment horizontal="center" vertical="center"/>
    </xf>
    <xf numFmtId="0" fontId="18" fillId="0" borderId="1" xfId="0" applyFont="1" applyBorder="1" applyAlignment="1">
      <alignment vertical="center"/>
    </xf>
    <xf numFmtId="0" fontId="18" fillId="0" borderId="1" xfId="0" applyNumberFormat="1" applyFont="1" applyBorder="1" applyAlignment="1">
      <alignment vertical="center"/>
    </xf>
    <xf numFmtId="0" fontId="0" fillId="0" borderId="1" xfId="0" applyFont="1" applyBorder="1" applyAlignment="1"/>
    <xf numFmtId="0" fontId="0" fillId="4" borderId="1" xfId="0" applyNumberFormat="1" applyFont="1" applyFill="1" applyBorder="1" applyAlignment="1">
      <alignment horizontal="center" vertical="center"/>
    </xf>
    <xf numFmtId="0" fontId="36" fillId="0" borderId="9" xfId="13" applyFont="1" applyFill="1" applyBorder="1" applyAlignment="1">
      <alignment horizontal="center"/>
    </xf>
    <xf numFmtId="0" fontId="20" fillId="0" borderId="9" xfId="13" applyFont="1" applyFill="1" applyBorder="1" applyAlignment="1"/>
    <xf numFmtId="0" fontId="9" fillId="0" borderId="1" xfId="0" applyFont="1" applyFill="1" applyBorder="1"/>
    <xf numFmtId="0" fontId="9" fillId="5" borderId="8" xfId="7" applyFont="1" applyFill="1" applyBorder="1" applyAlignment="1">
      <alignment horizontal="right"/>
    </xf>
    <xf numFmtId="0" fontId="9" fillId="5" borderId="0" xfId="7" applyFont="1" applyFill="1" applyBorder="1" applyAlignment="1">
      <alignment horizontal="right"/>
    </xf>
    <xf numFmtId="0" fontId="9" fillId="0" borderId="0" xfId="16" applyFont="1" applyAlignment="1"/>
    <xf numFmtId="0" fontId="30" fillId="0" borderId="0" xfId="16" applyFont="1" applyBorder="1"/>
    <xf numFmtId="0" fontId="18" fillId="0" borderId="0" xfId="16" applyFont="1" applyFill="1" applyBorder="1" applyAlignment="1">
      <alignment horizontal="right"/>
    </xf>
    <xf numFmtId="0" fontId="9" fillId="0" borderId="0" xfId="16" applyFont="1" applyAlignment="1">
      <alignment horizontal="left"/>
    </xf>
    <xf numFmtId="0" fontId="18" fillId="0" borderId="0" xfId="16" applyFont="1" applyAlignment="1">
      <alignment horizontal="right"/>
    </xf>
    <xf numFmtId="0" fontId="9" fillId="0" borderId="8" xfId="16" applyFont="1" applyBorder="1"/>
    <xf numFmtId="0" fontId="9" fillId="0" borderId="42" xfId="16" applyFont="1" applyBorder="1"/>
    <xf numFmtId="0" fontId="9" fillId="0" borderId="43" xfId="16" applyFont="1" applyBorder="1"/>
    <xf numFmtId="0" fontId="9" fillId="0" borderId="45" xfId="16" applyFont="1" applyBorder="1" applyAlignment="1">
      <alignment horizontal="left"/>
    </xf>
    <xf numFmtId="0" fontId="9" fillId="0" borderId="46" xfId="16" applyFont="1" applyBorder="1"/>
    <xf numFmtId="0" fontId="9" fillId="0" borderId="47" xfId="16" applyFont="1" applyBorder="1"/>
    <xf numFmtId="0" fontId="9" fillId="0" borderId="45" xfId="16" applyFont="1" applyBorder="1"/>
    <xf numFmtId="0" fontId="9" fillId="0" borderId="0" xfId="16" applyFont="1" applyBorder="1" applyAlignment="1">
      <alignment horizontal="left"/>
    </xf>
    <xf numFmtId="0" fontId="9" fillId="0" borderId="2" xfId="16" applyFont="1" applyBorder="1"/>
    <xf numFmtId="0" fontId="9" fillId="0" borderId="44" xfId="16" applyFont="1" applyBorder="1"/>
    <xf numFmtId="0" fontId="9" fillId="0" borderId="2" xfId="16" applyFont="1" applyBorder="1" applyAlignment="1">
      <alignment horizontal="left"/>
    </xf>
    <xf numFmtId="0" fontId="9" fillId="0" borderId="49" xfId="16" applyFont="1" applyBorder="1"/>
    <xf numFmtId="0" fontId="18" fillId="0" borderId="50" xfId="16" applyFont="1" applyBorder="1"/>
    <xf numFmtId="0" fontId="9" fillId="0" borderId="50" xfId="16" applyFont="1" applyBorder="1"/>
    <xf numFmtId="0" fontId="9" fillId="0" borderId="48" xfId="16" applyFont="1" applyBorder="1"/>
    <xf numFmtId="0" fontId="9" fillId="0" borderId="42" xfId="16" applyFont="1" applyBorder="1" applyAlignment="1">
      <alignment horizontal="left"/>
    </xf>
    <xf numFmtId="0" fontId="18" fillId="0" borderId="0" xfId="16" applyFont="1" applyBorder="1"/>
    <xf numFmtId="0" fontId="30" fillId="0" borderId="0" xfId="16" applyFont="1"/>
    <xf numFmtId="0" fontId="9" fillId="0" borderId="0" xfId="16" applyFont="1" applyFill="1" applyBorder="1" applyAlignment="1">
      <alignment horizontal="left"/>
    </xf>
    <xf numFmtId="0" fontId="9" fillId="0" borderId="8" xfId="16" applyFont="1" applyBorder="1" applyAlignment="1">
      <alignment horizontal="left"/>
    </xf>
    <xf numFmtId="0" fontId="9" fillId="0" borderId="46" xfId="16" applyFont="1" applyBorder="1" applyAlignment="1">
      <alignment horizontal="left"/>
    </xf>
    <xf numFmtId="0" fontId="9" fillId="0" borderId="43" xfId="16" applyFont="1" applyBorder="1" applyAlignment="1">
      <alignment horizontal="left"/>
    </xf>
    <xf numFmtId="0" fontId="9" fillId="0" borderId="44" xfId="16" applyFont="1" applyBorder="1" applyAlignment="1">
      <alignment horizontal="left"/>
    </xf>
    <xf numFmtId="0" fontId="9" fillId="0" borderId="47" xfId="16" applyFont="1" applyBorder="1" applyAlignment="1">
      <alignment horizontal="left"/>
    </xf>
    <xf numFmtId="0" fontId="9" fillId="0" borderId="49" xfId="16" applyFont="1" applyBorder="1" applyAlignment="1">
      <alignment horizontal="left"/>
    </xf>
    <xf numFmtId="0" fontId="9" fillId="0" borderId="48" xfId="16" applyFont="1" applyBorder="1" applyAlignment="1">
      <alignment horizontal="left"/>
    </xf>
    <xf numFmtId="17" fontId="30" fillId="0" borderId="0" xfId="16" applyNumberFormat="1" applyFont="1"/>
    <xf numFmtId="0" fontId="0" fillId="0" borderId="0" xfId="16" applyFont="1"/>
    <xf numFmtId="0" fontId="0" fillId="0" borderId="1" xfId="8" applyFont="1" applyFill="1" applyBorder="1" applyAlignment="1"/>
    <xf numFmtId="0" fontId="0" fillId="0" borderId="1" xfId="16" applyFont="1" applyFill="1" applyBorder="1" applyAlignment="1"/>
    <xf numFmtId="0" fontId="0" fillId="0" borderId="1" xfId="8" applyFont="1" applyFill="1" applyBorder="1"/>
    <xf numFmtId="0" fontId="0" fillId="0" borderId="1" xfId="16" applyFont="1" applyFill="1" applyBorder="1"/>
    <xf numFmtId="0" fontId="0" fillId="0" borderId="0" xfId="16" applyFont="1" applyFill="1" applyBorder="1" applyAlignment="1"/>
    <xf numFmtId="49" fontId="9" fillId="0" borderId="0" xfId="16" applyNumberFormat="1" applyFont="1" applyFill="1" applyBorder="1" applyAlignment="1">
      <alignment horizontal="center"/>
    </xf>
    <xf numFmtId="0" fontId="9" fillId="0" borderId="0" xfId="16" applyFont="1" applyFill="1" applyBorder="1" applyAlignment="1"/>
    <xf numFmtId="0" fontId="9" fillId="0" borderId="45" xfId="16" applyFont="1" applyFill="1" applyBorder="1" applyAlignment="1">
      <alignment horizontal="left"/>
    </xf>
    <xf numFmtId="0" fontId="9" fillId="21" borderId="1" xfId="16" applyFont="1" applyFill="1" applyBorder="1" applyAlignment="1">
      <alignment horizontal="center"/>
    </xf>
    <xf numFmtId="0" fontId="0" fillId="0" borderId="0" xfId="11" applyFont="1" applyAlignment="1">
      <alignment horizontal="left"/>
    </xf>
    <xf numFmtId="0" fontId="0" fillId="0" borderId="0" xfId="11" applyFont="1" applyBorder="1" applyAlignment="1">
      <alignment horizontal="left"/>
    </xf>
    <xf numFmtId="0" fontId="0" fillId="0" borderId="3" xfId="6" applyFont="1" applyBorder="1"/>
    <xf numFmtId="0" fontId="18" fillId="22" borderId="0" xfId="6" applyFont="1" applyFill="1" applyAlignment="1"/>
    <xf numFmtId="0" fontId="0" fillId="22" borderId="0" xfId="0" applyFont="1" applyFill="1"/>
    <xf numFmtId="0" fontId="18" fillId="0" borderId="0" xfId="6" applyFont="1" applyAlignment="1">
      <alignment horizontal="center"/>
    </xf>
    <xf numFmtId="0" fontId="18" fillId="0" borderId="0" xfId="6" applyFont="1" applyAlignment="1">
      <alignment horizontal="right"/>
    </xf>
    <xf numFmtId="0" fontId="9" fillId="0" borderId="1" xfId="6" applyFont="1" applyBorder="1" applyAlignment="1">
      <alignment horizontal="center"/>
    </xf>
    <xf numFmtId="49" fontId="9" fillId="0" borderId="1" xfId="6" applyNumberFormat="1" applyFont="1" applyBorder="1" applyAlignment="1">
      <alignment horizontal="center"/>
    </xf>
    <xf numFmtId="0" fontId="2" fillId="0" borderId="1" xfId="6" applyFont="1" applyFill="1" applyBorder="1"/>
    <xf numFmtId="0" fontId="2" fillId="0" borderId="1" xfId="6" applyFont="1" applyBorder="1"/>
    <xf numFmtId="0" fontId="9" fillId="0" borderId="0" xfId="6" applyFont="1" applyBorder="1"/>
    <xf numFmtId="0" fontId="9" fillId="0" borderId="0" xfId="6" applyFont="1" applyBorder="1" applyAlignment="1">
      <alignment horizontal="center"/>
    </xf>
    <xf numFmtId="49" fontId="9" fillId="0" borderId="0" xfId="6" applyNumberFormat="1" applyFont="1" applyBorder="1" applyAlignment="1">
      <alignment horizontal="center"/>
    </xf>
    <xf numFmtId="0" fontId="9" fillId="0" borderId="0" xfId="11" applyFont="1" applyFill="1" applyBorder="1" applyAlignment="1"/>
    <xf numFmtId="0" fontId="18" fillId="22" borderId="0" xfId="6" applyFont="1" applyFill="1"/>
    <xf numFmtId="0" fontId="18" fillId="0" borderId="0" xfId="6" applyFont="1" applyFill="1" applyAlignment="1">
      <alignment horizontal="right"/>
    </xf>
    <xf numFmtId="0" fontId="18" fillId="0" borderId="0" xfId="0" applyFont="1" applyFill="1" applyBorder="1"/>
    <xf numFmtId="0" fontId="30" fillId="0" borderId="0" xfId="6" applyFont="1" applyAlignment="1"/>
    <xf numFmtId="0" fontId="18" fillId="0" borderId="0" xfId="6" applyFont="1" applyBorder="1" applyAlignment="1">
      <alignment horizontal="center"/>
    </xf>
    <xf numFmtId="49" fontId="18" fillId="0" borderId="0" xfId="6" applyNumberFormat="1" applyFont="1" applyBorder="1" applyAlignment="1">
      <alignment horizontal="center"/>
    </xf>
    <xf numFmtId="0" fontId="9" fillId="0" borderId="0" xfId="6" applyFont="1" applyAlignment="1">
      <alignment horizontal="right"/>
    </xf>
    <xf numFmtId="0" fontId="18" fillId="0" borderId="0" xfId="6" applyFont="1" applyBorder="1" applyAlignment="1">
      <alignment horizontal="right"/>
    </xf>
    <xf numFmtId="0" fontId="9" fillId="0" borderId="1" xfId="6" applyNumberFormat="1" applyFont="1" applyFill="1" applyBorder="1" applyAlignment="1">
      <alignment horizontal="center"/>
    </xf>
    <xf numFmtId="0" fontId="9" fillId="0" borderId="43" xfId="8" applyFont="1" applyFill="1" applyBorder="1" applyAlignment="1"/>
    <xf numFmtId="0" fontId="9" fillId="0" borderId="47" xfId="11" applyFont="1" applyBorder="1" applyAlignment="1">
      <alignment horizontal="left"/>
    </xf>
    <xf numFmtId="0" fontId="9" fillId="0" borderId="8" xfId="11" applyFont="1" applyBorder="1" applyAlignment="1">
      <alignment horizontal="left"/>
    </xf>
    <xf numFmtId="0" fontId="9" fillId="0" borderId="48" xfId="11" applyFont="1" applyFill="1" applyBorder="1" applyAlignment="1"/>
    <xf numFmtId="0" fontId="0" fillId="0" borderId="50" xfId="0" applyFont="1" applyBorder="1"/>
    <xf numFmtId="0" fontId="0" fillId="0" borderId="48" xfId="0" applyFont="1" applyBorder="1"/>
    <xf numFmtId="0" fontId="9" fillId="0" borderId="5" xfId="11" applyFont="1" applyBorder="1" applyAlignment="1">
      <alignment horizontal="left"/>
    </xf>
    <xf numFmtId="0" fontId="9" fillId="0" borderId="7" xfId="11" applyFont="1" applyBorder="1" applyAlignment="1"/>
    <xf numFmtId="0" fontId="9" fillId="0" borderId="2" xfId="11" applyFont="1" applyFill="1" applyBorder="1" applyAlignment="1">
      <alignment horizontal="left"/>
    </xf>
    <xf numFmtId="0" fontId="2" fillId="0" borderId="43" xfId="6" applyFont="1" applyFill="1" applyBorder="1"/>
    <xf numFmtId="0" fontId="9" fillId="0" borderId="43" xfId="6" applyNumberFormat="1" applyFont="1" applyFill="1" applyBorder="1" applyAlignment="1">
      <alignment horizontal="center"/>
    </xf>
    <xf numFmtId="0" fontId="9" fillId="0" borderId="43" xfId="6" applyFont="1" applyFill="1" applyBorder="1" applyAlignment="1">
      <alignment horizontal="center"/>
    </xf>
    <xf numFmtId="0" fontId="18" fillId="0" borderId="1" xfId="6" applyFont="1" applyFill="1" applyBorder="1" applyAlignment="1">
      <alignment horizontal="center"/>
    </xf>
    <xf numFmtId="0" fontId="0" fillId="0" borderId="1" xfId="0" applyFont="1" applyFill="1" applyBorder="1"/>
    <xf numFmtId="0" fontId="9" fillId="0" borderId="1" xfId="6" applyFont="1" applyFill="1" applyBorder="1" applyAlignment="1">
      <alignment horizontal="center"/>
    </xf>
    <xf numFmtId="0" fontId="9" fillId="0" borderId="1" xfId="6" applyFont="1" applyFill="1" applyBorder="1"/>
    <xf numFmtId="0" fontId="0" fillId="0" borderId="1" xfId="6" applyFont="1" applyBorder="1"/>
    <xf numFmtId="49" fontId="18" fillId="0" borderId="1" xfId="6" applyNumberFormat="1" applyFont="1" applyFill="1" applyBorder="1" applyAlignment="1"/>
    <xf numFmtId="0" fontId="54" fillId="0" borderId="0" xfId="0" applyFont="1" applyAlignment="1"/>
    <xf numFmtId="0" fontId="29" fillId="0" borderId="0" xfId="0" applyFont="1" applyAlignment="1">
      <alignment horizontal="right"/>
    </xf>
    <xf numFmtId="0" fontId="10" fillId="0" borderId="0" xfId="1" applyAlignment="1">
      <alignment horizontal="right"/>
    </xf>
    <xf numFmtId="0" fontId="44" fillId="0" borderId="0" xfId="16" applyFont="1"/>
    <xf numFmtId="0" fontId="18" fillId="0" borderId="51" xfId="9" applyFont="1" applyFill="1" applyBorder="1" applyAlignment="1">
      <alignment horizontal="center" vertical="center" textRotation="90"/>
    </xf>
    <xf numFmtId="0" fontId="9" fillId="0" borderId="30" xfId="9" applyFont="1" applyBorder="1" applyAlignment="1"/>
    <xf numFmtId="0" fontId="0" fillId="0" borderId="18" xfId="9" applyFont="1" applyBorder="1" applyAlignment="1"/>
    <xf numFmtId="0" fontId="9" fillId="0" borderId="52" xfId="14" applyFont="1" applyBorder="1"/>
    <xf numFmtId="0" fontId="9" fillId="9" borderId="14" xfId="9" applyFont="1" applyFill="1" applyBorder="1" applyAlignment="1"/>
    <xf numFmtId="0" fontId="9" fillId="9" borderId="0" xfId="14" applyFont="1" applyFill="1" applyBorder="1"/>
    <xf numFmtId="0" fontId="9" fillId="9" borderId="13" xfId="14" applyFont="1" applyFill="1" applyBorder="1" applyAlignment="1">
      <alignment horizontal="center"/>
    </xf>
    <xf numFmtId="0" fontId="9" fillId="9" borderId="1" xfId="14" applyFont="1" applyFill="1" applyBorder="1" applyAlignment="1">
      <alignment horizontal="center"/>
    </xf>
    <xf numFmtId="0" fontId="9" fillId="9" borderId="14" xfId="14" applyFont="1" applyFill="1" applyBorder="1" applyAlignment="1">
      <alignment horizontal="center"/>
    </xf>
    <xf numFmtId="0" fontId="9" fillId="9" borderId="13" xfId="9" applyFont="1" applyFill="1" applyBorder="1" applyAlignment="1"/>
    <xf numFmtId="0" fontId="9" fillId="18" borderId="14" xfId="9" applyFont="1" applyFill="1" applyBorder="1" applyAlignment="1"/>
    <xf numFmtId="0" fontId="9" fillId="18" borderId="0" xfId="14" applyFont="1" applyFill="1" applyBorder="1"/>
    <xf numFmtId="0" fontId="9" fillId="18" borderId="13" xfId="14" applyFont="1" applyFill="1" applyBorder="1" applyAlignment="1">
      <alignment horizontal="center"/>
    </xf>
    <xf numFmtId="0" fontId="9" fillId="18" borderId="1" xfId="14" applyFont="1" applyFill="1" applyBorder="1" applyAlignment="1">
      <alignment horizontal="center"/>
    </xf>
    <xf numFmtId="0" fontId="9" fillId="18" borderId="14" xfId="14" applyFont="1" applyFill="1" applyBorder="1" applyAlignment="1">
      <alignment horizontal="center"/>
    </xf>
    <xf numFmtId="0" fontId="9" fillId="18" borderId="53" xfId="14" applyFont="1" applyFill="1" applyBorder="1" applyAlignment="1"/>
    <xf numFmtId="0" fontId="9" fillId="18" borderId="13" xfId="14" applyFont="1" applyFill="1" applyBorder="1" applyAlignment="1">
      <alignment horizontal="left"/>
    </xf>
    <xf numFmtId="0" fontId="9" fillId="18" borderId="13" xfId="9" applyFont="1" applyFill="1" applyBorder="1" applyAlignment="1">
      <alignment horizontal="left"/>
    </xf>
    <xf numFmtId="0" fontId="9" fillId="0" borderId="0" xfId="14" applyFont="1" applyFill="1"/>
    <xf numFmtId="0" fontId="9" fillId="18" borderId="13" xfId="9" applyFont="1" applyFill="1" applyBorder="1" applyAlignment="1"/>
    <xf numFmtId="0" fontId="9" fillId="18" borderId="13" xfId="14" applyFont="1" applyFill="1" applyBorder="1" applyAlignment="1"/>
    <xf numFmtId="0" fontId="9" fillId="23" borderId="14" xfId="9" applyFont="1" applyFill="1" applyBorder="1" applyAlignment="1"/>
    <xf numFmtId="0" fontId="9" fillId="23" borderId="13" xfId="14" applyFont="1" applyFill="1" applyBorder="1" applyAlignment="1">
      <alignment horizontal="center"/>
    </xf>
    <xf numFmtId="0" fontId="9" fillId="23" borderId="1" xfId="14" applyFont="1" applyFill="1" applyBorder="1" applyAlignment="1">
      <alignment horizontal="center"/>
    </xf>
    <xf numFmtId="0" fontId="9" fillId="24" borderId="14" xfId="14" applyFont="1" applyFill="1" applyBorder="1" applyAlignment="1">
      <alignment horizontal="center"/>
    </xf>
    <xf numFmtId="0" fontId="9" fillId="23" borderId="14" xfId="14" applyFont="1" applyFill="1" applyBorder="1" applyAlignment="1">
      <alignment horizontal="center"/>
    </xf>
    <xf numFmtId="0" fontId="9" fillId="23" borderId="13" xfId="14" applyFont="1" applyFill="1" applyBorder="1" applyAlignment="1"/>
    <xf numFmtId="0" fontId="9" fillId="23" borderId="13" xfId="9" applyFont="1" applyFill="1" applyBorder="1" applyAlignment="1"/>
    <xf numFmtId="0" fontId="9" fillId="23" borderId="53" xfId="14" applyFont="1" applyFill="1" applyBorder="1" applyAlignment="1">
      <alignment horizontal="left"/>
    </xf>
    <xf numFmtId="0" fontId="18" fillId="23" borderId="14" xfId="14" applyFont="1" applyFill="1" applyBorder="1" applyAlignment="1">
      <alignment horizontal="center"/>
    </xf>
    <xf numFmtId="0" fontId="9" fillId="23" borderId="17" xfId="9" applyFont="1" applyFill="1" applyBorder="1" applyAlignment="1"/>
    <xf numFmtId="0" fontId="9" fillId="23" borderId="17" xfId="14" applyFont="1" applyFill="1" applyBorder="1" applyAlignment="1"/>
    <xf numFmtId="0" fontId="9" fillId="23" borderId="15" xfId="14" applyFont="1" applyFill="1" applyBorder="1" applyAlignment="1">
      <alignment horizontal="center"/>
    </xf>
    <xf numFmtId="0" fontId="9" fillId="23" borderId="10" xfId="14" applyFont="1" applyFill="1" applyBorder="1" applyAlignment="1">
      <alignment horizontal="center"/>
    </xf>
    <xf numFmtId="0" fontId="9" fillId="23" borderId="16" xfId="14" applyFont="1" applyFill="1" applyBorder="1" applyAlignment="1">
      <alignment horizontal="center"/>
    </xf>
    <xf numFmtId="0" fontId="9" fillId="24" borderId="17" xfId="14" applyFont="1" applyFill="1" applyBorder="1" applyAlignment="1">
      <alignment horizontal="center"/>
    </xf>
    <xf numFmtId="0" fontId="9" fillId="0" borderId="18" xfId="14" applyFont="1" applyBorder="1" applyAlignment="1"/>
    <xf numFmtId="0" fontId="18" fillId="0" borderId="18" xfId="9" applyFont="1" applyBorder="1" applyAlignment="1"/>
    <xf numFmtId="0" fontId="9" fillId="25" borderId="14" xfId="9" applyFont="1" applyFill="1" applyBorder="1" applyAlignment="1"/>
    <xf numFmtId="0" fontId="9" fillId="25" borderId="13" xfId="14" applyFont="1" applyFill="1" applyBorder="1" applyAlignment="1"/>
    <xf numFmtId="0" fontId="9" fillId="25" borderId="13" xfId="14" applyFont="1" applyFill="1" applyBorder="1" applyAlignment="1">
      <alignment horizontal="center"/>
    </xf>
    <xf numFmtId="0" fontId="9" fillId="22" borderId="1" xfId="14" applyFont="1" applyFill="1" applyBorder="1" applyAlignment="1">
      <alignment horizontal="center"/>
    </xf>
    <xf numFmtId="0" fontId="9" fillId="25" borderId="1" xfId="14" applyFont="1" applyFill="1" applyBorder="1" applyAlignment="1">
      <alignment horizontal="center"/>
    </xf>
    <xf numFmtId="0" fontId="9" fillId="25" borderId="9" xfId="14" applyFont="1" applyFill="1" applyBorder="1" applyAlignment="1">
      <alignment horizontal="center"/>
    </xf>
    <xf numFmtId="0" fontId="9" fillId="25" borderId="14" xfId="14" applyFont="1" applyFill="1" applyBorder="1" applyAlignment="1">
      <alignment horizontal="center"/>
    </xf>
    <xf numFmtId="0" fontId="9" fillId="25" borderId="13" xfId="9" applyFont="1" applyFill="1" applyBorder="1" applyAlignment="1"/>
    <xf numFmtId="0" fontId="9" fillId="0" borderId="53" xfId="14" applyFont="1" applyBorder="1" applyAlignment="1"/>
    <xf numFmtId="0" fontId="9" fillId="0" borderId="14" xfId="9" applyFont="1" applyFill="1" applyBorder="1" applyAlignment="1"/>
    <xf numFmtId="0" fontId="9" fillId="25" borderId="14" xfId="14" applyFont="1" applyFill="1" applyBorder="1" applyAlignment="1"/>
    <xf numFmtId="0" fontId="9" fillId="0" borderId="17" xfId="9" applyFont="1" applyFill="1" applyBorder="1" applyAlignment="1"/>
    <xf numFmtId="0" fontId="9" fillId="0" borderId="15" xfId="14" applyFont="1" applyFill="1" applyBorder="1" applyAlignment="1"/>
    <xf numFmtId="0" fontId="9" fillId="0" borderId="15" xfId="14" applyFont="1" applyFill="1" applyBorder="1" applyAlignment="1">
      <alignment horizontal="center"/>
    </xf>
    <xf numFmtId="0" fontId="9" fillId="0" borderId="10" xfId="14" applyFont="1" applyFill="1" applyBorder="1" applyAlignment="1">
      <alignment horizontal="center"/>
    </xf>
    <xf numFmtId="0" fontId="9" fillId="0" borderId="16" xfId="14" applyFont="1" applyFill="1" applyBorder="1" applyAlignment="1">
      <alignment horizontal="center"/>
    </xf>
    <xf numFmtId="0" fontId="0" fillId="0" borderId="18" xfId="14" applyFont="1" applyBorder="1" applyAlignment="1"/>
    <xf numFmtId="0" fontId="18" fillId="0" borderId="18" xfId="9" applyFont="1" applyFill="1" applyBorder="1" applyAlignment="1">
      <alignment horizontal="center"/>
    </xf>
    <xf numFmtId="0" fontId="9" fillId="9" borderId="14" xfId="14" applyFont="1" applyFill="1" applyBorder="1" applyAlignment="1"/>
    <xf numFmtId="0" fontId="9" fillId="9" borderId="20" xfId="14" applyFont="1" applyFill="1" applyBorder="1" applyAlignment="1"/>
    <xf numFmtId="0" fontId="9" fillId="9" borderId="1" xfId="9" applyFont="1" applyFill="1" applyBorder="1" applyAlignment="1">
      <alignment horizontal="center"/>
    </xf>
    <xf numFmtId="0" fontId="9" fillId="9" borderId="9" xfId="9" applyFont="1" applyFill="1" applyBorder="1" applyAlignment="1">
      <alignment horizontal="center"/>
    </xf>
    <xf numFmtId="0" fontId="9" fillId="9" borderId="13" xfId="9" applyFont="1" applyFill="1" applyBorder="1" applyAlignment="1">
      <alignment horizontal="center"/>
    </xf>
    <xf numFmtId="0" fontId="9" fillId="21" borderId="14" xfId="14" applyFont="1" applyFill="1" applyBorder="1" applyAlignment="1">
      <alignment horizontal="center"/>
    </xf>
    <xf numFmtId="0" fontId="18" fillId="9" borderId="14" xfId="14" applyFont="1" applyFill="1" applyBorder="1" applyAlignment="1">
      <alignment horizontal="center"/>
    </xf>
    <xf numFmtId="0" fontId="9" fillId="9" borderId="13" xfId="14" applyFont="1" applyFill="1" applyBorder="1" applyAlignment="1">
      <alignment horizontal="left"/>
    </xf>
    <xf numFmtId="0" fontId="9" fillId="9" borderId="13" xfId="9" applyFont="1" applyFill="1" applyBorder="1" applyAlignment="1">
      <alignment horizontal="left"/>
    </xf>
    <xf numFmtId="0" fontId="9" fillId="23" borderId="14" xfId="14" applyFont="1" applyFill="1" applyBorder="1" applyAlignment="1"/>
    <xf numFmtId="0" fontId="9" fillId="23" borderId="13" xfId="9" applyFont="1" applyFill="1" applyBorder="1" applyAlignment="1">
      <alignment horizontal="left"/>
    </xf>
    <xf numFmtId="0" fontId="9" fillId="23" borderId="13" xfId="9" applyFont="1" applyFill="1" applyBorder="1" applyAlignment="1">
      <alignment horizontal="center"/>
    </xf>
    <xf numFmtId="0" fontId="9" fillId="23" borderId="1" xfId="9" applyFont="1" applyFill="1" applyBorder="1" applyAlignment="1">
      <alignment horizontal="center"/>
    </xf>
    <xf numFmtId="0" fontId="9" fillId="23" borderId="9" xfId="9" applyFont="1" applyFill="1" applyBorder="1" applyAlignment="1">
      <alignment horizontal="center"/>
    </xf>
    <xf numFmtId="0" fontId="9" fillId="23" borderId="13" xfId="14" applyFont="1" applyFill="1" applyBorder="1" applyAlignment="1">
      <alignment horizontal="left"/>
    </xf>
    <xf numFmtId="0" fontId="9" fillId="0" borderId="18" xfId="14" applyFont="1" applyFill="1" applyBorder="1" applyAlignment="1">
      <alignment horizontal="center"/>
    </xf>
    <xf numFmtId="0" fontId="9" fillId="25" borderId="20" xfId="14" applyFont="1" applyFill="1" applyBorder="1" applyAlignment="1"/>
    <xf numFmtId="0" fontId="9" fillId="25" borderId="13" xfId="9" applyFont="1" applyFill="1" applyBorder="1" applyAlignment="1">
      <alignment horizontal="center"/>
    </xf>
    <xf numFmtId="0" fontId="9" fillId="25" borderId="1" xfId="9" applyFont="1" applyFill="1" applyBorder="1" applyAlignment="1">
      <alignment horizontal="center"/>
    </xf>
    <xf numFmtId="0" fontId="9" fillId="25" borderId="9" xfId="9" applyFont="1" applyFill="1" applyBorder="1" applyAlignment="1">
      <alignment horizontal="center"/>
    </xf>
    <xf numFmtId="0" fontId="9" fillId="22" borderId="14" xfId="14" applyFont="1" applyFill="1" applyBorder="1" applyAlignment="1">
      <alignment horizontal="center"/>
    </xf>
    <xf numFmtId="0" fontId="9" fillId="25" borderId="14" xfId="9" applyFont="1" applyFill="1" applyBorder="1" applyAlignment="1">
      <alignment horizontal="center"/>
    </xf>
    <xf numFmtId="0" fontId="0" fillId="25" borderId="13" xfId="9" applyFont="1" applyFill="1" applyBorder="1" applyAlignment="1"/>
    <xf numFmtId="0" fontId="22" fillId="25" borderId="13" xfId="9" applyFont="1" applyFill="1" applyBorder="1" applyAlignment="1">
      <alignment horizontal="left"/>
    </xf>
    <xf numFmtId="0" fontId="9" fillId="25" borderId="13" xfId="9" applyFont="1" applyFill="1" applyBorder="1" applyAlignment="1">
      <alignment horizontal="left"/>
    </xf>
    <xf numFmtId="0" fontId="0" fillId="0" borderId="13" xfId="14" applyFont="1" applyBorder="1" applyAlignment="1">
      <alignment horizontal="left"/>
    </xf>
    <xf numFmtId="0" fontId="0" fillId="0" borderId="15" xfId="14" applyFont="1" applyBorder="1" applyAlignment="1">
      <alignment horizontal="left"/>
    </xf>
    <xf numFmtId="0" fontId="9" fillId="22" borderId="17" xfId="14" applyFont="1" applyFill="1" applyBorder="1" applyAlignment="1">
      <alignment horizontal="center"/>
    </xf>
    <xf numFmtId="0" fontId="9" fillId="0" borderId="17" xfId="9" applyFont="1" applyFill="1" applyBorder="1" applyAlignment="1">
      <alignment horizontal="center"/>
    </xf>
    <xf numFmtId="0" fontId="0" fillId="25" borderId="13" xfId="14" applyFont="1" applyFill="1" applyBorder="1" applyAlignment="1"/>
    <xf numFmtId="0" fontId="0" fillId="22" borderId="1" xfId="14" applyFont="1" applyFill="1" applyBorder="1" applyAlignment="1">
      <alignment horizontal="center"/>
    </xf>
    <xf numFmtId="0" fontId="0" fillId="0" borderId="0" xfId="14" applyFont="1"/>
    <xf numFmtId="0" fontId="22" fillId="25" borderId="13" xfId="14" applyFont="1" applyFill="1" applyBorder="1" applyAlignment="1"/>
    <xf numFmtId="0" fontId="18" fillId="0" borderId="54" xfId="9" applyFont="1" applyBorder="1" applyAlignment="1"/>
    <xf numFmtId="0" fontId="9" fillId="0" borderId="15" xfId="14" applyFont="1" applyBorder="1" applyAlignment="1">
      <alignment horizontal="left"/>
    </xf>
    <xf numFmtId="0" fontId="9" fillId="0" borderId="0" xfId="14" applyFont="1" applyBorder="1" applyAlignment="1"/>
    <xf numFmtId="0" fontId="9" fillId="0" borderId="0" xfId="9" applyFont="1" applyFill="1" applyBorder="1" applyAlignment="1">
      <alignment horizontal="left"/>
    </xf>
    <xf numFmtId="0" fontId="9" fillId="0" borderId="0" xfId="9" applyFont="1" applyBorder="1" applyAlignment="1">
      <alignment horizontal="center"/>
    </xf>
    <xf numFmtId="0" fontId="9" fillId="0" borderId="0" xfId="14" applyFont="1" applyFill="1" applyBorder="1" applyAlignment="1">
      <alignment horizontal="center"/>
    </xf>
    <xf numFmtId="0" fontId="18" fillId="0" borderId="0" xfId="9" applyFont="1" applyFill="1" applyBorder="1" applyAlignment="1">
      <alignment horizontal="center"/>
    </xf>
    <xf numFmtId="0" fontId="18" fillId="0" borderId="0" xfId="9" applyFont="1" applyFill="1" applyBorder="1" applyAlignment="1">
      <alignment horizontal="right" vertical="center"/>
    </xf>
    <xf numFmtId="0" fontId="9" fillId="0" borderId="1" xfId="9" applyFont="1" applyBorder="1" applyAlignment="1">
      <alignment horizontal="center" vertical="center"/>
    </xf>
    <xf numFmtId="0" fontId="9" fillId="0" borderId="55" xfId="9" applyFont="1" applyBorder="1" applyAlignment="1">
      <alignment horizontal="center" vertical="center"/>
    </xf>
    <xf numFmtId="0" fontId="9" fillId="0" borderId="13" xfId="9" applyFont="1" applyBorder="1" applyAlignment="1">
      <alignment horizontal="center" vertical="center"/>
    </xf>
    <xf numFmtId="166" fontId="9" fillId="0" borderId="1" xfId="9" applyNumberFormat="1" applyFont="1" applyBorder="1" applyAlignment="1">
      <alignment horizontal="center"/>
    </xf>
    <xf numFmtId="166" fontId="9" fillId="0" borderId="55" xfId="9" applyNumberFormat="1" applyFont="1" applyBorder="1" applyAlignment="1">
      <alignment horizontal="center"/>
    </xf>
    <xf numFmtId="166" fontId="9" fillId="0" borderId="13" xfId="9" applyNumberFormat="1" applyFont="1" applyBorder="1" applyAlignment="1">
      <alignment horizontal="center"/>
    </xf>
    <xf numFmtId="0" fontId="0" fillId="0" borderId="0" xfId="14" applyFont="1" applyAlignment="1"/>
    <xf numFmtId="0" fontId="9" fillId="0" borderId="0" xfId="14" applyFont="1" applyAlignment="1">
      <alignment horizontal="right"/>
    </xf>
    <xf numFmtId="0" fontId="9" fillId="0" borderId="9" xfId="14" applyFont="1" applyBorder="1"/>
    <xf numFmtId="0" fontId="18" fillId="0" borderId="4" xfId="14" applyFont="1" applyBorder="1" applyAlignment="1"/>
    <xf numFmtId="0" fontId="9" fillId="0" borderId="56" xfId="14" applyFont="1" applyBorder="1" applyAlignment="1"/>
    <xf numFmtId="0" fontId="9" fillId="0" borderId="4" xfId="14" applyFont="1" applyBorder="1"/>
    <xf numFmtId="0" fontId="9" fillId="0" borderId="12" xfId="14" applyFont="1" applyBorder="1" applyAlignment="1">
      <alignment horizontal="left"/>
    </xf>
    <xf numFmtId="0" fontId="9" fillId="0" borderId="58" xfId="9" applyFont="1" applyFill="1" applyBorder="1" applyAlignment="1">
      <alignment horizontal="left"/>
    </xf>
    <xf numFmtId="0" fontId="9" fillId="0" borderId="59" xfId="9" applyFont="1" applyBorder="1" applyAlignment="1">
      <alignment horizontal="center"/>
    </xf>
    <xf numFmtId="0" fontId="9" fillId="0" borderId="60" xfId="9" applyFont="1" applyBorder="1" applyAlignment="1">
      <alignment horizontal="center"/>
    </xf>
    <xf numFmtId="0" fontId="9" fillId="0" borderId="49" xfId="9" applyFont="1" applyBorder="1" applyAlignment="1">
      <alignment horizontal="center"/>
    </xf>
    <xf numFmtId="0" fontId="9" fillId="0" borderId="55" xfId="9" applyFont="1" applyBorder="1" applyAlignment="1">
      <alignment horizontal="center"/>
    </xf>
    <xf numFmtId="0" fontId="9" fillId="0" borderId="61" xfId="9" applyFont="1" applyBorder="1" applyAlignment="1">
      <alignment horizontal="center"/>
    </xf>
    <xf numFmtId="0" fontId="18" fillId="21" borderId="62" xfId="14" applyFont="1" applyFill="1" applyBorder="1" applyAlignment="1">
      <alignment horizontal="center"/>
    </xf>
    <xf numFmtId="0" fontId="18" fillId="4" borderId="62" xfId="14" applyFont="1" applyFill="1" applyBorder="1" applyAlignment="1">
      <alignment horizontal="center"/>
    </xf>
    <xf numFmtId="0" fontId="9" fillId="24" borderId="62" xfId="14" applyFont="1" applyFill="1" applyBorder="1" applyAlignment="1">
      <alignment horizontal="center"/>
    </xf>
    <xf numFmtId="0" fontId="9" fillId="9" borderId="55" xfId="14" applyFont="1" applyFill="1" applyBorder="1" applyAlignment="1">
      <alignment horizontal="center"/>
    </xf>
    <xf numFmtId="0" fontId="9" fillId="18" borderId="55" xfId="14" applyFont="1" applyFill="1" applyBorder="1" applyAlignment="1">
      <alignment horizontal="center"/>
    </xf>
    <xf numFmtId="0" fontId="9" fillId="23" borderId="55" xfId="14" applyFont="1" applyFill="1" applyBorder="1" applyAlignment="1">
      <alignment horizontal="center"/>
    </xf>
    <xf numFmtId="0" fontId="18" fillId="0" borderId="1" xfId="16" applyFont="1" applyFill="1" applyBorder="1" applyAlignment="1"/>
    <xf numFmtId="0" fontId="9" fillId="0" borderId="0" xfId="14" applyFont="1" applyFill="1" applyAlignment="1"/>
    <xf numFmtId="0" fontId="9" fillId="9" borderId="53" xfId="14" applyFont="1" applyFill="1" applyBorder="1" applyAlignment="1">
      <alignment horizontal="left"/>
    </xf>
    <xf numFmtId="0" fontId="9" fillId="23" borderId="53" xfId="14" applyFont="1" applyFill="1" applyBorder="1" applyAlignment="1"/>
    <xf numFmtId="0" fontId="18" fillId="22" borderId="32" xfId="9" applyFont="1" applyFill="1" applyBorder="1" applyAlignment="1">
      <alignment horizontal="center"/>
    </xf>
    <xf numFmtId="0" fontId="9" fillId="22" borderId="18" xfId="9" applyFont="1" applyFill="1" applyBorder="1" applyAlignment="1"/>
    <xf numFmtId="0" fontId="0" fillId="25" borderId="0" xfId="14" applyFont="1" applyFill="1"/>
    <xf numFmtId="0" fontId="18" fillId="22" borderId="14" xfId="14" applyFont="1" applyFill="1" applyBorder="1" applyAlignment="1">
      <alignment horizontal="center"/>
    </xf>
    <xf numFmtId="0" fontId="0" fillId="25" borderId="53" xfId="14" applyFont="1" applyFill="1" applyBorder="1" applyAlignment="1">
      <alignment horizontal="left"/>
    </xf>
    <xf numFmtId="0" fontId="0" fillId="0" borderId="13" xfId="9" applyFont="1" applyFill="1" applyBorder="1" applyAlignment="1"/>
    <xf numFmtId="0" fontId="18" fillId="0" borderId="14" xfId="14" applyFont="1" applyFill="1" applyBorder="1" applyAlignment="1">
      <alignment horizontal="center"/>
    </xf>
    <xf numFmtId="0" fontId="0" fillId="25" borderId="53" xfId="14" applyFont="1" applyFill="1" applyBorder="1" applyAlignment="1"/>
    <xf numFmtId="0" fontId="18" fillId="25" borderId="14" xfId="14" applyFont="1" applyFill="1" applyBorder="1" applyAlignment="1">
      <alignment horizontal="center"/>
    </xf>
    <xf numFmtId="0" fontId="22" fillId="0" borderId="20" xfId="14" applyFont="1" applyFill="1" applyBorder="1" applyAlignment="1"/>
    <xf numFmtId="0" fontId="9" fillId="0" borderId="20" xfId="14" applyFont="1" applyFill="1" applyBorder="1" applyAlignment="1"/>
    <xf numFmtId="0" fontId="9" fillId="25" borderId="13" xfId="14" applyFont="1" applyFill="1" applyBorder="1" applyAlignment="1">
      <alignment horizontal="left"/>
    </xf>
    <xf numFmtId="0" fontId="0" fillId="25" borderId="13" xfId="14" applyFont="1" applyFill="1" applyBorder="1" applyAlignment="1">
      <alignment horizontal="center"/>
    </xf>
    <xf numFmtId="0" fontId="0" fillId="25" borderId="1" xfId="14" applyFont="1" applyFill="1" applyBorder="1" applyAlignment="1">
      <alignment horizontal="center"/>
    </xf>
    <xf numFmtId="0" fontId="0" fillId="25" borderId="9" xfId="14" applyFont="1" applyFill="1" applyBorder="1" applyAlignment="1">
      <alignment horizontal="center"/>
    </xf>
    <xf numFmtId="0" fontId="0" fillId="0" borderId="13" xfId="9" applyFont="1" applyFill="1" applyBorder="1" applyAlignment="1">
      <alignment horizontal="left"/>
    </xf>
    <xf numFmtId="0" fontId="0" fillId="25" borderId="13" xfId="14" applyFont="1" applyFill="1" applyBorder="1" applyAlignment="1">
      <alignment horizontal="left"/>
    </xf>
    <xf numFmtId="0" fontId="0" fillId="0" borderId="13" xfId="14" applyFont="1" applyFill="1" applyBorder="1" applyAlignment="1"/>
    <xf numFmtId="0" fontId="9" fillId="0" borderId="53" xfId="14" applyFont="1" applyBorder="1" applyAlignment="1">
      <alignment horizontal="left"/>
    </xf>
    <xf numFmtId="0" fontId="0" fillId="0" borderId="53" xfId="14" applyFont="1" applyBorder="1" applyAlignment="1"/>
    <xf numFmtId="0" fontId="9" fillId="25" borderId="17" xfId="9" applyFont="1" applyFill="1" applyBorder="1" applyAlignment="1"/>
    <xf numFmtId="0" fontId="0" fillId="25" borderId="17" xfId="14" applyFont="1" applyFill="1" applyBorder="1" applyAlignment="1"/>
    <xf numFmtId="0" fontId="9" fillId="25" borderId="15" xfId="14" applyFont="1" applyFill="1" applyBorder="1" applyAlignment="1">
      <alignment horizontal="center"/>
    </xf>
    <xf numFmtId="0" fontId="9" fillId="25" borderId="10" xfId="14" applyFont="1" applyFill="1" applyBorder="1" applyAlignment="1">
      <alignment horizontal="center"/>
    </xf>
    <xf numFmtId="0" fontId="9" fillId="25" borderId="16" xfId="14" applyFont="1" applyFill="1" applyBorder="1" applyAlignment="1">
      <alignment horizontal="center"/>
    </xf>
    <xf numFmtId="0" fontId="18" fillId="22" borderId="17" xfId="14" applyFont="1" applyFill="1" applyBorder="1" applyAlignment="1">
      <alignment horizontal="center"/>
    </xf>
    <xf numFmtId="0" fontId="9" fillId="25" borderId="17" xfId="14" applyFont="1" applyFill="1" applyBorder="1" applyAlignment="1">
      <alignment horizontal="center"/>
    </xf>
    <xf numFmtId="0" fontId="9" fillId="22" borderId="18" xfId="9" applyFont="1" applyFill="1" applyBorder="1" applyAlignment="1">
      <alignment horizontal="center"/>
    </xf>
    <xf numFmtId="0" fontId="0" fillId="25" borderId="20" xfId="14" applyFont="1" applyFill="1" applyBorder="1" applyAlignment="1"/>
    <xf numFmtId="0" fontId="9" fillId="0" borderId="14" xfId="14" applyFont="1" applyFill="1" applyBorder="1" applyAlignment="1"/>
    <xf numFmtId="0" fontId="9" fillId="0" borderId="13" xfId="14" applyFont="1" applyFill="1" applyBorder="1" applyAlignment="1">
      <alignment horizontal="left"/>
    </xf>
    <xf numFmtId="0" fontId="9" fillId="0" borderId="13" xfId="9" applyFont="1" applyFill="1" applyBorder="1" applyAlignment="1">
      <alignment horizontal="center"/>
    </xf>
    <xf numFmtId="0" fontId="9" fillId="0" borderId="1" xfId="9" applyFont="1" applyFill="1" applyBorder="1" applyAlignment="1">
      <alignment horizontal="center"/>
    </xf>
    <xf numFmtId="0" fontId="9" fillId="0" borderId="17" xfId="14" applyFont="1" applyFill="1" applyBorder="1" applyAlignment="1"/>
    <xf numFmtId="0" fontId="9" fillId="0" borderId="15" xfId="14" applyFont="1" applyFill="1" applyBorder="1" applyAlignment="1">
      <alignment horizontal="left"/>
    </xf>
    <xf numFmtId="0" fontId="9" fillId="0" borderId="15" xfId="9" applyFont="1" applyFill="1" applyBorder="1" applyAlignment="1">
      <alignment horizontal="center"/>
    </xf>
    <xf numFmtId="0" fontId="9" fillId="0" borderId="10" xfId="9" applyFont="1" applyFill="1" applyBorder="1" applyAlignment="1">
      <alignment horizontal="center"/>
    </xf>
    <xf numFmtId="0" fontId="9" fillId="0" borderId="16" xfId="9" applyFont="1" applyFill="1" applyBorder="1" applyAlignment="1">
      <alignment horizontal="center"/>
    </xf>
    <xf numFmtId="0" fontId="18" fillId="25" borderId="17" xfId="14" applyFont="1" applyFill="1" applyBorder="1" applyAlignment="1">
      <alignment horizontal="center"/>
    </xf>
    <xf numFmtId="0" fontId="9" fillId="22" borderId="18" xfId="14" applyFont="1" applyFill="1" applyBorder="1" applyAlignment="1">
      <alignment horizontal="center"/>
    </xf>
    <xf numFmtId="0" fontId="0" fillId="25" borderId="13" xfId="9" applyFont="1" applyFill="1" applyBorder="1" applyAlignment="1">
      <alignment horizontal="left"/>
    </xf>
    <xf numFmtId="0" fontId="9" fillId="0" borderId="3" xfId="14" applyFont="1" applyBorder="1"/>
    <xf numFmtId="164" fontId="20" fillId="0" borderId="1" xfId="13" applyNumberFormat="1" applyFont="1" applyFill="1" applyBorder="1" applyAlignment="1"/>
    <xf numFmtId="0" fontId="0" fillId="0" borderId="0" xfId="0"/>
    <xf numFmtId="0" fontId="18" fillId="0" borderId="9" xfId="16" applyFont="1" applyFill="1" applyBorder="1" applyAlignment="1"/>
    <xf numFmtId="0" fontId="9" fillId="0" borderId="4" xfId="16" applyNumberFormat="1" applyFont="1" applyFill="1" applyBorder="1" applyAlignment="1">
      <alignment horizontal="center"/>
    </xf>
    <xf numFmtId="0" fontId="18" fillId="0" borderId="1" xfId="16" applyFont="1" applyFill="1" applyBorder="1" applyAlignment="1">
      <alignment horizontal="center"/>
    </xf>
    <xf numFmtId="0" fontId="0" fillId="0" borderId="43" xfId="16" applyFont="1" applyBorder="1"/>
    <xf numFmtId="0" fontId="0" fillId="0" borderId="2" xfId="16" applyFont="1" applyBorder="1" applyAlignment="1">
      <alignment horizontal="left"/>
    </xf>
    <xf numFmtId="0" fontId="0" fillId="0" borderId="43" xfId="16" applyFont="1" applyBorder="1" applyAlignment="1">
      <alignment horizontal="left"/>
    </xf>
    <xf numFmtId="0" fontId="0" fillId="0" borderId="0" xfId="16" applyFont="1" applyBorder="1"/>
    <xf numFmtId="0" fontId="0" fillId="0" borderId="0" xfId="16" applyFont="1" applyFill="1" applyBorder="1" applyAlignment="1">
      <alignment horizontal="left"/>
    </xf>
    <xf numFmtId="0" fontId="0" fillId="0" borderId="0" xfId="16" applyFont="1" applyAlignment="1">
      <alignment horizontal="left"/>
    </xf>
    <xf numFmtId="0" fontId="18" fillId="0" borderId="0" xfId="16" applyFont="1" applyBorder="1" applyAlignment="1">
      <alignment horizontal="right"/>
    </xf>
    <xf numFmtId="0" fontId="18" fillId="0" borderId="0" xfId="16" applyFont="1" applyAlignment="1">
      <alignment horizontal="left"/>
    </xf>
    <xf numFmtId="0" fontId="18" fillId="0" borderId="0" xfId="16" applyFont="1" applyBorder="1" applyAlignment="1">
      <alignment horizontal="left"/>
    </xf>
    <xf numFmtId="0" fontId="18" fillId="0" borderId="2" xfId="16" applyFont="1" applyBorder="1" applyAlignment="1">
      <alignment horizontal="left"/>
    </xf>
    <xf numFmtId="0" fontId="0" fillId="0" borderId="48" xfId="8" applyNumberFormat="1" applyFont="1" applyFill="1" applyBorder="1" applyAlignment="1"/>
    <xf numFmtId="0" fontId="18" fillId="0" borderId="0" xfId="16" applyFont="1" applyFill="1" applyBorder="1" applyAlignment="1">
      <alignment horizontal="center"/>
    </xf>
    <xf numFmtId="0" fontId="9" fillId="0" borderId="50" xfId="16" applyFont="1" applyBorder="1" applyAlignment="1">
      <alignment horizontal="left"/>
    </xf>
    <xf numFmtId="0" fontId="0" fillId="7" borderId="56" xfId="1" applyFont="1" applyFill="1" applyBorder="1" applyAlignment="1"/>
    <xf numFmtId="0" fontId="56" fillId="7" borderId="7" xfId="13" applyFont="1" applyFill="1" applyBorder="1" applyAlignment="1">
      <alignment horizontal="center"/>
    </xf>
    <xf numFmtId="0" fontId="1" fillId="0" borderId="56" xfId="13" applyFont="1" applyBorder="1" applyAlignment="1"/>
    <xf numFmtId="0" fontId="51" fillId="7" borderId="1" xfId="13" applyFont="1" applyFill="1" applyBorder="1" applyAlignment="1"/>
    <xf numFmtId="0" fontId="35" fillId="7" borderId="1" xfId="13" applyFont="1" applyFill="1" applyBorder="1" applyAlignment="1"/>
    <xf numFmtId="0" fontId="56" fillId="7" borderId="1" xfId="13" applyFont="1" applyFill="1" applyBorder="1" applyAlignment="1">
      <alignment horizontal="center"/>
    </xf>
    <xf numFmtId="0" fontId="9" fillId="0" borderId="0" xfId="16" applyFont="1" applyFill="1" applyAlignment="1"/>
    <xf numFmtId="0" fontId="9" fillId="18" borderId="1" xfId="16" applyFont="1" applyFill="1" applyBorder="1" applyAlignment="1">
      <alignment horizontal="center"/>
    </xf>
    <xf numFmtId="0" fontId="0" fillId="0" borderId="45" xfId="16" applyFont="1" applyBorder="1"/>
    <xf numFmtId="0" fontId="30" fillId="0" borderId="0" xfId="16" applyFont="1" applyBorder="1" applyAlignment="1">
      <alignment horizontal="right"/>
    </xf>
    <xf numFmtId="0" fontId="0" fillId="0" borderId="44" xfId="16" applyFont="1" applyBorder="1"/>
    <xf numFmtId="0" fontId="9" fillId="0" borderId="63" xfId="16" applyFont="1" applyBorder="1" applyAlignment="1">
      <alignment horizontal="left"/>
    </xf>
    <xf numFmtId="0" fontId="0" fillId="0" borderId="0" xfId="16" applyFont="1" applyBorder="1" applyAlignment="1">
      <alignment horizontal="left"/>
    </xf>
    <xf numFmtId="0" fontId="0" fillId="0" borderId="8" xfId="0" applyFont="1" applyBorder="1"/>
    <xf numFmtId="0" fontId="9" fillId="4" borderId="0" xfId="16" applyFont="1" applyFill="1" applyAlignment="1">
      <alignment horizontal="left"/>
    </xf>
    <xf numFmtId="0" fontId="9" fillId="4" borderId="0" xfId="16" applyFont="1" applyFill="1" applyBorder="1" applyAlignment="1">
      <alignment horizontal="left"/>
    </xf>
    <xf numFmtId="0" fontId="0" fillId="0" borderId="48" xfId="16" applyFont="1" applyBorder="1"/>
    <xf numFmtId="0" fontId="20" fillId="5" borderId="56" xfId="13" applyFont="1" applyFill="1" applyBorder="1" applyAlignment="1"/>
    <xf numFmtId="0" fontId="37" fillId="5" borderId="56" xfId="13" applyFont="1" applyFill="1" applyBorder="1" applyAlignment="1"/>
    <xf numFmtId="0" fontId="31" fillId="5" borderId="56" xfId="13" applyFont="1" applyFill="1" applyBorder="1" applyAlignment="1"/>
    <xf numFmtId="0" fontId="0" fillId="25" borderId="14" xfId="14" applyFont="1" applyFill="1" applyBorder="1" applyAlignment="1">
      <alignment horizontal="center"/>
    </xf>
    <xf numFmtId="0" fontId="0" fillId="25" borderId="14" xfId="14" applyFont="1" applyFill="1" applyBorder="1"/>
    <xf numFmtId="0" fontId="0" fillId="0" borderId="14" xfId="14" applyFont="1" applyFill="1" applyBorder="1" applyAlignment="1">
      <alignment horizontal="center"/>
    </xf>
    <xf numFmtId="0" fontId="0" fillId="0" borderId="20" xfId="14" applyFont="1" applyFill="1" applyBorder="1" applyAlignment="1"/>
    <xf numFmtId="0" fontId="9" fillId="25" borderId="53" xfId="14" applyFont="1" applyFill="1" applyBorder="1" applyAlignment="1"/>
    <xf numFmtId="0" fontId="0" fillId="0" borderId="9" xfId="14" applyFont="1" applyBorder="1" applyAlignment="1"/>
    <xf numFmtId="0" fontId="18" fillId="0" borderId="9" xfId="14" quotePrefix="1" applyFont="1" applyBorder="1"/>
    <xf numFmtId="0" fontId="18" fillId="0" borderId="4" xfId="14" applyFont="1" applyBorder="1" applyAlignment="1">
      <alignment horizontal="right"/>
    </xf>
    <xf numFmtId="0" fontId="9" fillId="0" borderId="65" xfId="14" applyFont="1" applyBorder="1"/>
    <xf numFmtId="0" fontId="9" fillId="0" borderId="64" xfId="14" applyFont="1" applyBorder="1"/>
    <xf numFmtId="0" fontId="9" fillId="9" borderId="66" xfId="14" applyFont="1" applyFill="1" applyBorder="1" applyAlignment="1">
      <alignment horizontal="center"/>
    </xf>
    <xf numFmtId="0" fontId="9" fillId="18" borderId="66" xfId="14" applyFont="1" applyFill="1" applyBorder="1" applyAlignment="1">
      <alignment horizontal="center"/>
    </xf>
    <xf numFmtId="0" fontId="9" fillId="23" borderId="66" xfId="14" applyFont="1" applyFill="1" applyBorder="1" applyAlignment="1">
      <alignment horizontal="center"/>
    </xf>
    <xf numFmtId="0" fontId="9" fillId="9" borderId="66" xfId="9" applyFont="1" applyFill="1" applyBorder="1" applyAlignment="1">
      <alignment horizontal="center"/>
    </xf>
    <xf numFmtId="0" fontId="9" fillId="23" borderId="66" xfId="9" applyFont="1" applyFill="1" applyBorder="1" applyAlignment="1">
      <alignment horizontal="center"/>
    </xf>
    <xf numFmtId="0" fontId="9" fillId="25" borderId="66" xfId="9" applyFont="1" applyFill="1" applyBorder="1" applyAlignment="1">
      <alignment horizontal="center"/>
    </xf>
    <xf numFmtId="0" fontId="9" fillId="0" borderId="66" xfId="9" applyFont="1" applyBorder="1" applyAlignment="1">
      <alignment horizontal="center"/>
    </xf>
    <xf numFmtId="0" fontId="9" fillId="23" borderId="17" xfId="14" applyFont="1" applyFill="1" applyBorder="1" applyAlignment="1">
      <alignment horizontal="center"/>
    </xf>
    <xf numFmtId="0" fontId="20" fillId="9" borderId="1" xfId="13" applyFont="1" applyFill="1" applyBorder="1" applyAlignment="1">
      <alignment horizontal="center"/>
    </xf>
    <xf numFmtId="0" fontId="2" fillId="0" borderId="68" xfId="13" applyFont="1" applyFill="1" applyBorder="1" applyAlignment="1"/>
    <xf numFmtId="0" fontId="2" fillId="0" borderId="67" xfId="13" applyFont="1" applyBorder="1" applyAlignment="1"/>
    <xf numFmtId="0" fontId="2" fillId="0" borderId="67" xfId="13" applyFont="1" applyFill="1" applyBorder="1" applyAlignment="1"/>
    <xf numFmtId="0" fontId="2" fillId="0" borderId="69" xfId="13" applyFont="1" applyFill="1" applyBorder="1" applyAlignment="1"/>
    <xf numFmtId="0" fontId="2" fillId="0" borderId="67" xfId="13" applyFont="1" applyBorder="1" applyAlignment="1">
      <alignment horizontal="center"/>
    </xf>
    <xf numFmtId="0" fontId="20" fillId="0" borderId="1" xfId="13" applyFont="1" applyFill="1" applyBorder="1" applyAlignment="1">
      <alignment horizontal="center"/>
    </xf>
    <xf numFmtId="0" fontId="39" fillId="0" borderId="1" xfId="13" applyFont="1" applyFill="1" applyBorder="1" applyAlignment="1">
      <alignment horizontal="center"/>
    </xf>
    <xf numFmtId="0" fontId="39" fillId="0" borderId="1" xfId="13" applyFont="1" applyFill="1" applyBorder="1" applyAlignment="1"/>
    <xf numFmtId="0" fontId="20" fillId="5" borderId="68" xfId="13" applyFont="1" applyFill="1" applyBorder="1" applyAlignment="1"/>
    <xf numFmtId="0" fontId="18" fillId="5" borderId="69" xfId="13" applyFont="1" applyFill="1" applyBorder="1" applyAlignment="1">
      <alignment horizontal="right"/>
    </xf>
    <xf numFmtId="0" fontId="18" fillId="0" borderId="1" xfId="6" applyFont="1" applyBorder="1" applyAlignment="1">
      <alignment horizontal="center"/>
    </xf>
    <xf numFmtId="0" fontId="9" fillId="0" borderId="5" xfId="6" applyFont="1" applyFill="1" applyBorder="1" applyAlignment="1">
      <alignment horizontal="center"/>
    </xf>
    <xf numFmtId="49" fontId="9" fillId="0" borderId="45" xfId="6" applyNumberFormat="1" applyFont="1" applyBorder="1" applyAlignment="1"/>
    <xf numFmtId="0" fontId="9" fillId="26" borderId="1" xfId="6" applyFont="1" applyFill="1" applyBorder="1" applyAlignment="1">
      <alignment horizontal="center"/>
    </xf>
    <xf numFmtId="0" fontId="9" fillId="0" borderId="0" xfId="11" applyFont="1" applyFill="1" applyAlignment="1">
      <alignment horizontal="left"/>
    </xf>
    <xf numFmtId="0" fontId="0" fillId="0" borderId="1" xfId="6" applyFont="1" applyFill="1" applyBorder="1"/>
    <xf numFmtId="0" fontId="18" fillId="0" borderId="68" xfId="6" applyNumberFormat="1" applyFont="1" applyFill="1" applyBorder="1" applyAlignment="1">
      <alignment horizontal="center"/>
    </xf>
    <xf numFmtId="0" fontId="18" fillId="0" borderId="68" xfId="6" applyNumberFormat="1" applyFont="1" applyBorder="1" applyAlignment="1">
      <alignment horizontal="center"/>
    </xf>
    <xf numFmtId="0" fontId="18" fillId="0" borderId="69" xfId="6" applyNumberFormat="1" applyFont="1" applyFill="1" applyBorder="1" applyAlignment="1">
      <alignment horizontal="center"/>
    </xf>
    <xf numFmtId="0" fontId="9" fillId="0" borderId="0" xfId="6" applyFont="1" applyFill="1" applyBorder="1"/>
    <xf numFmtId="0" fontId="9" fillId="0" borderId="0" xfId="6" applyFont="1" applyFill="1" applyBorder="1" applyAlignment="1">
      <alignment horizontal="center"/>
    </xf>
    <xf numFmtId="0" fontId="9" fillId="0" borderId="0" xfId="6" applyNumberFormat="1" applyFont="1" applyFill="1" applyBorder="1" applyAlignment="1">
      <alignment horizontal="center"/>
    </xf>
    <xf numFmtId="49" fontId="9" fillId="0" borderId="0" xfId="6" applyNumberFormat="1" applyFont="1" applyBorder="1" applyAlignment="1"/>
    <xf numFmtId="0" fontId="9" fillId="27" borderId="1" xfId="6" applyFont="1" applyFill="1" applyBorder="1" applyAlignment="1">
      <alignment horizontal="center"/>
    </xf>
    <xf numFmtId="0" fontId="9" fillId="0" borderId="68" xfId="6" applyNumberFormat="1" applyFont="1" applyFill="1" applyBorder="1" applyAlignment="1">
      <alignment horizontal="center"/>
    </xf>
    <xf numFmtId="0" fontId="9" fillId="0" borderId="69" xfId="6" applyNumberFormat="1" applyFont="1" applyFill="1" applyBorder="1" applyAlignment="1">
      <alignment horizontal="center"/>
    </xf>
    <xf numFmtId="0" fontId="9" fillId="27" borderId="11" xfId="6" applyFont="1" applyFill="1" applyBorder="1" applyAlignment="1">
      <alignment horizontal="center"/>
    </xf>
    <xf numFmtId="0" fontId="9" fillId="26" borderId="5" xfId="6" applyFont="1" applyFill="1" applyBorder="1" applyAlignment="1">
      <alignment horizontal="center"/>
    </xf>
    <xf numFmtId="0" fontId="9" fillId="0" borderId="7" xfId="6" applyFont="1" applyFill="1" applyBorder="1" applyAlignment="1">
      <alignment horizontal="center"/>
    </xf>
    <xf numFmtId="0" fontId="9" fillId="27" borderId="10" xfId="6" applyFont="1" applyFill="1" applyBorder="1" applyAlignment="1">
      <alignment horizontal="center"/>
    </xf>
    <xf numFmtId="0" fontId="9" fillId="27" borderId="5" xfId="6" applyFont="1" applyFill="1" applyBorder="1" applyAlignment="1">
      <alignment horizontal="center"/>
    </xf>
    <xf numFmtId="0" fontId="9" fillId="26" borderId="7" xfId="6" applyFont="1" applyFill="1" applyBorder="1" applyAlignment="1">
      <alignment horizontal="center"/>
    </xf>
    <xf numFmtId="0" fontId="9" fillId="0" borderId="31" xfId="6" applyFont="1" applyFill="1" applyBorder="1" applyAlignment="1">
      <alignment horizontal="center"/>
    </xf>
    <xf numFmtId="0" fontId="9" fillId="0" borderId="31" xfId="6" applyNumberFormat="1" applyFont="1" applyFill="1" applyBorder="1" applyAlignment="1">
      <alignment horizontal="center"/>
    </xf>
    <xf numFmtId="0" fontId="18" fillId="0" borderId="68" xfId="6" applyFont="1" applyBorder="1" applyAlignment="1">
      <alignment horizontal="center"/>
    </xf>
    <xf numFmtId="0" fontId="18" fillId="0" borderId="45" xfId="0" applyFont="1" applyBorder="1"/>
    <xf numFmtId="0" fontId="9" fillId="4" borderId="0" xfId="11" applyFont="1" applyFill="1" applyAlignment="1">
      <alignment horizontal="left"/>
    </xf>
    <xf numFmtId="0" fontId="9" fillId="4" borderId="0" xfId="11" applyFont="1" applyFill="1" applyBorder="1" applyAlignment="1">
      <alignment horizontal="left"/>
    </xf>
    <xf numFmtId="0" fontId="9" fillId="0" borderId="47" xfId="11" applyFont="1" applyFill="1" applyBorder="1" applyAlignment="1">
      <alignment horizontal="left"/>
    </xf>
    <xf numFmtId="0" fontId="18" fillId="0" borderId="0" xfId="0" applyFont="1" applyBorder="1"/>
    <xf numFmtId="0" fontId="9" fillId="0" borderId="69" xfId="6" applyNumberFormat="1" applyFont="1" applyBorder="1" applyAlignment="1">
      <alignment horizontal="center"/>
    </xf>
    <xf numFmtId="0" fontId="9" fillId="22" borderId="0" xfId="0" applyFont="1" applyFill="1"/>
    <xf numFmtId="0" fontId="9" fillId="0" borderId="0" xfId="0" applyFont="1"/>
    <xf numFmtId="0" fontId="9" fillId="0" borderId="68" xfId="6" applyNumberFormat="1" applyFont="1" applyBorder="1" applyAlignment="1">
      <alignment horizontal="center"/>
    </xf>
    <xf numFmtId="49" fontId="9" fillId="0" borderId="67" xfId="6" applyNumberFormat="1" applyFont="1" applyFill="1" applyBorder="1" applyAlignment="1">
      <alignment horizontal="center"/>
    </xf>
    <xf numFmtId="0" fontId="9" fillId="0" borderId="0" xfId="6" applyNumberFormat="1" applyFont="1" applyBorder="1" applyAlignment="1">
      <alignment horizontal="center"/>
    </xf>
    <xf numFmtId="49" fontId="9" fillId="0" borderId="0" xfId="6" applyNumberFormat="1" applyFont="1" applyFill="1" applyBorder="1" applyAlignment="1">
      <alignment horizontal="center"/>
    </xf>
    <xf numFmtId="0" fontId="9" fillId="0" borderId="1" xfId="0" applyFont="1" applyBorder="1"/>
    <xf numFmtId="0" fontId="9" fillId="0" borderId="0" xfId="0" applyFont="1" applyBorder="1"/>
    <xf numFmtId="0" fontId="9" fillId="0" borderId="10" xfId="0" applyFont="1" applyBorder="1"/>
    <xf numFmtId="0" fontId="9" fillId="0" borderId="11" xfId="0" applyFont="1" applyBorder="1"/>
    <xf numFmtId="0" fontId="9" fillId="0" borderId="10" xfId="0" applyFont="1" applyFill="1" applyBorder="1"/>
    <xf numFmtId="0" fontId="9" fillId="0" borderId="11" xfId="0" applyFont="1" applyFill="1" applyBorder="1"/>
    <xf numFmtId="0" fontId="9" fillId="0" borderId="5" xfId="0" applyFont="1" applyFill="1" applyBorder="1"/>
    <xf numFmtId="0" fontId="9" fillId="0" borderId="43" xfId="6" applyFont="1" applyFill="1" applyBorder="1"/>
    <xf numFmtId="0" fontId="9" fillId="0" borderId="31" xfId="0" applyFont="1" applyBorder="1"/>
    <xf numFmtId="0" fontId="9" fillId="0" borderId="7" xfId="0" applyFont="1" applyFill="1" applyBorder="1"/>
    <xf numFmtId="49" fontId="9" fillId="0" borderId="45" xfId="6" applyNumberFormat="1" applyFont="1" applyFill="1" applyBorder="1" applyAlignment="1"/>
    <xf numFmtId="0" fontId="9" fillId="0" borderId="0" xfId="0" applyFont="1" applyFill="1"/>
    <xf numFmtId="0" fontId="9" fillId="0" borderId="8" xfId="0" applyFont="1" applyBorder="1"/>
    <xf numFmtId="0" fontId="9" fillId="0" borderId="43" xfId="0" applyFont="1" applyBorder="1"/>
    <xf numFmtId="0" fontId="9" fillId="0" borderId="50" xfId="0" applyFont="1" applyBorder="1"/>
    <xf numFmtId="0" fontId="9" fillId="0" borderId="48" xfId="0" applyFont="1" applyBorder="1"/>
    <xf numFmtId="164" fontId="37" fillId="0" borderId="1" xfId="13" applyNumberFormat="1" applyFont="1" applyFill="1" applyBorder="1" applyAlignment="1">
      <alignment horizontal="center"/>
    </xf>
    <xf numFmtId="164" fontId="43" fillId="0" borderId="1" xfId="13" applyNumberFormat="1" applyFont="1" applyFill="1" applyBorder="1" applyAlignment="1">
      <alignment horizontal="center"/>
    </xf>
    <xf numFmtId="0" fontId="18" fillId="22" borderId="0" xfId="6" applyFont="1" applyFill="1" applyAlignment="1">
      <alignment horizontal="center"/>
    </xf>
    <xf numFmtId="0" fontId="18" fillId="22" borderId="0" xfId="0" applyFont="1" applyFill="1" applyAlignment="1">
      <alignment horizontal="center"/>
    </xf>
    <xf numFmtId="0" fontId="18" fillId="0" borderId="68" xfId="6" applyFont="1" applyBorder="1" applyAlignment="1"/>
    <xf numFmtId="0" fontId="18" fillId="4" borderId="69" xfId="6" applyNumberFormat="1" applyFont="1" applyFill="1" applyBorder="1" applyAlignment="1">
      <alignment horizontal="center"/>
    </xf>
    <xf numFmtId="0" fontId="18" fillId="0" borderId="69" xfId="0" applyFont="1" applyBorder="1" applyAlignment="1">
      <alignment horizontal="right"/>
    </xf>
    <xf numFmtId="0" fontId="52" fillId="0" borderId="1" xfId="13" applyNumberFormat="1" applyFont="1" applyFill="1" applyBorder="1" applyAlignment="1">
      <alignment horizontal="center"/>
    </xf>
    <xf numFmtId="0" fontId="50" fillId="2" borderId="1" xfId="1" applyFont="1" applyFill="1" applyBorder="1" applyAlignment="1"/>
    <xf numFmtId="0" fontId="50" fillId="7" borderId="9" xfId="1" applyFont="1" applyFill="1" applyBorder="1"/>
    <xf numFmtId="0" fontId="50" fillId="7" borderId="56" xfId="1" applyFont="1" applyFill="1" applyBorder="1"/>
    <xf numFmtId="0" fontId="57" fillId="8" borderId="3" xfId="1" applyFont="1" applyFill="1" applyBorder="1" applyAlignment="1"/>
    <xf numFmtId="0" fontId="57" fillId="8" borderId="4" xfId="1" applyFont="1" applyFill="1" applyBorder="1" applyAlignment="1"/>
    <xf numFmtId="0" fontId="50" fillId="7" borderId="9" xfId="1" applyFont="1" applyFill="1" applyBorder="1" applyAlignment="1"/>
    <xf numFmtId="0" fontId="50" fillId="7" borderId="56" xfId="1" applyFont="1" applyFill="1" applyBorder="1" applyAlignment="1"/>
    <xf numFmtId="0" fontId="49" fillId="7" borderId="3" xfId="13" applyFont="1" applyFill="1" applyBorder="1" applyAlignment="1"/>
    <xf numFmtId="0" fontId="49" fillId="7" borderId="4" xfId="13" applyFont="1" applyFill="1" applyBorder="1" applyAlignment="1"/>
    <xf numFmtId="0" fontId="50" fillId="0" borderId="1" xfId="1" applyFont="1" applyBorder="1" applyAlignment="1"/>
    <xf numFmtId="0" fontId="50" fillId="7" borderId="11" xfId="1" applyFont="1" applyFill="1" applyBorder="1" applyAlignment="1"/>
    <xf numFmtId="0" fontId="50" fillId="0" borderId="11" xfId="1" applyFont="1" applyFill="1" applyBorder="1" applyAlignment="1"/>
    <xf numFmtId="0" fontId="49" fillId="7" borderId="3" xfId="1" applyFont="1" applyFill="1" applyBorder="1" applyAlignment="1"/>
    <xf numFmtId="0" fontId="49" fillId="7" borderId="4" xfId="1" applyFont="1" applyFill="1" applyBorder="1" applyAlignment="1"/>
    <xf numFmtId="0" fontId="9" fillId="15" borderId="1" xfId="6" applyNumberFormat="1" applyFont="1" applyFill="1" applyBorder="1" applyAlignment="1"/>
    <xf numFmtId="49" fontId="9" fillId="15" borderId="1" xfId="0" applyNumberFormat="1" applyFont="1" applyFill="1" applyBorder="1" applyAlignment="1"/>
    <xf numFmtId="0" fontId="25" fillId="15" borderId="1" xfId="1" applyFont="1" applyFill="1" applyBorder="1" applyAlignment="1"/>
    <xf numFmtId="165" fontId="9" fillId="15" borderId="1" xfId="6" applyNumberFormat="1" applyFont="1" applyFill="1" applyBorder="1" applyAlignment="1">
      <alignment horizontal="center"/>
    </xf>
    <xf numFmtId="164" fontId="9" fillId="15" borderId="1" xfId="6" applyNumberFormat="1" applyFont="1" applyFill="1" applyBorder="1" applyAlignment="1">
      <alignment horizontal="center"/>
    </xf>
    <xf numFmtId="0" fontId="0" fillId="5" borderId="1" xfId="8" applyFont="1" applyFill="1" applyBorder="1" applyAlignment="1"/>
    <xf numFmtId="0" fontId="0" fillId="6" borderId="1" xfId="8" applyFont="1" applyFill="1" applyBorder="1" applyAlignment="1"/>
    <xf numFmtId="0" fontId="0" fillId="0" borderId="8" xfId="11" quotePrefix="1" applyFont="1" applyBorder="1" applyAlignment="1"/>
    <xf numFmtId="0" fontId="9" fillId="0" borderId="72" xfId="6" applyFont="1" applyBorder="1" applyAlignment="1">
      <alignment horizontal="center"/>
    </xf>
    <xf numFmtId="49" fontId="0" fillId="0" borderId="67" xfId="6" applyNumberFormat="1" applyFont="1" applyBorder="1" applyAlignment="1">
      <alignment horizontal="center"/>
    </xf>
    <xf numFmtId="0" fontId="9" fillId="0" borderId="73" xfId="6" applyFont="1" applyBorder="1" applyAlignment="1">
      <alignment horizontal="center"/>
    </xf>
    <xf numFmtId="0" fontId="0" fillId="6" borderId="1" xfId="11" applyFont="1" applyFill="1" applyBorder="1" applyAlignment="1"/>
    <xf numFmtId="0" fontId="0" fillId="5" borderId="1" xfId="11" applyFont="1" applyFill="1" applyBorder="1" applyAlignment="1"/>
    <xf numFmtId="0" fontId="9" fillId="0" borderId="76" xfId="6" applyFont="1" applyFill="1" applyBorder="1" applyAlignment="1">
      <alignment horizontal="center"/>
    </xf>
    <xf numFmtId="0" fontId="0" fillId="0" borderId="1" xfId="6" quotePrefix="1" applyFont="1" applyFill="1" applyBorder="1" applyAlignment="1">
      <alignment horizontal="center"/>
    </xf>
    <xf numFmtId="0" fontId="9" fillId="10" borderId="1" xfId="6" applyFont="1" applyFill="1" applyBorder="1" applyAlignment="1">
      <alignment horizontal="center"/>
    </xf>
    <xf numFmtId="0" fontId="9" fillId="9" borderId="1" xfId="6" applyFont="1" applyFill="1" applyBorder="1" applyAlignment="1">
      <alignment horizontal="center"/>
    </xf>
    <xf numFmtId="0" fontId="9" fillId="23" borderId="1" xfId="6" applyFont="1" applyFill="1" applyBorder="1" applyAlignment="1">
      <alignment horizontal="center"/>
    </xf>
    <xf numFmtId="0" fontId="18" fillId="0" borderId="0" xfId="0" applyFont="1" applyFill="1" applyAlignment="1">
      <alignment horizontal="right"/>
    </xf>
    <xf numFmtId="0" fontId="18" fillId="0" borderId="73" xfId="6" applyFont="1" applyBorder="1" applyAlignment="1">
      <alignment horizontal="center"/>
    </xf>
    <xf numFmtId="0" fontId="18" fillId="0" borderId="72" xfId="6" applyFont="1" applyBorder="1" applyAlignment="1">
      <alignment horizontal="center"/>
    </xf>
    <xf numFmtId="0" fontId="18" fillId="0" borderId="1" xfId="6" applyFont="1" applyBorder="1" applyAlignment="1"/>
    <xf numFmtId="0" fontId="0" fillId="0" borderId="1" xfId="19" applyFont="1" applyFill="1" applyBorder="1" applyAlignment="1"/>
    <xf numFmtId="0" fontId="9" fillId="0" borderId="75" xfId="19" applyFont="1" applyFill="1" applyBorder="1" applyAlignment="1">
      <alignment horizontal="center"/>
    </xf>
    <xf numFmtId="49" fontId="9" fillId="0" borderId="76" xfId="19" applyNumberFormat="1" applyFont="1" applyFill="1" applyBorder="1" applyAlignment="1">
      <alignment horizontal="center"/>
    </xf>
    <xf numFmtId="0" fontId="0" fillId="0" borderId="74" xfId="19" applyNumberFormat="1" applyFont="1" applyFill="1" applyBorder="1" applyAlignment="1">
      <alignment horizontal="center"/>
    </xf>
    <xf numFmtId="0" fontId="18" fillId="5" borderId="1" xfId="19" applyFont="1" applyFill="1" applyBorder="1" applyAlignment="1">
      <alignment horizontal="center"/>
    </xf>
    <xf numFmtId="0" fontId="18" fillId="5" borderId="75" xfId="19" applyFont="1" applyFill="1" applyBorder="1" applyAlignment="1"/>
    <xf numFmtId="0" fontId="18" fillId="5" borderId="74" xfId="19" applyFont="1" applyFill="1" applyBorder="1" applyAlignment="1">
      <alignment horizontal="center"/>
    </xf>
    <xf numFmtId="16" fontId="18" fillId="5" borderId="1" xfId="19" quotePrefix="1" applyNumberFormat="1" applyFont="1" applyFill="1" applyBorder="1" applyAlignment="1">
      <alignment horizontal="center"/>
    </xf>
    <xf numFmtId="0" fontId="18" fillId="5" borderId="1" xfId="0" quotePrefix="1" applyNumberFormat="1" applyFont="1" applyFill="1" applyBorder="1" applyAlignment="1">
      <alignment horizontal="left"/>
    </xf>
    <xf numFmtId="0" fontId="18" fillId="0" borderId="75" xfId="19" applyFont="1" applyFill="1" applyBorder="1" applyAlignment="1">
      <alignment horizontal="center"/>
    </xf>
    <xf numFmtId="0" fontId="18" fillId="0" borderId="74" xfId="19" applyNumberFormat="1" applyFont="1" applyFill="1" applyBorder="1" applyAlignment="1">
      <alignment horizontal="center"/>
    </xf>
    <xf numFmtId="0" fontId="46" fillId="0" borderId="1" xfId="1" applyFont="1" applyFill="1" applyBorder="1" applyAlignment="1"/>
    <xf numFmtId="0" fontId="9" fillId="5" borderId="1" xfId="19" applyFont="1" applyFill="1" applyBorder="1" applyAlignment="1">
      <alignment horizontal="center"/>
    </xf>
    <xf numFmtId="0" fontId="9" fillId="5" borderId="1" xfId="19" applyNumberFormat="1" applyFont="1" applyFill="1" applyBorder="1" applyAlignment="1">
      <alignment horizontal="center"/>
    </xf>
    <xf numFmtId="0" fontId="44" fillId="0" borderId="32" xfId="0" applyFont="1" applyFill="1" applyBorder="1" applyAlignment="1">
      <alignment horizontal="right"/>
    </xf>
    <xf numFmtId="0" fontId="23" fillId="5" borderId="1" xfId="19" applyNumberFormat="1" applyFont="1" applyFill="1" applyBorder="1" applyAlignment="1">
      <alignment horizontal="center"/>
    </xf>
    <xf numFmtId="0" fontId="23" fillId="0" borderId="77" xfId="19" applyNumberFormat="1" applyFont="1" applyFill="1" applyBorder="1" applyAlignment="1">
      <alignment horizontal="center"/>
    </xf>
    <xf numFmtId="49" fontId="23" fillId="0" borderId="79" xfId="19" applyNumberFormat="1" applyFont="1" applyFill="1" applyBorder="1" applyAlignment="1">
      <alignment horizontal="center"/>
    </xf>
    <xf numFmtId="0" fontId="23" fillId="0" borderId="78" xfId="19" applyNumberFormat="1" applyFont="1" applyFill="1" applyBorder="1" applyAlignment="1">
      <alignment horizontal="center"/>
    </xf>
    <xf numFmtId="0" fontId="44" fillId="5" borderId="1" xfId="0" applyFont="1" applyFill="1" applyBorder="1" applyAlignment="1">
      <alignment horizontal="center"/>
    </xf>
    <xf numFmtId="0" fontId="44" fillId="0" borderId="77" xfId="0" applyFont="1" applyBorder="1" applyAlignment="1">
      <alignment horizontal="center"/>
    </xf>
    <xf numFmtId="0" fontId="44" fillId="0" borderId="79" xfId="0" applyFont="1" applyBorder="1" applyAlignment="1">
      <alignment horizontal="center"/>
    </xf>
    <xf numFmtId="0" fontId="44" fillId="0" borderId="78" xfId="0" applyFont="1" applyBorder="1" applyAlignment="1">
      <alignment horizontal="center"/>
    </xf>
    <xf numFmtId="0" fontId="23" fillId="5" borderId="80" xfId="19" applyNumberFormat="1" applyFont="1" applyFill="1" applyBorder="1" applyAlignment="1">
      <alignment horizontal="center"/>
    </xf>
    <xf numFmtId="0" fontId="23" fillId="0" borderId="81" xfId="19" applyNumberFormat="1" applyFont="1" applyFill="1" applyBorder="1" applyAlignment="1">
      <alignment horizontal="center"/>
    </xf>
    <xf numFmtId="49" fontId="23" fillId="0" borderId="82" xfId="19" applyNumberFormat="1" applyFont="1" applyFill="1" applyBorder="1" applyAlignment="1">
      <alignment horizontal="center"/>
    </xf>
    <xf numFmtId="0" fontId="23" fillId="0" borderId="83" xfId="19" applyNumberFormat="1" applyFont="1" applyFill="1" applyBorder="1" applyAlignment="1">
      <alignment horizontal="center"/>
    </xf>
    <xf numFmtId="0" fontId="44" fillId="0" borderId="31" xfId="0" applyFont="1" applyBorder="1" applyAlignment="1">
      <alignment horizontal="center"/>
    </xf>
    <xf numFmtId="0" fontId="44" fillId="0" borderId="84" xfId="0" applyFont="1" applyBorder="1" applyAlignment="1">
      <alignment horizontal="center"/>
    </xf>
    <xf numFmtId="0" fontId="59" fillId="0" borderId="36" xfId="0" applyFont="1" applyBorder="1" applyAlignment="1">
      <alignment horizontal="center"/>
    </xf>
    <xf numFmtId="0" fontId="44" fillId="9" borderId="35" xfId="0" applyFont="1" applyFill="1" applyBorder="1" applyAlignment="1">
      <alignment horizontal="center"/>
    </xf>
    <xf numFmtId="0" fontId="44" fillId="9" borderId="85" xfId="0" applyFont="1" applyFill="1" applyBorder="1" applyAlignment="1">
      <alignment horizontal="center"/>
    </xf>
    <xf numFmtId="49" fontId="9" fillId="6" borderId="1" xfId="0" applyNumberFormat="1" applyFont="1" applyFill="1" applyBorder="1" applyAlignment="1"/>
    <xf numFmtId="0" fontId="34" fillId="6" borderId="9" xfId="1" applyNumberFormat="1" applyFont="1" applyFill="1" applyBorder="1" applyAlignment="1"/>
    <xf numFmtId="0" fontId="34" fillId="6" borderId="3" xfId="1" applyNumberFormat="1" applyFont="1" applyFill="1" applyBorder="1" applyAlignment="1"/>
    <xf numFmtId="0" fontId="34" fillId="6" borderId="4" xfId="1" applyNumberFormat="1" applyFont="1" applyFill="1" applyBorder="1" applyAlignment="1"/>
    <xf numFmtId="165" fontId="9" fillId="6" borderId="1" xfId="6" applyNumberFormat="1" applyFont="1" applyFill="1" applyBorder="1" applyAlignment="1">
      <alignment horizontal="center"/>
    </xf>
    <xf numFmtId="164" fontId="9" fillId="6" borderId="1" xfId="6" applyNumberFormat="1" applyFont="1" applyFill="1" applyBorder="1" applyAlignment="1">
      <alignment horizontal="center"/>
    </xf>
    <xf numFmtId="0" fontId="2" fillId="9" borderId="3" xfId="13" applyFont="1" applyFill="1" applyBorder="1" applyAlignment="1"/>
    <xf numFmtId="0" fontId="0" fillId="0" borderId="48" xfId="11" applyFont="1" applyFill="1" applyBorder="1" applyAlignment="1"/>
    <xf numFmtId="0" fontId="9" fillId="7" borderId="0" xfId="11" applyFont="1" applyFill="1" applyAlignment="1">
      <alignment horizontal="left"/>
    </xf>
    <xf numFmtId="0" fontId="9" fillId="7" borderId="5" xfId="11" applyFont="1" applyFill="1" applyBorder="1" applyAlignment="1">
      <alignment horizontal="left"/>
    </xf>
    <xf numFmtId="0" fontId="9" fillId="7" borderId="0" xfId="11" applyFont="1" applyFill="1" applyBorder="1" applyAlignment="1">
      <alignment horizontal="left"/>
    </xf>
    <xf numFmtId="0" fontId="9" fillId="7" borderId="8" xfId="11" applyFont="1" applyFill="1" applyBorder="1" applyAlignment="1">
      <alignment horizontal="left"/>
    </xf>
    <xf numFmtId="0" fontId="0" fillId="0" borderId="0" xfId="11" applyFont="1" applyBorder="1" applyAlignment="1"/>
    <xf numFmtId="0" fontId="0" fillId="0" borderId="44" xfId="8" applyFont="1" applyFill="1" applyBorder="1" applyAlignment="1"/>
    <xf numFmtId="0" fontId="0" fillId="0" borderId="43" xfId="11" applyFont="1" applyBorder="1" applyAlignment="1"/>
    <xf numFmtId="0" fontId="0" fillId="0" borderId="42" xfId="11" applyFont="1" applyBorder="1" applyAlignment="1"/>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2" fillId="0" borderId="0" xfId="14"/>
    <xf numFmtId="49" fontId="2" fillId="0" borderId="0" xfId="14" applyNumberFormat="1" applyFont="1" applyAlignment="1">
      <alignment horizontal="center"/>
    </xf>
    <xf numFmtId="16" fontId="0" fillId="0" borderId="0" xfId="0" quotePrefix="1" applyNumberFormat="1" applyFont="1" applyAlignment="1">
      <alignment horizontal="center"/>
    </xf>
    <xf numFmtId="0" fontId="18" fillId="0" borderId="45" xfId="0" applyFont="1" applyBorder="1" applyAlignment="1">
      <alignment horizontal="center"/>
    </xf>
    <xf numFmtId="0" fontId="0" fillId="0" borderId="45" xfId="0" applyFont="1" applyFill="1" applyBorder="1" applyAlignment="1">
      <alignment horizontal="center" vertical="center"/>
    </xf>
    <xf numFmtId="0" fontId="18" fillId="0" borderId="0" xfId="0" applyFont="1" applyFill="1" applyBorder="1" applyAlignment="1">
      <alignment horizontal="center" vertical="center"/>
    </xf>
    <xf numFmtId="49" fontId="18" fillId="0" borderId="0" xfId="0" applyNumberFormat="1" applyFont="1" applyFill="1" applyBorder="1" applyAlignment="1">
      <alignment horizontal="center" vertical="center"/>
    </xf>
    <xf numFmtId="0" fontId="18" fillId="9" borderId="0" xfId="0" applyFont="1" applyFill="1" applyBorder="1" applyAlignment="1">
      <alignment horizontal="center" vertical="center"/>
    </xf>
    <xf numFmtId="0" fontId="0" fillId="0" borderId="1" xfId="0" applyFont="1" applyBorder="1" applyAlignment="1">
      <alignment vertical="top" wrapText="1"/>
    </xf>
    <xf numFmtId="49" fontId="0" fillId="0" borderId="0" xfId="0" quotePrefix="1" applyNumberFormat="1" applyFont="1" applyAlignment="1">
      <alignment horizontal="center" vertical="center"/>
    </xf>
    <xf numFmtId="0" fontId="0" fillId="0" borderId="0" xfId="0" applyFont="1" applyAlignment="1">
      <alignment vertical="center"/>
    </xf>
    <xf numFmtId="49" fontId="18" fillId="0" borderId="0" xfId="0" quotePrefix="1" applyNumberFormat="1" applyFont="1" applyAlignment="1">
      <alignment horizontal="center" vertical="center"/>
    </xf>
    <xf numFmtId="49" fontId="18" fillId="9" borderId="0" xfId="0" applyNumberFormat="1" applyFont="1" applyFill="1" applyBorder="1" applyAlignment="1">
      <alignment horizontal="center" vertical="center"/>
    </xf>
    <xf numFmtId="49" fontId="18" fillId="29" borderId="0" xfId="0" quotePrefix="1" applyNumberFormat="1" applyFont="1" applyFill="1" applyAlignment="1">
      <alignment horizontal="center" vertical="center"/>
    </xf>
    <xf numFmtId="49" fontId="18" fillId="0" borderId="0" xfId="0" quotePrefix="1" applyNumberFormat="1" applyFont="1" applyFill="1" applyAlignment="1">
      <alignment horizontal="center" vertical="center"/>
    </xf>
    <xf numFmtId="16" fontId="0" fillId="0" borderId="0" xfId="0" quotePrefix="1" applyNumberFormat="1" applyFont="1" applyAlignment="1">
      <alignment horizontal="center" vertical="center"/>
    </xf>
    <xf numFmtId="0" fontId="26" fillId="0" borderId="0" xfId="0" applyFont="1" applyAlignment="1">
      <alignment horizontal="right"/>
    </xf>
    <xf numFmtId="0" fontId="0" fillId="29" borderId="1" xfId="0" applyFont="1" applyFill="1" applyBorder="1" applyAlignment="1">
      <alignment horizontal="center" vertical="center"/>
    </xf>
    <xf numFmtId="0" fontId="9" fillId="7" borderId="1" xfId="1" quotePrefix="1" applyFont="1" applyFill="1" applyBorder="1" applyAlignment="1"/>
    <xf numFmtId="0" fontId="9" fillId="7" borderId="1" xfId="1" quotePrefix="1" applyFont="1" applyFill="1" applyBorder="1" applyAlignment="1">
      <alignment horizontal="left"/>
    </xf>
    <xf numFmtId="0" fontId="18" fillId="23" borderId="0" xfId="16" applyFont="1" applyFill="1" applyBorder="1" applyAlignment="1">
      <alignment horizontal="right"/>
    </xf>
    <xf numFmtId="0" fontId="18" fillId="23" borderId="0" xfId="16" applyFont="1" applyFill="1" applyAlignment="1">
      <alignment horizontal="right"/>
    </xf>
    <xf numFmtId="0" fontId="58" fillId="14" borderId="5" xfId="13" applyFont="1" applyFill="1" applyBorder="1" applyAlignment="1"/>
    <xf numFmtId="0" fontId="58" fillId="14" borderId="6" xfId="13" applyFont="1" applyFill="1" applyBorder="1" applyAlignment="1"/>
    <xf numFmtId="164" fontId="32" fillId="14" borderId="1" xfId="13" applyNumberFormat="1" applyFont="1" applyFill="1" applyBorder="1" applyAlignment="1">
      <alignment horizontal="center"/>
    </xf>
    <xf numFmtId="0" fontId="18" fillId="0" borderId="1" xfId="6" applyNumberFormat="1" applyFont="1" applyFill="1" applyBorder="1" applyAlignment="1"/>
    <xf numFmtId="49" fontId="18" fillId="0" borderId="1" xfId="0" applyNumberFormat="1" applyFont="1" applyFill="1" applyBorder="1" applyAlignment="1"/>
    <xf numFmtId="0" fontId="30" fillId="0" borderId="1" xfId="1" applyNumberFormat="1" applyFont="1" applyFill="1" applyBorder="1" applyAlignment="1"/>
    <xf numFmtId="0" fontId="18" fillId="0" borderId="1" xfId="0" applyNumberFormat="1" applyFont="1" applyFill="1" applyBorder="1" applyAlignment="1"/>
    <xf numFmtId="0" fontId="61" fillId="0" borderId="9" xfId="1" applyFont="1" applyFill="1" applyBorder="1" applyAlignment="1"/>
    <xf numFmtId="0" fontId="61" fillId="0" borderId="3" xfId="1" applyFont="1" applyFill="1" applyBorder="1" applyAlignment="1"/>
    <xf numFmtId="0" fontId="61" fillId="0" borderId="4" xfId="1" applyFont="1" applyFill="1" applyBorder="1" applyAlignment="1"/>
    <xf numFmtId="0" fontId="30" fillId="2" borderId="1" xfId="1" applyFont="1" applyFill="1" applyBorder="1" applyAlignment="1"/>
    <xf numFmtId="165" fontId="18" fillId="0" borderId="1" xfId="6" applyNumberFormat="1" applyFont="1" applyFill="1" applyBorder="1" applyAlignment="1">
      <alignment horizontal="center"/>
    </xf>
    <xf numFmtId="164" fontId="18" fillId="0" borderId="1" xfId="6" applyNumberFormat="1" applyFont="1" applyFill="1" applyBorder="1" applyAlignment="1">
      <alignment horizontal="center"/>
    </xf>
    <xf numFmtId="0" fontId="18" fillId="5" borderId="0" xfId="6" applyNumberFormat="1" applyFont="1" applyFill="1" applyAlignment="1"/>
    <xf numFmtId="0" fontId="62" fillId="0" borderId="0" xfId="6" applyNumberFormat="1" applyFont="1" applyBorder="1" applyAlignment="1"/>
    <xf numFmtId="0" fontId="18" fillId="0" borderId="0" xfId="6" applyNumberFormat="1" applyFont="1" applyAlignment="1">
      <alignment horizontal="center"/>
    </xf>
    <xf numFmtId="164" fontId="18" fillId="0" borderId="0" xfId="6" applyNumberFormat="1" applyFont="1" applyAlignment="1">
      <alignment horizontal="center"/>
    </xf>
    <xf numFmtId="0" fontId="18" fillId="4" borderId="1" xfId="6" applyNumberFormat="1" applyFont="1" applyFill="1" applyBorder="1" applyAlignment="1"/>
    <xf numFmtId="49" fontId="18" fillId="4" borderId="1" xfId="6" applyNumberFormat="1" applyFont="1" applyFill="1" applyBorder="1" applyAlignment="1"/>
    <xf numFmtId="0" fontId="30" fillId="4" borderId="1" xfId="1" applyNumberFormat="1" applyFont="1" applyFill="1" applyBorder="1" applyAlignment="1"/>
    <xf numFmtId="0" fontId="61" fillId="4" borderId="9" xfId="1" applyFont="1" applyFill="1" applyBorder="1" applyAlignment="1"/>
    <xf numFmtId="0" fontId="61" fillId="4" borderId="3" xfId="1" applyFont="1" applyFill="1" applyBorder="1" applyAlignment="1"/>
    <xf numFmtId="0" fontId="61" fillId="4" borderId="4" xfId="1" applyFont="1" applyFill="1" applyBorder="1" applyAlignment="1"/>
    <xf numFmtId="0" fontId="30" fillId="4" borderId="1" xfId="1" applyFont="1" applyFill="1" applyBorder="1" applyAlignment="1"/>
    <xf numFmtId="0" fontId="18" fillId="4" borderId="1" xfId="0" applyNumberFormat="1" applyFont="1" applyFill="1" applyBorder="1" applyAlignment="1"/>
    <xf numFmtId="165" fontId="18" fillId="4" borderId="1" xfId="6" applyNumberFormat="1" applyFont="1" applyFill="1" applyBorder="1" applyAlignment="1">
      <alignment horizontal="center"/>
    </xf>
    <xf numFmtId="164" fontId="18" fillId="4" borderId="1" xfId="6" applyNumberFormat="1" applyFont="1" applyFill="1" applyBorder="1" applyAlignment="1">
      <alignment horizontal="center"/>
    </xf>
    <xf numFmtId="0" fontId="61" fillId="0" borderId="9" xfId="1" applyNumberFormat="1" applyFont="1" applyFill="1" applyBorder="1" applyAlignment="1"/>
    <xf numFmtId="0" fontId="61" fillId="0" borderId="3" xfId="1" applyNumberFormat="1" applyFont="1" applyFill="1" applyBorder="1" applyAlignment="1"/>
    <xf numFmtId="0" fontId="61" fillId="0" borderId="4" xfId="1" applyNumberFormat="1" applyFont="1" applyFill="1" applyBorder="1" applyAlignment="1"/>
    <xf numFmtId="49" fontId="18" fillId="4" borderId="1" xfId="0" applyNumberFormat="1" applyFont="1" applyFill="1" applyBorder="1" applyAlignment="1"/>
    <xf numFmtId="0" fontId="30" fillId="0" borderId="1" xfId="1" applyFont="1" applyFill="1" applyBorder="1" applyAlignment="1"/>
    <xf numFmtId="0" fontId="30" fillId="0" borderId="1" xfId="1" applyFont="1" applyBorder="1" applyAlignment="1"/>
    <xf numFmtId="0" fontId="61" fillId="4" borderId="9" xfId="1" applyNumberFormat="1" applyFont="1" applyFill="1" applyBorder="1" applyAlignment="1"/>
    <xf numFmtId="0" fontId="61" fillId="4" borderId="3" xfId="1" applyNumberFormat="1" applyFont="1" applyFill="1" applyBorder="1" applyAlignment="1"/>
    <xf numFmtId="0" fontId="61" fillId="4" borderId="4" xfId="1" applyNumberFormat="1" applyFont="1" applyFill="1" applyBorder="1" applyAlignment="1"/>
    <xf numFmtId="14" fontId="18" fillId="4" borderId="1" xfId="6" applyNumberFormat="1" applyFont="1" applyFill="1" applyBorder="1" applyAlignment="1"/>
    <xf numFmtId="0" fontId="63" fillId="4" borderId="9" xfId="1" applyFont="1" applyFill="1" applyBorder="1" applyAlignment="1"/>
    <xf numFmtId="0" fontId="63" fillId="4" borderId="3" xfId="1" applyFont="1" applyFill="1" applyBorder="1" applyAlignment="1"/>
    <xf numFmtId="0" fontId="63" fillId="4" borderId="4" xfId="1" applyFont="1" applyFill="1" applyBorder="1" applyAlignment="1"/>
    <xf numFmtId="0" fontId="30" fillId="4" borderId="1" xfId="1" applyFont="1" applyFill="1" applyBorder="1"/>
    <xf numFmtId="0" fontId="63" fillId="4" borderId="9" xfId="1" applyNumberFormat="1" applyFont="1" applyFill="1" applyBorder="1" applyAlignment="1"/>
    <xf numFmtId="0" fontId="63" fillId="4" borderId="3" xfId="1" applyNumberFormat="1" applyFont="1" applyFill="1" applyBorder="1" applyAlignment="1"/>
    <xf numFmtId="0" fontId="63" fillId="4" borderId="4" xfId="1" applyNumberFormat="1" applyFont="1" applyFill="1" applyBorder="1" applyAlignment="1"/>
    <xf numFmtId="0" fontId="64" fillId="6" borderId="1" xfId="6" applyNumberFormat="1" applyFont="1" applyFill="1" applyBorder="1" applyAlignment="1"/>
    <xf numFmtId="0" fontId="64" fillId="6" borderId="1" xfId="0" applyNumberFormat="1" applyFont="1" applyFill="1" applyBorder="1" applyAlignment="1"/>
    <xf numFmtId="0" fontId="64" fillId="6" borderId="1" xfId="1" applyFont="1" applyFill="1" applyBorder="1" applyAlignment="1"/>
    <xf numFmtId="0" fontId="31" fillId="10" borderId="1" xfId="13" applyFont="1" applyFill="1" applyBorder="1" applyAlignment="1">
      <alignment horizontal="center"/>
    </xf>
    <xf numFmtId="0" fontId="31" fillId="23" borderId="1" xfId="13" applyFont="1" applyFill="1" applyBorder="1" applyAlignment="1">
      <alignment horizontal="center"/>
    </xf>
    <xf numFmtId="0" fontId="31" fillId="9" borderId="1" xfId="13" applyFont="1" applyFill="1" applyBorder="1" applyAlignment="1">
      <alignment horizontal="center"/>
    </xf>
    <xf numFmtId="0" fontId="65" fillId="10" borderId="1" xfId="13" applyFont="1" applyFill="1" applyBorder="1" applyAlignment="1">
      <alignment horizontal="center"/>
    </xf>
    <xf numFmtId="0" fontId="66" fillId="23" borderId="1" xfId="13" applyFont="1" applyFill="1" applyBorder="1" applyAlignment="1">
      <alignment horizontal="center"/>
    </xf>
    <xf numFmtId="0" fontId="66" fillId="9" borderId="1" xfId="13" applyFont="1" applyFill="1" applyBorder="1" applyAlignment="1">
      <alignment horizontal="center"/>
    </xf>
    <xf numFmtId="0" fontId="65" fillId="23" borderId="1" xfId="13" applyFont="1" applyFill="1" applyBorder="1" applyAlignment="1">
      <alignment horizontal="center"/>
    </xf>
    <xf numFmtId="0" fontId="65" fillId="9" borderId="1" xfId="13" applyFont="1" applyFill="1" applyBorder="1" applyAlignment="1">
      <alignment horizontal="center"/>
    </xf>
    <xf numFmtId="0" fontId="67" fillId="14" borderId="7" xfId="13" applyFont="1" applyFill="1" applyBorder="1" applyAlignment="1"/>
    <xf numFmtId="0" fontId="10" fillId="6" borderId="1" xfId="1" applyNumberFormat="1" applyFill="1" applyBorder="1" applyAlignment="1"/>
    <xf numFmtId="0" fontId="18" fillId="0" borderId="0" xfId="0" applyFont="1" applyAlignment="1">
      <alignment vertical="center"/>
    </xf>
    <xf numFmtId="0" fontId="24" fillId="0" borderId="0" xfId="0" applyFont="1" applyAlignment="1">
      <alignment vertical="center"/>
    </xf>
    <xf numFmtId="0" fontId="44" fillId="0" borderId="45" xfId="0" applyNumberFormat="1" applyFont="1" applyFill="1" applyBorder="1" applyAlignment="1">
      <alignment horizontal="center" vertical="center"/>
    </xf>
    <xf numFmtId="0" fontId="18" fillId="0" borderId="0" xfId="0" applyFont="1" applyAlignment="1">
      <alignment horizontal="center" vertical="center"/>
    </xf>
    <xf numFmtId="0" fontId="18" fillId="5" borderId="76" xfId="0" applyFont="1" applyFill="1" applyBorder="1" applyAlignment="1">
      <alignment horizontal="center"/>
    </xf>
    <xf numFmtId="0" fontId="48" fillId="0" borderId="0" xfId="0" applyFont="1"/>
    <xf numFmtId="0" fontId="0" fillId="29" borderId="1" xfId="0" applyFont="1" applyFill="1" applyBorder="1" applyAlignment="1">
      <alignment vertical="top" wrapText="1"/>
    </xf>
    <xf numFmtId="0" fontId="0" fillId="29" borderId="1" xfId="0" applyFont="1" applyFill="1" applyBorder="1" applyAlignment="1">
      <alignment wrapText="1"/>
    </xf>
    <xf numFmtId="0" fontId="69" fillId="7" borderId="1" xfId="13" applyFont="1" applyFill="1" applyBorder="1" applyAlignment="1"/>
    <xf numFmtId="164" fontId="32" fillId="7" borderId="1" xfId="13" applyNumberFormat="1" applyFont="1" applyFill="1" applyBorder="1" applyAlignment="1">
      <alignment horizontal="center"/>
    </xf>
    <xf numFmtId="0" fontId="18" fillId="0" borderId="0" xfId="11" applyFont="1" applyFill="1" applyAlignment="1"/>
    <xf numFmtId="0" fontId="9" fillId="0" borderId="0" xfId="11" applyFont="1" applyFill="1" applyAlignment="1"/>
    <xf numFmtId="0" fontId="18" fillId="0" borderId="0" xfId="16" applyFont="1" applyFill="1" applyAlignment="1">
      <alignment horizontal="right"/>
    </xf>
    <xf numFmtId="0" fontId="9" fillId="0" borderId="0" xfId="16" applyFont="1" applyFill="1" applyBorder="1"/>
    <xf numFmtId="0" fontId="18" fillId="0" borderId="46" xfId="16" applyFont="1" applyFill="1" applyBorder="1" applyAlignment="1">
      <alignment horizontal="right"/>
    </xf>
    <xf numFmtId="0" fontId="9" fillId="0" borderId="44" xfId="16" applyFont="1" applyFill="1" applyBorder="1"/>
    <xf numFmtId="0" fontId="9" fillId="0" borderId="0" xfId="16" applyFont="1" applyFill="1"/>
    <xf numFmtId="0" fontId="0" fillId="9" borderId="1" xfId="0" applyFont="1" applyFill="1" applyBorder="1" applyAlignment="1">
      <alignment wrapText="1"/>
    </xf>
    <xf numFmtId="0" fontId="10" fillId="0" borderId="1" xfId="1" applyFill="1" applyBorder="1" applyAlignment="1"/>
    <xf numFmtId="0" fontId="28" fillId="4" borderId="1" xfId="13" applyFont="1" applyFill="1" applyBorder="1" applyAlignment="1">
      <alignment horizontal="center"/>
    </xf>
    <xf numFmtId="0" fontId="22" fillId="4" borderId="1" xfId="13" applyNumberFormat="1" applyFont="1" applyFill="1" applyBorder="1" applyAlignment="1">
      <alignment horizontal="center"/>
    </xf>
    <xf numFmtId="0" fontId="36" fillId="4" borderId="1" xfId="13" applyNumberFormat="1" applyFont="1" applyFill="1" applyBorder="1" applyAlignment="1">
      <alignment horizontal="center"/>
    </xf>
    <xf numFmtId="0" fontId="28" fillId="5" borderId="1" xfId="13" applyFont="1" applyFill="1" applyBorder="1" applyAlignment="1">
      <alignment horizontal="center"/>
    </xf>
    <xf numFmtId="0" fontId="22" fillId="5" borderId="1" xfId="13" applyNumberFormat="1" applyFont="1" applyFill="1" applyBorder="1" applyAlignment="1">
      <alignment horizontal="center"/>
    </xf>
    <xf numFmtId="0" fontId="36" fillId="5" borderId="1" xfId="13" applyNumberFormat="1" applyFont="1" applyFill="1" applyBorder="1" applyAlignment="1">
      <alignment horizontal="center"/>
    </xf>
    <xf numFmtId="0" fontId="28" fillId="6" borderId="1" xfId="13" applyFont="1" applyFill="1" applyBorder="1" applyAlignment="1">
      <alignment horizontal="center"/>
    </xf>
    <xf numFmtId="0" fontId="22" fillId="6" borderId="1" xfId="13" applyNumberFormat="1" applyFont="1" applyFill="1" applyBorder="1" applyAlignment="1">
      <alignment horizontal="center"/>
    </xf>
    <xf numFmtId="0" fontId="36" fillId="6" borderId="1" xfId="13" applyNumberFormat="1" applyFont="1" applyFill="1" applyBorder="1" applyAlignment="1">
      <alignment horizontal="center"/>
    </xf>
    <xf numFmtId="0" fontId="10" fillId="15" borderId="1" xfId="1" applyNumberFormat="1" applyFill="1" applyBorder="1" applyAlignment="1"/>
    <xf numFmtId="0" fontId="9" fillId="0" borderId="12" xfId="9" applyFont="1" applyBorder="1" applyAlignment="1">
      <alignment horizontal="center"/>
    </xf>
    <xf numFmtId="0" fontId="9" fillId="0" borderId="56" xfId="9" applyFont="1" applyBorder="1" applyAlignment="1">
      <alignment horizontal="center"/>
    </xf>
    <xf numFmtId="0" fontId="9" fillId="0" borderId="57" xfId="9" applyFont="1" applyBorder="1" applyAlignment="1">
      <alignment horizontal="center"/>
    </xf>
    <xf numFmtId="0" fontId="9" fillId="4" borderId="68" xfId="6" applyNumberFormat="1" applyFont="1" applyFill="1" applyBorder="1" applyAlignment="1">
      <alignment horizontal="center"/>
    </xf>
    <xf numFmtId="0" fontId="9" fillId="4" borderId="69" xfId="6" applyNumberFormat="1" applyFont="1" applyFill="1" applyBorder="1" applyAlignment="1">
      <alignment horizontal="center"/>
    </xf>
    <xf numFmtId="49" fontId="18" fillId="0" borderId="72" xfId="6" applyNumberFormat="1" applyFont="1" applyBorder="1" applyAlignment="1">
      <alignment horizontal="center"/>
    </xf>
    <xf numFmtId="49" fontId="18" fillId="0" borderId="73" xfId="6" applyNumberFormat="1" applyFont="1" applyBorder="1" applyAlignment="1">
      <alignment horizontal="center"/>
    </xf>
    <xf numFmtId="0" fontId="9" fillId="0" borderId="68" xfId="6" applyNumberFormat="1" applyFont="1" applyFill="1" applyBorder="1" applyAlignment="1">
      <alignment horizontal="center"/>
    </xf>
    <xf numFmtId="0" fontId="9" fillId="0" borderId="69" xfId="6" applyNumberFormat="1" applyFont="1" applyFill="1" applyBorder="1" applyAlignment="1">
      <alignment horizontal="center"/>
    </xf>
    <xf numFmtId="0" fontId="9" fillId="28" borderId="42" xfId="6" applyNumberFormat="1" applyFont="1" applyFill="1" applyBorder="1" applyAlignment="1">
      <alignment horizontal="center"/>
    </xf>
    <xf numFmtId="0" fontId="9" fillId="28" borderId="44" xfId="6" applyNumberFormat="1" applyFont="1" applyFill="1" applyBorder="1" applyAlignment="1">
      <alignment horizontal="center"/>
    </xf>
    <xf numFmtId="0" fontId="9" fillId="28" borderId="2" xfId="6" applyNumberFormat="1" applyFont="1" applyFill="1" applyBorder="1" applyAlignment="1">
      <alignment horizontal="center"/>
    </xf>
    <xf numFmtId="0" fontId="9" fillId="28" borderId="46" xfId="6" applyNumberFormat="1" applyFont="1" applyFill="1" applyBorder="1" applyAlignment="1">
      <alignment horizontal="center"/>
    </xf>
    <xf numFmtId="0" fontId="9" fillId="0" borderId="23" xfId="6" applyNumberFormat="1" applyFont="1" applyFill="1" applyBorder="1" applyAlignment="1">
      <alignment horizontal="center"/>
    </xf>
    <xf numFmtId="0" fontId="9" fillId="0" borderId="71" xfId="6" applyNumberFormat="1" applyFont="1" applyFill="1" applyBorder="1" applyAlignment="1">
      <alignment horizontal="center"/>
    </xf>
    <xf numFmtId="0" fontId="9" fillId="0" borderId="16" xfId="6" applyNumberFormat="1" applyFont="1" applyFill="1" applyBorder="1" applyAlignment="1">
      <alignment horizontal="center"/>
    </xf>
    <xf numFmtId="0" fontId="9" fillId="0" borderId="70" xfId="6" applyNumberFormat="1" applyFont="1" applyFill="1" applyBorder="1" applyAlignment="1">
      <alignment horizontal="center"/>
    </xf>
    <xf numFmtId="0" fontId="9" fillId="4" borderId="42" xfId="6" applyNumberFormat="1" applyFont="1" applyFill="1" applyBorder="1" applyAlignment="1">
      <alignment horizontal="center"/>
    </xf>
    <xf numFmtId="0" fontId="9" fillId="4" borderId="44" xfId="6" applyNumberFormat="1" applyFont="1" applyFill="1" applyBorder="1" applyAlignment="1">
      <alignment horizontal="center"/>
    </xf>
    <xf numFmtId="49" fontId="18" fillId="0" borderId="1" xfId="6" applyNumberFormat="1" applyFont="1" applyBorder="1" applyAlignment="1">
      <alignment horizontal="center"/>
    </xf>
    <xf numFmtId="0" fontId="9" fillId="4" borderId="2" xfId="6" applyNumberFormat="1" applyFont="1" applyFill="1" applyBorder="1" applyAlignment="1">
      <alignment horizontal="center"/>
    </xf>
    <xf numFmtId="0" fontId="9" fillId="4" borderId="46" xfId="6" applyNumberFormat="1" applyFont="1" applyFill="1" applyBorder="1" applyAlignment="1">
      <alignment horizontal="center"/>
    </xf>
    <xf numFmtId="0" fontId="9" fillId="28" borderId="23" xfId="6" applyNumberFormat="1" applyFont="1" applyFill="1" applyBorder="1" applyAlignment="1">
      <alignment horizontal="center"/>
    </xf>
    <xf numFmtId="0" fontId="9" fillId="28" borderId="71" xfId="6" applyNumberFormat="1" applyFont="1" applyFill="1" applyBorder="1" applyAlignment="1">
      <alignment horizontal="center"/>
    </xf>
    <xf numFmtId="0" fontId="9" fillId="28" borderId="16" xfId="6" applyNumberFormat="1" applyFont="1" applyFill="1" applyBorder="1" applyAlignment="1">
      <alignment horizontal="center"/>
    </xf>
    <xf numFmtId="0" fontId="9" fillId="28" borderId="70" xfId="6" applyNumberFormat="1" applyFont="1" applyFill="1" applyBorder="1" applyAlignment="1">
      <alignment horizontal="center"/>
    </xf>
    <xf numFmtId="0" fontId="9" fillId="0" borderId="42" xfId="6" applyNumberFormat="1" applyFont="1" applyFill="1" applyBorder="1" applyAlignment="1">
      <alignment horizontal="center"/>
    </xf>
    <xf numFmtId="0" fontId="9" fillId="0" borderId="44" xfId="6" applyNumberFormat="1" applyFont="1" applyFill="1" applyBorder="1" applyAlignment="1">
      <alignment horizontal="center"/>
    </xf>
    <xf numFmtId="0" fontId="9" fillId="4" borderId="23" xfId="6" applyNumberFormat="1" applyFont="1" applyFill="1" applyBorder="1" applyAlignment="1">
      <alignment horizontal="center"/>
    </xf>
    <xf numFmtId="0" fontId="9" fillId="4" borderId="71" xfId="6" applyNumberFormat="1" applyFont="1" applyFill="1" applyBorder="1" applyAlignment="1">
      <alignment horizontal="center"/>
    </xf>
    <xf numFmtId="0" fontId="9" fillId="4" borderId="16" xfId="6" applyNumberFormat="1" applyFont="1" applyFill="1" applyBorder="1" applyAlignment="1">
      <alignment horizontal="center"/>
    </xf>
    <xf numFmtId="0" fontId="9" fillId="4" borderId="70" xfId="6" applyNumberFormat="1" applyFont="1" applyFill="1" applyBorder="1" applyAlignment="1">
      <alignment horizontal="center"/>
    </xf>
    <xf numFmtId="0" fontId="9" fillId="4" borderId="75" xfId="6" applyFont="1" applyFill="1" applyBorder="1" applyAlignment="1">
      <alignment horizontal="center"/>
    </xf>
    <xf numFmtId="0" fontId="9" fillId="4" borderId="74" xfId="6" applyFont="1" applyFill="1" applyBorder="1" applyAlignment="1">
      <alignment horizontal="center"/>
    </xf>
    <xf numFmtId="0" fontId="9" fillId="0" borderId="75" xfId="6" applyFont="1" applyFill="1" applyBorder="1" applyAlignment="1">
      <alignment horizontal="center"/>
    </xf>
    <xf numFmtId="0" fontId="9" fillId="0" borderId="74" xfId="6" applyFont="1" applyFill="1" applyBorder="1" applyAlignment="1">
      <alignment horizontal="center"/>
    </xf>
  </cellXfs>
  <cellStyles count="23">
    <cellStyle name="Hyperlink" xfId="1" builtinId="8"/>
    <cellStyle name="Hyperlink 2" xfId="2"/>
    <cellStyle name="Hyperlink 2 2" xfId="3"/>
    <cellStyle name="Hyperlink 3" xfId="4"/>
    <cellStyle name="Hyperlink 3 2" xfId="5"/>
    <cellStyle name="Normal" xfId="0" builtinId="0"/>
    <cellStyle name="Normal 2" xfId="6"/>
    <cellStyle name="Normal 2 2" xfId="7"/>
    <cellStyle name="Normal 2 2 2" xfId="8"/>
    <cellStyle name="Normal 2 2 2 2" xfId="9"/>
    <cellStyle name="Normal 2 2 3" xfId="10"/>
    <cellStyle name="Normal 2 3" xfId="11"/>
    <cellStyle name="Normal 2 4" xfId="12"/>
    <cellStyle name="Normal 3" xfId="13"/>
    <cellStyle name="Normal 3 2" xfId="14"/>
    <cellStyle name="Normal 4" xfId="15"/>
    <cellStyle name="Normal 5" xfId="16"/>
    <cellStyle name="Normal 6" xfId="17"/>
    <cellStyle name="Normal 6 2" xfId="18"/>
    <cellStyle name="Normal 7" xfId="19"/>
    <cellStyle name="Normal 8" xfId="20"/>
    <cellStyle name="Normal 9" xfId="21"/>
    <cellStyle name="WinCalendar_BlankCells_35" xfId="22"/>
  </cellStyles>
  <dxfs count="68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b/>
        <i val="0"/>
      </font>
    </dxf>
    <dxf>
      <font>
        <b/>
        <i val="0"/>
      </font>
    </dxf>
    <dxf>
      <font>
        <b/>
        <i val="0"/>
      </font>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color rgb="FF9C0006"/>
      </font>
      <fill>
        <patternFill>
          <bgColor rgb="FFFFC7CE"/>
        </patternFill>
      </fill>
    </dxf>
    <dxf>
      <font>
        <b/>
        <i val="0"/>
      </font>
    </dxf>
    <dxf>
      <font>
        <b/>
        <i val="0"/>
      </font>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b/>
        <i val="0"/>
      </font>
    </dxf>
    <dxf>
      <font>
        <b/>
        <i val="0"/>
      </font>
    </dxf>
    <dxf>
      <font>
        <b/>
        <i val="0"/>
      </font>
    </dxf>
    <dxf>
      <font>
        <b/>
        <i val="0"/>
      </font>
    </dxf>
    <dxf>
      <font>
        <color rgb="FF9C0006"/>
      </font>
      <fill>
        <patternFill>
          <bgColor rgb="FFFFC7CE"/>
        </patternFill>
      </fill>
    </dxf>
    <dxf>
      <font>
        <b/>
        <i val="0"/>
      </font>
    </dxf>
    <dxf>
      <font>
        <color rgb="FFFF0000"/>
      </font>
    </dxf>
    <dxf>
      <font>
        <b/>
        <i val="0"/>
        <color rgb="FFFF0000"/>
      </font>
    </dxf>
    <dxf>
      <font>
        <color rgb="FFFF0000"/>
      </font>
    </dxf>
    <dxf>
      <font>
        <b/>
        <i val="0"/>
      </font>
    </dxf>
    <dxf>
      <font>
        <b/>
        <i val="0"/>
      </font>
    </dxf>
    <dxf>
      <font>
        <color rgb="FFFF0000"/>
      </font>
    </dxf>
    <dxf>
      <font>
        <color rgb="FF9C0006"/>
      </font>
      <fill>
        <patternFill>
          <bgColor rgb="FFFFC7CE"/>
        </patternFill>
      </fill>
    </dxf>
    <dxf>
      <font>
        <b/>
        <i val="0"/>
      </font>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FF000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FF0000"/>
      </font>
    </dxf>
    <dxf>
      <font>
        <b/>
        <i val="0"/>
        <color rgb="FFFF000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b/>
        <i val="0"/>
      </font>
    </dxf>
    <dxf>
      <font>
        <b/>
        <i val="0"/>
      </font>
    </dxf>
    <dxf>
      <font>
        <b/>
        <i val="0"/>
      </font>
    </dxf>
    <dxf>
      <font>
        <b/>
        <i val="0"/>
      </font>
    </dxf>
    <dxf>
      <font>
        <b/>
        <i val="0"/>
        <color rgb="FFFF000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FF0000"/>
      </font>
    </dxf>
    <dxf>
      <font>
        <color rgb="FFFF0000"/>
      </font>
    </dxf>
    <dxf>
      <font>
        <b/>
        <i val="0"/>
      </font>
    </dxf>
    <dxf>
      <font>
        <color rgb="FFFF0000"/>
      </font>
    </dxf>
    <dxf>
      <font>
        <b/>
        <i val="0"/>
      </font>
    </dxf>
    <dxf>
      <font>
        <color rgb="FFFF0000"/>
      </font>
    </dxf>
    <dxf>
      <font>
        <b/>
        <i val="0"/>
      </font>
    </dxf>
    <dxf>
      <font>
        <b/>
        <i val="0"/>
      </font>
    </dxf>
    <dxf>
      <font>
        <b/>
        <i val="0"/>
        <color rgb="FFFF0000"/>
      </font>
    </dxf>
    <dxf>
      <font>
        <b/>
        <i val="0"/>
      </font>
    </dxf>
    <dxf>
      <font>
        <color rgb="FF9C0006"/>
      </font>
      <fill>
        <patternFill>
          <bgColor rgb="FFFFC7CE"/>
        </patternFill>
      </fill>
    </dxf>
    <dxf>
      <font>
        <b/>
        <i val="0"/>
      </font>
    </dxf>
    <dxf>
      <font>
        <color rgb="FFFF0000"/>
      </font>
    </dxf>
    <dxf>
      <font>
        <b/>
        <i val="0"/>
        <color rgb="FFFF0000"/>
      </font>
    </dxf>
    <dxf>
      <font>
        <b/>
        <i val="0"/>
      </font>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b/>
        <i val="0"/>
      </font>
    </dxf>
    <dxf>
      <font>
        <color rgb="FFFF000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color rgb="FFFF0000"/>
      </font>
    </dxf>
    <dxf>
      <font>
        <b/>
        <i val="0"/>
      </font>
    </dxf>
    <dxf>
      <font>
        <color rgb="FFFF0000"/>
      </font>
    </dxf>
    <dxf>
      <font>
        <color rgb="FF9C0006"/>
      </font>
      <fill>
        <patternFill>
          <bgColor rgb="FFFFC7CE"/>
        </patternFill>
      </fill>
    </dxf>
    <dxf>
      <font>
        <b/>
        <i val="0"/>
      </font>
    </dxf>
    <dxf>
      <font>
        <color rgb="FFFF0000"/>
      </font>
    </dxf>
    <dxf>
      <font>
        <color rgb="FF9C0006"/>
      </font>
      <fill>
        <patternFill>
          <bgColor rgb="FFFFC7CE"/>
        </patternFill>
      </fill>
    </dxf>
    <dxf>
      <font>
        <b/>
        <i val="0"/>
      </font>
    </dxf>
    <dxf>
      <font>
        <color rgb="FFFF0000"/>
      </font>
    </dxf>
    <dxf>
      <font>
        <b/>
        <i val="0"/>
      </font>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b/>
        <i val="0"/>
      </font>
    </dxf>
    <dxf>
      <font>
        <b/>
        <i val="0"/>
      </font>
    </dxf>
    <dxf>
      <font>
        <b/>
        <i val="0"/>
      </font>
    </dxf>
    <dxf>
      <font>
        <color rgb="FF0070C0"/>
      </font>
    </dxf>
    <dxf>
      <font>
        <color rgb="FF0070C0"/>
      </font>
    </dxf>
    <dxf>
      <font>
        <color rgb="FF9C0006"/>
      </font>
      <fill>
        <patternFill>
          <bgColor rgb="FFFFC7CE"/>
        </patternFill>
      </fill>
    </dxf>
    <dxf>
      <font>
        <color rgb="FF9C0006"/>
      </font>
      <fill>
        <patternFill>
          <bgColor rgb="FFFFC7CE"/>
        </patternFill>
      </fill>
    </dxf>
    <dxf>
      <font>
        <color theme="9" tint="0.39994506668294322"/>
      </font>
    </dxf>
    <dxf>
      <font>
        <color theme="9" tint="0.39994506668294322"/>
      </font>
    </dxf>
    <dxf>
      <font>
        <color theme="9" tint="0.39994506668294322"/>
      </font>
    </dxf>
    <dxf>
      <font>
        <color theme="9" tint="0.39994506668294322"/>
      </font>
    </dxf>
    <dxf>
      <font>
        <color theme="9" tint="0.39994506668294322"/>
      </font>
    </dxf>
    <dxf>
      <font>
        <b/>
        <i val="0"/>
        <color rgb="FFCC0000"/>
      </font>
    </dxf>
    <dxf>
      <font>
        <b/>
        <i val="0"/>
      </font>
    </dxf>
    <dxf>
      <font>
        <b/>
        <i val="0"/>
      </font>
    </dxf>
    <dxf>
      <font>
        <b/>
        <i val="0"/>
      </font>
    </dxf>
    <dxf>
      <font>
        <color theme="9" tint="0.39994506668294322"/>
      </font>
    </dxf>
    <dxf>
      <font>
        <color rgb="FF9C0006"/>
      </font>
      <fill>
        <patternFill>
          <bgColor rgb="FFFFC7CE"/>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theme="9" tint="0.39994506668294322"/>
      </font>
    </dxf>
    <dxf>
      <fill>
        <patternFill>
          <bgColor rgb="FF92D050"/>
        </patternFill>
      </fill>
    </dxf>
    <dxf>
      <fill>
        <patternFill>
          <bgColor rgb="FFFF0000"/>
        </patternFill>
      </fill>
    </dxf>
    <dxf>
      <fill>
        <patternFill>
          <bgColor rgb="FF92D050"/>
        </patternFill>
      </fill>
    </dxf>
    <dxf>
      <fill>
        <patternFill>
          <bgColor rgb="FFFF0000"/>
        </patternFill>
      </fill>
    </dxf>
    <dxf>
      <font>
        <b/>
        <i val="0"/>
        <color rgb="FFFF0000"/>
      </font>
    </dxf>
  </dxfs>
  <tableStyles count="0" defaultTableStyle="TableStyleMedium2" defaultPivotStyle="PivotStyleLight16"/>
  <colors>
    <mruColors>
      <color rgb="FFFFCC99"/>
      <color rgb="FFFFFF99"/>
      <color rgb="FF66FF66"/>
      <color rgb="FFCCFFCC"/>
      <color rgb="FFCC0000"/>
      <color rgb="FFE1F4FF"/>
      <color rgb="FFFFCCCC"/>
      <color rgb="FFFF99FF"/>
      <color rgb="FFFFCC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387760</xdr:colOff>
      <xdr:row>2</xdr:row>
      <xdr:rowOff>152400</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3</xdr:col>
      <xdr:colOff>140110</xdr:colOff>
      <xdr:row>2</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2" name="Group 1"/>
        <xdr:cNvGrpSpPr>
          <a:grpSpLocks noChangeAspect="1"/>
        </xdr:cNvGrpSpPr>
      </xdr:nvGrpSpPr>
      <xdr:grpSpPr>
        <a:xfrm>
          <a:off x="1552611" y="905095"/>
          <a:ext cx="535737" cy="576000"/>
          <a:chOff x="1546061" y="855808"/>
          <a:chExt cx="601200" cy="648000"/>
        </a:xfrm>
      </xdr:grpSpPr>
      <xdr:sp macro="" textlink="">
        <xdr:nvSpPr>
          <xdr:cNvPr id="3"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5" name="Group 4"/>
        <xdr:cNvGrpSpPr>
          <a:grpSpLocks noChangeAspect="1"/>
        </xdr:cNvGrpSpPr>
      </xdr:nvGrpSpPr>
      <xdr:grpSpPr>
        <a:xfrm>
          <a:off x="3001960"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0" name="Group 9"/>
        <xdr:cNvGrpSpPr>
          <a:grpSpLocks noChangeAspect="1"/>
        </xdr:cNvGrpSpPr>
      </xdr:nvGrpSpPr>
      <xdr:grpSpPr>
        <a:xfrm>
          <a:off x="3725859"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4" name="Group 13"/>
        <xdr:cNvGrpSpPr>
          <a:grpSpLocks noChangeAspect="1"/>
        </xdr:cNvGrpSpPr>
      </xdr:nvGrpSpPr>
      <xdr:grpSpPr>
        <a:xfrm>
          <a:off x="4449759"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7" name="Group 16"/>
        <xdr:cNvGrpSpPr>
          <a:grpSpLocks noChangeAspect="1"/>
        </xdr:cNvGrpSpPr>
      </xdr:nvGrpSpPr>
      <xdr:grpSpPr>
        <a:xfrm>
          <a:off x="2277282"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5</xdr:row>
      <xdr:rowOff>85725</xdr:rowOff>
    </xdr:from>
    <xdr:to>
      <xdr:col>5</xdr:col>
      <xdr:colOff>104775</xdr:colOff>
      <xdr:row>5</xdr:row>
      <xdr:rowOff>733425</xdr:rowOff>
    </xdr:to>
    <xdr:grpSp>
      <xdr:nvGrpSpPr>
        <xdr:cNvPr id="2" name="Group 39"/>
        <xdr:cNvGrpSpPr>
          <a:grpSpLocks noChangeAspect="1"/>
        </xdr:cNvGrpSpPr>
      </xdr:nvGrpSpPr>
      <xdr:grpSpPr bwMode="auto">
        <a:xfrm>
          <a:off x="1504950" y="904875"/>
          <a:ext cx="590550" cy="647700"/>
          <a:chOff x="1571625" y="533400"/>
          <a:chExt cx="847725" cy="923925"/>
        </a:xfrm>
      </xdr:grpSpPr>
      <xdr:sp macro="" textlink="">
        <xdr:nvSpPr>
          <xdr:cNvPr id="3" name="Oval 40"/>
          <xdr:cNvSpPr>
            <a:spLocks noChangeArrowheads="1"/>
          </xdr:cNvSpPr>
        </xdr:nvSpPr>
        <xdr:spPr bwMode="auto">
          <a:xfrm>
            <a:off x="1571625" y="533400"/>
            <a:ext cx="847725" cy="923925"/>
          </a:xfrm>
          <a:prstGeom prst="ellipse">
            <a:avLst/>
          </a:prstGeom>
          <a:solidFill>
            <a:srgbClr val="C0C0C0"/>
          </a:solidFill>
          <a:ln w="19050">
            <a:solidFill>
              <a:srgbClr val="000000"/>
            </a:solidFill>
            <a:round/>
            <a:headEnd/>
            <a:tailEnd/>
          </a:ln>
        </xdr:spPr>
      </xdr:sp>
      <xdr:sp macro="" textlink="">
        <xdr:nvSpPr>
          <xdr:cNvPr id="4" name="Oval 1"/>
          <xdr:cNvSpPr>
            <a:spLocks noChangeArrowheads="1"/>
          </xdr:cNvSpPr>
        </xdr:nvSpPr>
        <xdr:spPr bwMode="auto">
          <a:xfrm>
            <a:off x="1933575" y="923925"/>
            <a:ext cx="133350" cy="142875"/>
          </a:xfrm>
          <a:prstGeom prst="ellipse">
            <a:avLst/>
          </a:prstGeom>
          <a:solidFill>
            <a:srgbClr val="FFFFFF"/>
          </a:solidFill>
          <a:ln w="9525">
            <a:solidFill>
              <a:srgbClr val="000000"/>
            </a:solidFill>
            <a:round/>
            <a:headEnd/>
            <a:tailEnd/>
          </a:ln>
        </xdr:spPr>
      </xdr:sp>
    </xdr:grpSp>
    <xdr:clientData/>
  </xdr:twoCellAnchor>
  <xdr:twoCellAnchor>
    <xdr:from>
      <xdr:col>10</xdr:col>
      <xdr:colOff>85725</xdr:colOff>
      <xdr:row>5</xdr:row>
      <xdr:rowOff>85725</xdr:rowOff>
    </xdr:from>
    <xdr:to>
      <xdr:col>13</xdr:col>
      <xdr:colOff>104775</xdr:colOff>
      <xdr:row>5</xdr:row>
      <xdr:rowOff>733425</xdr:rowOff>
    </xdr:to>
    <xdr:grpSp>
      <xdr:nvGrpSpPr>
        <xdr:cNvPr id="5" name="Group 42"/>
        <xdr:cNvGrpSpPr>
          <a:grpSpLocks noChangeAspect="1"/>
        </xdr:cNvGrpSpPr>
      </xdr:nvGrpSpPr>
      <xdr:grpSpPr bwMode="auto">
        <a:xfrm>
          <a:off x="3028950" y="904875"/>
          <a:ext cx="590550" cy="647700"/>
          <a:chOff x="4391025" y="533400"/>
          <a:chExt cx="847725" cy="923925"/>
        </a:xfrm>
      </xdr:grpSpPr>
      <xdr:sp macro="" textlink="">
        <xdr:nvSpPr>
          <xdr:cNvPr id="6" name="Oval 62"/>
          <xdr:cNvSpPr>
            <a:spLocks noChangeArrowheads="1"/>
          </xdr:cNvSpPr>
        </xdr:nvSpPr>
        <xdr:spPr bwMode="auto">
          <a:xfrm>
            <a:off x="4391025" y="533400"/>
            <a:ext cx="847725" cy="923925"/>
          </a:xfrm>
          <a:prstGeom prst="ellipse">
            <a:avLst/>
          </a:prstGeom>
          <a:solidFill>
            <a:srgbClr val="C0C0C0"/>
          </a:solidFill>
          <a:ln w="19050">
            <a:solidFill>
              <a:srgbClr val="000000"/>
            </a:solidFill>
            <a:round/>
            <a:headEnd/>
            <a:tailEnd/>
          </a:ln>
        </xdr:spPr>
      </xdr:sp>
      <xdr:sp macro="" textlink="">
        <xdr:nvSpPr>
          <xdr:cNvPr id="7" name="Oval 67"/>
          <xdr:cNvSpPr>
            <a:spLocks noChangeArrowheads="1"/>
          </xdr:cNvSpPr>
        </xdr:nvSpPr>
        <xdr:spPr bwMode="auto">
          <a:xfrm>
            <a:off x="4752975" y="923925"/>
            <a:ext cx="133350" cy="142875"/>
          </a:xfrm>
          <a:prstGeom prst="ellipse">
            <a:avLst/>
          </a:prstGeom>
          <a:solidFill>
            <a:srgbClr val="FFFFFF"/>
          </a:solidFill>
          <a:ln w="9525">
            <a:solidFill>
              <a:srgbClr val="000000"/>
            </a:solidFill>
            <a:round/>
            <a:headEnd/>
            <a:tailEnd/>
          </a:ln>
        </xdr:spPr>
      </xdr:sp>
      <xdr:sp macro="" textlink="">
        <xdr:nvSpPr>
          <xdr:cNvPr id="8" name="Oval 68"/>
          <xdr:cNvSpPr>
            <a:spLocks noChangeArrowheads="1"/>
          </xdr:cNvSpPr>
        </xdr:nvSpPr>
        <xdr:spPr bwMode="auto">
          <a:xfrm>
            <a:off x="4572000" y="923925"/>
            <a:ext cx="133350" cy="142875"/>
          </a:xfrm>
          <a:prstGeom prst="ellipse">
            <a:avLst/>
          </a:prstGeom>
          <a:solidFill>
            <a:srgbClr val="0000FF"/>
          </a:solidFill>
          <a:ln w="9525">
            <a:solidFill>
              <a:srgbClr val="000000"/>
            </a:solidFill>
            <a:round/>
            <a:headEnd/>
            <a:tailEnd/>
          </a:ln>
        </xdr:spPr>
      </xdr:sp>
      <xdr:sp macro="" textlink="">
        <xdr:nvSpPr>
          <xdr:cNvPr id="9" name="Oval 69"/>
          <xdr:cNvSpPr>
            <a:spLocks noChangeArrowheads="1"/>
          </xdr:cNvSpPr>
        </xdr:nvSpPr>
        <xdr:spPr bwMode="auto">
          <a:xfrm>
            <a:off x="4943475" y="923925"/>
            <a:ext cx="133350" cy="142875"/>
          </a:xfrm>
          <a:prstGeom prst="ellipse">
            <a:avLst/>
          </a:prstGeom>
          <a:solidFill>
            <a:srgbClr val="0000FF"/>
          </a:solidFill>
          <a:ln w="9525">
            <a:solidFill>
              <a:srgbClr val="000000"/>
            </a:solidFill>
            <a:round/>
            <a:headEnd/>
            <a:tailEnd/>
          </a:ln>
        </xdr:spPr>
      </xdr:sp>
    </xdr:grpSp>
    <xdr:clientData/>
  </xdr:twoCellAnchor>
  <xdr:twoCellAnchor>
    <xdr:from>
      <xdr:col>14</xdr:col>
      <xdr:colOff>85725</xdr:colOff>
      <xdr:row>5</xdr:row>
      <xdr:rowOff>85725</xdr:rowOff>
    </xdr:from>
    <xdr:to>
      <xdr:col>17</xdr:col>
      <xdr:colOff>104775</xdr:colOff>
      <xdr:row>5</xdr:row>
      <xdr:rowOff>733425</xdr:rowOff>
    </xdr:to>
    <xdr:grpSp>
      <xdr:nvGrpSpPr>
        <xdr:cNvPr id="10" name="Group 47"/>
        <xdr:cNvGrpSpPr>
          <a:grpSpLocks noChangeAspect="1"/>
        </xdr:cNvGrpSpPr>
      </xdr:nvGrpSpPr>
      <xdr:grpSpPr bwMode="auto">
        <a:xfrm>
          <a:off x="3790950" y="904875"/>
          <a:ext cx="590550" cy="647700"/>
          <a:chOff x="5810250" y="523875"/>
          <a:chExt cx="847725" cy="923925"/>
        </a:xfrm>
      </xdr:grpSpPr>
      <xdr:sp macro="" textlink="">
        <xdr:nvSpPr>
          <xdr:cNvPr id="11" name="Oval 63"/>
          <xdr:cNvSpPr>
            <a:spLocks noChangeArrowheads="1"/>
          </xdr:cNvSpPr>
        </xdr:nvSpPr>
        <xdr:spPr bwMode="auto">
          <a:xfrm>
            <a:off x="5810250" y="523875"/>
            <a:ext cx="847725" cy="923925"/>
          </a:xfrm>
          <a:prstGeom prst="ellipse">
            <a:avLst/>
          </a:prstGeom>
          <a:solidFill>
            <a:srgbClr val="C0C0C0"/>
          </a:solidFill>
          <a:ln w="19050">
            <a:solidFill>
              <a:srgbClr val="000000"/>
            </a:solidFill>
            <a:round/>
            <a:headEnd/>
            <a:tailEnd/>
          </a:ln>
        </xdr:spPr>
      </xdr:sp>
      <xdr:sp macro="" textlink="">
        <xdr:nvSpPr>
          <xdr:cNvPr id="12" name="Oval 66"/>
          <xdr:cNvSpPr>
            <a:spLocks noChangeArrowheads="1"/>
          </xdr:cNvSpPr>
        </xdr:nvSpPr>
        <xdr:spPr bwMode="auto">
          <a:xfrm>
            <a:off x="6162675" y="914400"/>
            <a:ext cx="133350" cy="142875"/>
          </a:xfrm>
          <a:prstGeom prst="ellipse">
            <a:avLst/>
          </a:prstGeom>
          <a:solidFill>
            <a:srgbClr val="FFFFFF"/>
          </a:solidFill>
          <a:ln w="9525">
            <a:solidFill>
              <a:srgbClr val="000000"/>
            </a:solidFill>
            <a:round/>
            <a:headEnd/>
            <a:tailEnd/>
          </a:ln>
        </xdr:spPr>
      </xdr:sp>
      <xdr:sp macro="" textlink="">
        <xdr:nvSpPr>
          <xdr:cNvPr id="13" name="Oval 70"/>
          <xdr:cNvSpPr>
            <a:spLocks noChangeArrowheads="1"/>
          </xdr:cNvSpPr>
        </xdr:nvSpPr>
        <xdr:spPr bwMode="auto">
          <a:xfrm>
            <a:off x="6162675" y="1123950"/>
            <a:ext cx="133350" cy="142875"/>
          </a:xfrm>
          <a:prstGeom prst="ellipse">
            <a:avLst/>
          </a:prstGeom>
          <a:solidFill>
            <a:srgbClr val="0000FF"/>
          </a:solidFill>
          <a:ln w="9525">
            <a:solidFill>
              <a:srgbClr val="000000"/>
            </a:solidFill>
            <a:round/>
            <a:headEnd/>
            <a:tailEnd/>
          </a:ln>
        </xdr:spPr>
      </xdr:sp>
    </xdr:grpSp>
    <xdr:clientData/>
  </xdr:twoCellAnchor>
  <xdr:twoCellAnchor>
    <xdr:from>
      <xdr:col>18</xdr:col>
      <xdr:colOff>85725</xdr:colOff>
      <xdr:row>5</xdr:row>
      <xdr:rowOff>85725</xdr:rowOff>
    </xdr:from>
    <xdr:to>
      <xdr:col>21</xdr:col>
      <xdr:colOff>114300</xdr:colOff>
      <xdr:row>5</xdr:row>
      <xdr:rowOff>733425</xdr:rowOff>
    </xdr:to>
    <xdr:grpSp>
      <xdr:nvGrpSpPr>
        <xdr:cNvPr id="14" name="Group 51"/>
        <xdr:cNvGrpSpPr>
          <a:grpSpLocks noChangeAspect="1"/>
        </xdr:cNvGrpSpPr>
      </xdr:nvGrpSpPr>
      <xdr:grpSpPr bwMode="auto">
        <a:xfrm>
          <a:off x="4552950" y="904875"/>
          <a:ext cx="600075" cy="647700"/>
          <a:chOff x="7219950" y="533400"/>
          <a:chExt cx="847725" cy="923925"/>
        </a:xfrm>
      </xdr:grpSpPr>
      <xdr:sp macro="" textlink="">
        <xdr:nvSpPr>
          <xdr:cNvPr id="15" name="Oval 64"/>
          <xdr:cNvSpPr>
            <a:spLocks noChangeArrowheads="1"/>
          </xdr:cNvSpPr>
        </xdr:nvSpPr>
        <xdr:spPr bwMode="auto">
          <a:xfrm>
            <a:off x="7219950" y="533400"/>
            <a:ext cx="847725" cy="923925"/>
          </a:xfrm>
          <a:prstGeom prst="ellipse">
            <a:avLst/>
          </a:prstGeom>
          <a:solidFill>
            <a:srgbClr val="C0C0C0"/>
          </a:solidFill>
          <a:ln w="19050">
            <a:solidFill>
              <a:srgbClr val="000000"/>
            </a:solidFill>
            <a:round/>
            <a:headEnd/>
            <a:tailEnd/>
          </a:ln>
        </xdr:spPr>
      </xdr:sp>
      <xdr:sp macro="" textlink="">
        <xdr:nvSpPr>
          <xdr:cNvPr id="16" name="Oval 71"/>
          <xdr:cNvSpPr>
            <a:spLocks noChangeArrowheads="1"/>
          </xdr:cNvSpPr>
        </xdr:nvSpPr>
        <xdr:spPr bwMode="auto">
          <a:xfrm>
            <a:off x="7610475" y="1219200"/>
            <a:ext cx="57150" cy="66675"/>
          </a:xfrm>
          <a:prstGeom prst="ellipse">
            <a:avLst/>
          </a:prstGeom>
          <a:solidFill>
            <a:srgbClr val="FFFFFF"/>
          </a:solidFill>
          <a:ln w="9525">
            <a:solidFill>
              <a:srgbClr val="000000"/>
            </a:solidFill>
            <a:round/>
            <a:headEnd/>
            <a:tailEnd/>
          </a:ln>
        </xdr:spPr>
      </xdr:sp>
    </xdr:grpSp>
    <xdr:clientData/>
  </xdr:twoCellAnchor>
  <xdr:twoCellAnchor>
    <xdr:from>
      <xdr:col>6</xdr:col>
      <xdr:colOff>85725</xdr:colOff>
      <xdr:row>5</xdr:row>
      <xdr:rowOff>85725</xdr:rowOff>
    </xdr:from>
    <xdr:to>
      <xdr:col>9</xdr:col>
      <xdr:colOff>114300</xdr:colOff>
      <xdr:row>5</xdr:row>
      <xdr:rowOff>733425</xdr:rowOff>
    </xdr:to>
    <xdr:grpSp>
      <xdr:nvGrpSpPr>
        <xdr:cNvPr id="17" name="Group 58"/>
        <xdr:cNvGrpSpPr>
          <a:grpSpLocks noChangeAspect="1"/>
        </xdr:cNvGrpSpPr>
      </xdr:nvGrpSpPr>
      <xdr:grpSpPr bwMode="auto">
        <a:xfrm>
          <a:off x="2266950" y="904875"/>
          <a:ext cx="600075" cy="647700"/>
          <a:chOff x="2990850" y="533400"/>
          <a:chExt cx="847725" cy="923925"/>
        </a:xfrm>
      </xdr:grpSpPr>
      <xdr:sp macro="" textlink="">
        <xdr:nvSpPr>
          <xdr:cNvPr id="18" name="Oval 61"/>
          <xdr:cNvSpPr>
            <a:spLocks noChangeArrowheads="1"/>
          </xdr:cNvSpPr>
        </xdr:nvSpPr>
        <xdr:spPr bwMode="auto">
          <a:xfrm>
            <a:off x="2990850" y="533400"/>
            <a:ext cx="847725" cy="923925"/>
          </a:xfrm>
          <a:prstGeom prst="ellipse">
            <a:avLst/>
          </a:prstGeom>
          <a:solidFill>
            <a:srgbClr val="C0C0C0"/>
          </a:solidFill>
          <a:ln w="19050">
            <a:solidFill>
              <a:srgbClr val="000000"/>
            </a:solidFill>
            <a:round/>
            <a:headEnd/>
            <a:tailEnd/>
          </a:ln>
        </xdr:spPr>
      </xdr:sp>
      <xdr:sp macro="" textlink="">
        <xdr:nvSpPr>
          <xdr:cNvPr id="19" name="Oval 65"/>
          <xdr:cNvSpPr>
            <a:spLocks noChangeArrowheads="1"/>
          </xdr:cNvSpPr>
        </xdr:nvSpPr>
        <xdr:spPr bwMode="auto">
          <a:xfrm>
            <a:off x="3343274" y="923925"/>
            <a:ext cx="133351" cy="142875"/>
          </a:xfrm>
          <a:prstGeom prst="ellipse">
            <a:avLst/>
          </a:prstGeom>
          <a:solidFill>
            <a:srgbClr val="FFFFFF"/>
          </a:solidFill>
          <a:ln w="9525">
            <a:solidFill>
              <a:srgbClr val="000000"/>
            </a:solidFill>
            <a:round/>
            <a:headEnd/>
            <a:tailEnd/>
          </a:ln>
        </xdr:spPr>
      </xdr:sp>
      <xdr:sp macro="" textlink="">
        <xdr:nvSpPr>
          <xdr:cNvPr id="20" name="Oval 72"/>
          <xdr:cNvSpPr>
            <a:spLocks noChangeArrowheads="1"/>
          </xdr:cNvSpPr>
        </xdr:nvSpPr>
        <xdr:spPr bwMode="auto">
          <a:xfrm>
            <a:off x="3381375" y="1162050"/>
            <a:ext cx="57150" cy="66675"/>
          </a:xfrm>
          <a:prstGeom prst="ellipse">
            <a:avLst/>
          </a:prstGeom>
          <a:solidFill>
            <a:srgbClr val="0000FF"/>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2" name="Group 1"/>
        <xdr:cNvGrpSpPr>
          <a:grpSpLocks noChangeAspect="1"/>
        </xdr:cNvGrpSpPr>
      </xdr:nvGrpSpPr>
      <xdr:grpSpPr>
        <a:xfrm>
          <a:off x="1552611" y="905095"/>
          <a:ext cx="535737" cy="576000"/>
          <a:chOff x="1546061" y="855808"/>
          <a:chExt cx="601200" cy="648000"/>
        </a:xfrm>
      </xdr:grpSpPr>
      <xdr:sp macro="" textlink="">
        <xdr:nvSpPr>
          <xdr:cNvPr id="3"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5" name="Group 4"/>
        <xdr:cNvGrpSpPr>
          <a:grpSpLocks noChangeAspect="1"/>
        </xdr:cNvGrpSpPr>
      </xdr:nvGrpSpPr>
      <xdr:grpSpPr>
        <a:xfrm>
          <a:off x="3001960"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0" name="Group 9"/>
        <xdr:cNvGrpSpPr>
          <a:grpSpLocks noChangeAspect="1"/>
        </xdr:cNvGrpSpPr>
      </xdr:nvGrpSpPr>
      <xdr:grpSpPr>
        <a:xfrm>
          <a:off x="3725859"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4" name="Group 13"/>
        <xdr:cNvGrpSpPr>
          <a:grpSpLocks noChangeAspect="1"/>
        </xdr:cNvGrpSpPr>
      </xdr:nvGrpSpPr>
      <xdr:grpSpPr>
        <a:xfrm>
          <a:off x="4449759"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7" name="Group 16"/>
        <xdr:cNvGrpSpPr>
          <a:grpSpLocks noChangeAspect="1"/>
        </xdr:cNvGrpSpPr>
      </xdr:nvGrpSpPr>
      <xdr:grpSpPr>
        <a:xfrm>
          <a:off x="2277282"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2" name="Group 1"/>
        <xdr:cNvGrpSpPr>
          <a:grpSpLocks noChangeAspect="1"/>
        </xdr:cNvGrpSpPr>
      </xdr:nvGrpSpPr>
      <xdr:grpSpPr>
        <a:xfrm>
          <a:off x="1552611" y="905095"/>
          <a:ext cx="535737" cy="576000"/>
          <a:chOff x="1546061" y="855808"/>
          <a:chExt cx="601200" cy="648000"/>
        </a:xfrm>
      </xdr:grpSpPr>
      <xdr:sp macro="" textlink="">
        <xdr:nvSpPr>
          <xdr:cNvPr id="3"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5" name="Group 4"/>
        <xdr:cNvGrpSpPr>
          <a:grpSpLocks noChangeAspect="1"/>
        </xdr:cNvGrpSpPr>
      </xdr:nvGrpSpPr>
      <xdr:grpSpPr>
        <a:xfrm>
          <a:off x="3001960"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0" name="Group 9"/>
        <xdr:cNvGrpSpPr>
          <a:grpSpLocks noChangeAspect="1"/>
        </xdr:cNvGrpSpPr>
      </xdr:nvGrpSpPr>
      <xdr:grpSpPr>
        <a:xfrm>
          <a:off x="3725859"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4" name="Group 13"/>
        <xdr:cNvGrpSpPr>
          <a:grpSpLocks noChangeAspect="1"/>
        </xdr:cNvGrpSpPr>
      </xdr:nvGrpSpPr>
      <xdr:grpSpPr>
        <a:xfrm>
          <a:off x="4449759"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7" name="Group 16"/>
        <xdr:cNvGrpSpPr>
          <a:grpSpLocks noChangeAspect="1"/>
        </xdr:cNvGrpSpPr>
      </xdr:nvGrpSpPr>
      <xdr:grpSpPr>
        <a:xfrm>
          <a:off x="2277282"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85725</xdr:colOff>
      <xdr:row>5</xdr:row>
      <xdr:rowOff>85725</xdr:rowOff>
    </xdr:from>
    <xdr:to>
      <xdr:col>5</xdr:col>
      <xdr:colOff>104775</xdr:colOff>
      <xdr:row>5</xdr:row>
      <xdr:rowOff>733425</xdr:rowOff>
    </xdr:to>
    <xdr:grpSp>
      <xdr:nvGrpSpPr>
        <xdr:cNvPr id="2" name="Group 39"/>
        <xdr:cNvGrpSpPr>
          <a:grpSpLocks noChangeAspect="1"/>
        </xdr:cNvGrpSpPr>
      </xdr:nvGrpSpPr>
      <xdr:grpSpPr bwMode="auto">
        <a:xfrm>
          <a:off x="1504950" y="904875"/>
          <a:ext cx="590550" cy="647700"/>
          <a:chOff x="1571625" y="533400"/>
          <a:chExt cx="847725" cy="923925"/>
        </a:xfrm>
      </xdr:grpSpPr>
      <xdr:sp macro="" textlink="">
        <xdr:nvSpPr>
          <xdr:cNvPr id="3" name="Oval 40"/>
          <xdr:cNvSpPr>
            <a:spLocks noChangeArrowheads="1"/>
          </xdr:cNvSpPr>
        </xdr:nvSpPr>
        <xdr:spPr bwMode="auto">
          <a:xfrm>
            <a:off x="1571625" y="533400"/>
            <a:ext cx="847725" cy="923925"/>
          </a:xfrm>
          <a:prstGeom prst="ellipse">
            <a:avLst/>
          </a:prstGeom>
          <a:solidFill>
            <a:srgbClr val="C0C0C0"/>
          </a:solidFill>
          <a:ln w="19050">
            <a:solidFill>
              <a:srgbClr val="000000"/>
            </a:solidFill>
            <a:round/>
            <a:headEnd/>
            <a:tailEnd/>
          </a:ln>
        </xdr:spPr>
      </xdr:sp>
      <xdr:sp macro="" textlink="">
        <xdr:nvSpPr>
          <xdr:cNvPr id="4" name="Oval 1"/>
          <xdr:cNvSpPr>
            <a:spLocks noChangeArrowheads="1"/>
          </xdr:cNvSpPr>
        </xdr:nvSpPr>
        <xdr:spPr bwMode="auto">
          <a:xfrm>
            <a:off x="1933575" y="923925"/>
            <a:ext cx="133350" cy="142875"/>
          </a:xfrm>
          <a:prstGeom prst="ellipse">
            <a:avLst/>
          </a:prstGeom>
          <a:solidFill>
            <a:srgbClr val="FFFFFF"/>
          </a:solidFill>
          <a:ln w="9525">
            <a:solidFill>
              <a:srgbClr val="000000"/>
            </a:solidFill>
            <a:round/>
            <a:headEnd/>
            <a:tailEnd/>
          </a:ln>
        </xdr:spPr>
      </xdr:sp>
    </xdr:grpSp>
    <xdr:clientData/>
  </xdr:twoCellAnchor>
  <xdr:twoCellAnchor>
    <xdr:from>
      <xdr:col>10</xdr:col>
      <xdr:colOff>85725</xdr:colOff>
      <xdr:row>5</xdr:row>
      <xdr:rowOff>85725</xdr:rowOff>
    </xdr:from>
    <xdr:to>
      <xdr:col>13</xdr:col>
      <xdr:colOff>104775</xdr:colOff>
      <xdr:row>5</xdr:row>
      <xdr:rowOff>733425</xdr:rowOff>
    </xdr:to>
    <xdr:grpSp>
      <xdr:nvGrpSpPr>
        <xdr:cNvPr id="5" name="Group 42"/>
        <xdr:cNvGrpSpPr>
          <a:grpSpLocks noChangeAspect="1"/>
        </xdr:cNvGrpSpPr>
      </xdr:nvGrpSpPr>
      <xdr:grpSpPr bwMode="auto">
        <a:xfrm>
          <a:off x="3028950" y="904875"/>
          <a:ext cx="590550" cy="647700"/>
          <a:chOff x="4391025" y="533400"/>
          <a:chExt cx="847725" cy="923925"/>
        </a:xfrm>
      </xdr:grpSpPr>
      <xdr:sp macro="" textlink="">
        <xdr:nvSpPr>
          <xdr:cNvPr id="6" name="Oval 62"/>
          <xdr:cNvSpPr>
            <a:spLocks noChangeArrowheads="1"/>
          </xdr:cNvSpPr>
        </xdr:nvSpPr>
        <xdr:spPr bwMode="auto">
          <a:xfrm>
            <a:off x="4391025" y="533400"/>
            <a:ext cx="847725" cy="923925"/>
          </a:xfrm>
          <a:prstGeom prst="ellipse">
            <a:avLst/>
          </a:prstGeom>
          <a:solidFill>
            <a:srgbClr val="C0C0C0"/>
          </a:solidFill>
          <a:ln w="19050">
            <a:solidFill>
              <a:srgbClr val="000000"/>
            </a:solidFill>
            <a:round/>
            <a:headEnd/>
            <a:tailEnd/>
          </a:ln>
        </xdr:spPr>
      </xdr:sp>
      <xdr:sp macro="" textlink="">
        <xdr:nvSpPr>
          <xdr:cNvPr id="7" name="Oval 67"/>
          <xdr:cNvSpPr>
            <a:spLocks noChangeArrowheads="1"/>
          </xdr:cNvSpPr>
        </xdr:nvSpPr>
        <xdr:spPr bwMode="auto">
          <a:xfrm>
            <a:off x="4752975" y="923925"/>
            <a:ext cx="133350" cy="142875"/>
          </a:xfrm>
          <a:prstGeom prst="ellipse">
            <a:avLst/>
          </a:prstGeom>
          <a:solidFill>
            <a:srgbClr val="FFFFFF"/>
          </a:solidFill>
          <a:ln w="9525">
            <a:solidFill>
              <a:srgbClr val="000000"/>
            </a:solidFill>
            <a:round/>
            <a:headEnd/>
            <a:tailEnd/>
          </a:ln>
        </xdr:spPr>
      </xdr:sp>
      <xdr:sp macro="" textlink="">
        <xdr:nvSpPr>
          <xdr:cNvPr id="8" name="Oval 68"/>
          <xdr:cNvSpPr>
            <a:spLocks noChangeArrowheads="1"/>
          </xdr:cNvSpPr>
        </xdr:nvSpPr>
        <xdr:spPr bwMode="auto">
          <a:xfrm>
            <a:off x="4572000" y="923925"/>
            <a:ext cx="133350" cy="142875"/>
          </a:xfrm>
          <a:prstGeom prst="ellipse">
            <a:avLst/>
          </a:prstGeom>
          <a:solidFill>
            <a:srgbClr val="0000FF"/>
          </a:solidFill>
          <a:ln w="9525">
            <a:solidFill>
              <a:srgbClr val="000000"/>
            </a:solidFill>
            <a:round/>
            <a:headEnd/>
            <a:tailEnd/>
          </a:ln>
        </xdr:spPr>
      </xdr:sp>
      <xdr:sp macro="" textlink="">
        <xdr:nvSpPr>
          <xdr:cNvPr id="9" name="Oval 69"/>
          <xdr:cNvSpPr>
            <a:spLocks noChangeArrowheads="1"/>
          </xdr:cNvSpPr>
        </xdr:nvSpPr>
        <xdr:spPr bwMode="auto">
          <a:xfrm>
            <a:off x="4943475" y="923925"/>
            <a:ext cx="133350" cy="142875"/>
          </a:xfrm>
          <a:prstGeom prst="ellipse">
            <a:avLst/>
          </a:prstGeom>
          <a:solidFill>
            <a:srgbClr val="0000FF"/>
          </a:solidFill>
          <a:ln w="9525">
            <a:solidFill>
              <a:srgbClr val="000000"/>
            </a:solidFill>
            <a:round/>
            <a:headEnd/>
            <a:tailEnd/>
          </a:ln>
        </xdr:spPr>
      </xdr:sp>
    </xdr:grpSp>
    <xdr:clientData/>
  </xdr:twoCellAnchor>
  <xdr:twoCellAnchor>
    <xdr:from>
      <xdr:col>14</xdr:col>
      <xdr:colOff>85725</xdr:colOff>
      <xdr:row>5</xdr:row>
      <xdr:rowOff>85725</xdr:rowOff>
    </xdr:from>
    <xdr:to>
      <xdr:col>17</xdr:col>
      <xdr:colOff>104775</xdr:colOff>
      <xdr:row>5</xdr:row>
      <xdr:rowOff>733425</xdr:rowOff>
    </xdr:to>
    <xdr:grpSp>
      <xdr:nvGrpSpPr>
        <xdr:cNvPr id="10" name="Group 47"/>
        <xdr:cNvGrpSpPr>
          <a:grpSpLocks noChangeAspect="1"/>
        </xdr:cNvGrpSpPr>
      </xdr:nvGrpSpPr>
      <xdr:grpSpPr bwMode="auto">
        <a:xfrm>
          <a:off x="3790950" y="904875"/>
          <a:ext cx="590550" cy="647700"/>
          <a:chOff x="5810250" y="523875"/>
          <a:chExt cx="847725" cy="923925"/>
        </a:xfrm>
      </xdr:grpSpPr>
      <xdr:sp macro="" textlink="">
        <xdr:nvSpPr>
          <xdr:cNvPr id="11" name="Oval 63"/>
          <xdr:cNvSpPr>
            <a:spLocks noChangeArrowheads="1"/>
          </xdr:cNvSpPr>
        </xdr:nvSpPr>
        <xdr:spPr bwMode="auto">
          <a:xfrm>
            <a:off x="5810250" y="523875"/>
            <a:ext cx="847725" cy="923925"/>
          </a:xfrm>
          <a:prstGeom prst="ellipse">
            <a:avLst/>
          </a:prstGeom>
          <a:solidFill>
            <a:srgbClr val="C0C0C0"/>
          </a:solidFill>
          <a:ln w="19050">
            <a:solidFill>
              <a:srgbClr val="000000"/>
            </a:solidFill>
            <a:round/>
            <a:headEnd/>
            <a:tailEnd/>
          </a:ln>
        </xdr:spPr>
      </xdr:sp>
      <xdr:sp macro="" textlink="">
        <xdr:nvSpPr>
          <xdr:cNvPr id="12" name="Oval 66"/>
          <xdr:cNvSpPr>
            <a:spLocks noChangeArrowheads="1"/>
          </xdr:cNvSpPr>
        </xdr:nvSpPr>
        <xdr:spPr bwMode="auto">
          <a:xfrm>
            <a:off x="6162675" y="914400"/>
            <a:ext cx="133350" cy="142875"/>
          </a:xfrm>
          <a:prstGeom prst="ellipse">
            <a:avLst/>
          </a:prstGeom>
          <a:solidFill>
            <a:srgbClr val="FFFFFF"/>
          </a:solidFill>
          <a:ln w="9525">
            <a:solidFill>
              <a:srgbClr val="000000"/>
            </a:solidFill>
            <a:round/>
            <a:headEnd/>
            <a:tailEnd/>
          </a:ln>
        </xdr:spPr>
      </xdr:sp>
      <xdr:sp macro="" textlink="">
        <xdr:nvSpPr>
          <xdr:cNvPr id="13" name="Oval 70"/>
          <xdr:cNvSpPr>
            <a:spLocks noChangeArrowheads="1"/>
          </xdr:cNvSpPr>
        </xdr:nvSpPr>
        <xdr:spPr bwMode="auto">
          <a:xfrm>
            <a:off x="6162675" y="1123950"/>
            <a:ext cx="133350" cy="142875"/>
          </a:xfrm>
          <a:prstGeom prst="ellipse">
            <a:avLst/>
          </a:prstGeom>
          <a:solidFill>
            <a:srgbClr val="0000FF"/>
          </a:solidFill>
          <a:ln w="9525">
            <a:solidFill>
              <a:srgbClr val="000000"/>
            </a:solidFill>
            <a:round/>
            <a:headEnd/>
            <a:tailEnd/>
          </a:ln>
        </xdr:spPr>
      </xdr:sp>
    </xdr:grpSp>
    <xdr:clientData/>
  </xdr:twoCellAnchor>
  <xdr:twoCellAnchor>
    <xdr:from>
      <xdr:col>18</xdr:col>
      <xdr:colOff>85725</xdr:colOff>
      <xdr:row>5</xdr:row>
      <xdr:rowOff>85725</xdr:rowOff>
    </xdr:from>
    <xdr:to>
      <xdr:col>21</xdr:col>
      <xdr:colOff>114300</xdr:colOff>
      <xdr:row>5</xdr:row>
      <xdr:rowOff>733425</xdr:rowOff>
    </xdr:to>
    <xdr:grpSp>
      <xdr:nvGrpSpPr>
        <xdr:cNvPr id="14" name="Group 51"/>
        <xdr:cNvGrpSpPr>
          <a:grpSpLocks noChangeAspect="1"/>
        </xdr:cNvGrpSpPr>
      </xdr:nvGrpSpPr>
      <xdr:grpSpPr bwMode="auto">
        <a:xfrm>
          <a:off x="4552950" y="904875"/>
          <a:ext cx="600075" cy="647700"/>
          <a:chOff x="7219950" y="533400"/>
          <a:chExt cx="847725" cy="923925"/>
        </a:xfrm>
      </xdr:grpSpPr>
      <xdr:sp macro="" textlink="">
        <xdr:nvSpPr>
          <xdr:cNvPr id="15" name="Oval 64"/>
          <xdr:cNvSpPr>
            <a:spLocks noChangeArrowheads="1"/>
          </xdr:cNvSpPr>
        </xdr:nvSpPr>
        <xdr:spPr bwMode="auto">
          <a:xfrm>
            <a:off x="7219950" y="533400"/>
            <a:ext cx="847725" cy="923925"/>
          </a:xfrm>
          <a:prstGeom prst="ellipse">
            <a:avLst/>
          </a:prstGeom>
          <a:solidFill>
            <a:srgbClr val="C0C0C0"/>
          </a:solidFill>
          <a:ln w="19050">
            <a:solidFill>
              <a:srgbClr val="000000"/>
            </a:solidFill>
            <a:round/>
            <a:headEnd/>
            <a:tailEnd/>
          </a:ln>
        </xdr:spPr>
      </xdr:sp>
      <xdr:sp macro="" textlink="">
        <xdr:nvSpPr>
          <xdr:cNvPr id="16" name="Oval 71"/>
          <xdr:cNvSpPr>
            <a:spLocks noChangeArrowheads="1"/>
          </xdr:cNvSpPr>
        </xdr:nvSpPr>
        <xdr:spPr bwMode="auto">
          <a:xfrm>
            <a:off x="7610475" y="1219200"/>
            <a:ext cx="57150" cy="66675"/>
          </a:xfrm>
          <a:prstGeom prst="ellipse">
            <a:avLst/>
          </a:prstGeom>
          <a:solidFill>
            <a:srgbClr val="FFFFFF"/>
          </a:solidFill>
          <a:ln w="9525">
            <a:solidFill>
              <a:srgbClr val="000000"/>
            </a:solidFill>
            <a:round/>
            <a:headEnd/>
            <a:tailEnd/>
          </a:ln>
        </xdr:spPr>
      </xdr:sp>
    </xdr:grpSp>
    <xdr:clientData/>
  </xdr:twoCellAnchor>
  <xdr:twoCellAnchor>
    <xdr:from>
      <xdr:col>6</xdr:col>
      <xdr:colOff>85725</xdr:colOff>
      <xdr:row>5</xdr:row>
      <xdr:rowOff>85725</xdr:rowOff>
    </xdr:from>
    <xdr:to>
      <xdr:col>9</xdr:col>
      <xdr:colOff>114300</xdr:colOff>
      <xdr:row>5</xdr:row>
      <xdr:rowOff>733425</xdr:rowOff>
    </xdr:to>
    <xdr:grpSp>
      <xdr:nvGrpSpPr>
        <xdr:cNvPr id="17" name="Group 58"/>
        <xdr:cNvGrpSpPr>
          <a:grpSpLocks noChangeAspect="1"/>
        </xdr:cNvGrpSpPr>
      </xdr:nvGrpSpPr>
      <xdr:grpSpPr bwMode="auto">
        <a:xfrm>
          <a:off x="2266950" y="904875"/>
          <a:ext cx="600075" cy="647700"/>
          <a:chOff x="2990850" y="533400"/>
          <a:chExt cx="847725" cy="923925"/>
        </a:xfrm>
      </xdr:grpSpPr>
      <xdr:sp macro="" textlink="">
        <xdr:nvSpPr>
          <xdr:cNvPr id="18" name="Oval 61"/>
          <xdr:cNvSpPr>
            <a:spLocks noChangeArrowheads="1"/>
          </xdr:cNvSpPr>
        </xdr:nvSpPr>
        <xdr:spPr bwMode="auto">
          <a:xfrm>
            <a:off x="2990850" y="533400"/>
            <a:ext cx="847725" cy="923925"/>
          </a:xfrm>
          <a:prstGeom prst="ellipse">
            <a:avLst/>
          </a:prstGeom>
          <a:solidFill>
            <a:srgbClr val="C0C0C0"/>
          </a:solidFill>
          <a:ln w="19050">
            <a:solidFill>
              <a:srgbClr val="000000"/>
            </a:solidFill>
            <a:round/>
            <a:headEnd/>
            <a:tailEnd/>
          </a:ln>
        </xdr:spPr>
      </xdr:sp>
      <xdr:sp macro="" textlink="">
        <xdr:nvSpPr>
          <xdr:cNvPr id="19" name="Oval 65"/>
          <xdr:cNvSpPr>
            <a:spLocks noChangeArrowheads="1"/>
          </xdr:cNvSpPr>
        </xdr:nvSpPr>
        <xdr:spPr bwMode="auto">
          <a:xfrm>
            <a:off x="3343274" y="923925"/>
            <a:ext cx="133351" cy="142875"/>
          </a:xfrm>
          <a:prstGeom prst="ellipse">
            <a:avLst/>
          </a:prstGeom>
          <a:solidFill>
            <a:srgbClr val="FFFFFF"/>
          </a:solidFill>
          <a:ln w="9525">
            <a:solidFill>
              <a:srgbClr val="000000"/>
            </a:solidFill>
            <a:round/>
            <a:headEnd/>
            <a:tailEnd/>
          </a:ln>
        </xdr:spPr>
      </xdr:sp>
      <xdr:sp macro="" textlink="">
        <xdr:nvSpPr>
          <xdr:cNvPr id="20" name="Oval 72"/>
          <xdr:cNvSpPr>
            <a:spLocks noChangeArrowheads="1"/>
          </xdr:cNvSpPr>
        </xdr:nvSpPr>
        <xdr:spPr bwMode="auto">
          <a:xfrm>
            <a:off x="3381375" y="1162050"/>
            <a:ext cx="57150" cy="66675"/>
          </a:xfrm>
          <a:prstGeom prst="ellipse">
            <a:avLst/>
          </a:prstGeom>
          <a:solidFill>
            <a:srgbClr val="0000FF"/>
          </a:solidFill>
          <a:ln w="9525">
            <a:solidFill>
              <a:srgbClr val="000000"/>
            </a:solidFill>
            <a:round/>
            <a:headEnd/>
            <a:tailEnd/>
          </a:ln>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2" name="Group 1"/>
        <xdr:cNvGrpSpPr>
          <a:grpSpLocks noChangeAspect="1"/>
        </xdr:cNvGrpSpPr>
      </xdr:nvGrpSpPr>
      <xdr:grpSpPr>
        <a:xfrm>
          <a:off x="1552611" y="905095"/>
          <a:ext cx="535737" cy="576000"/>
          <a:chOff x="1546061" y="855808"/>
          <a:chExt cx="601200" cy="648000"/>
        </a:xfrm>
      </xdr:grpSpPr>
      <xdr:sp macro="" textlink="">
        <xdr:nvSpPr>
          <xdr:cNvPr id="3"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5" name="Group 4"/>
        <xdr:cNvGrpSpPr>
          <a:grpSpLocks noChangeAspect="1"/>
        </xdr:cNvGrpSpPr>
      </xdr:nvGrpSpPr>
      <xdr:grpSpPr>
        <a:xfrm>
          <a:off x="3001960"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0" name="Group 9"/>
        <xdr:cNvGrpSpPr>
          <a:grpSpLocks noChangeAspect="1"/>
        </xdr:cNvGrpSpPr>
      </xdr:nvGrpSpPr>
      <xdr:grpSpPr>
        <a:xfrm>
          <a:off x="3725859"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4" name="Group 13"/>
        <xdr:cNvGrpSpPr>
          <a:grpSpLocks noChangeAspect="1"/>
        </xdr:cNvGrpSpPr>
      </xdr:nvGrpSpPr>
      <xdr:grpSpPr>
        <a:xfrm>
          <a:off x="4449759"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7" name="Group 16"/>
        <xdr:cNvGrpSpPr>
          <a:grpSpLocks noChangeAspect="1"/>
        </xdr:cNvGrpSpPr>
      </xdr:nvGrpSpPr>
      <xdr:grpSpPr>
        <a:xfrm>
          <a:off x="2277282"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85725</xdr:colOff>
      <xdr:row>5</xdr:row>
      <xdr:rowOff>85725</xdr:rowOff>
    </xdr:from>
    <xdr:to>
      <xdr:col>5</xdr:col>
      <xdr:colOff>104775</xdr:colOff>
      <xdr:row>5</xdr:row>
      <xdr:rowOff>733425</xdr:rowOff>
    </xdr:to>
    <xdr:grpSp>
      <xdr:nvGrpSpPr>
        <xdr:cNvPr id="2" name="Group 39"/>
        <xdr:cNvGrpSpPr>
          <a:grpSpLocks noChangeAspect="1"/>
        </xdr:cNvGrpSpPr>
      </xdr:nvGrpSpPr>
      <xdr:grpSpPr bwMode="auto">
        <a:xfrm>
          <a:off x="1504950" y="904875"/>
          <a:ext cx="590550" cy="647700"/>
          <a:chOff x="1571625" y="533400"/>
          <a:chExt cx="847725" cy="923925"/>
        </a:xfrm>
      </xdr:grpSpPr>
      <xdr:sp macro="" textlink="">
        <xdr:nvSpPr>
          <xdr:cNvPr id="3" name="Oval 40"/>
          <xdr:cNvSpPr>
            <a:spLocks noChangeArrowheads="1"/>
          </xdr:cNvSpPr>
        </xdr:nvSpPr>
        <xdr:spPr bwMode="auto">
          <a:xfrm>
            <a:off x="1571625" y="533400"/>
            <a:ext cx="847725" cy="923925"/>
          </a:xfrm>
          <a:prstGeom prst="ellipse">
            <a:avLst/>
          </a:prstGeom>
          <a:solidFill>
            <a:srgbClr val="C0C0C0"/>
          </a:solidFill>
          <a:ln w="19050">
            <a:solidFill>
              <a:srgbClr val="000000"/>
            </a:solidFill>
            <a:round/>
            <a:headEnd/>
            <a:tailEnd/>
          </a:ln>
        </xdr:spPr>
      </xdr:sp>
      <xdr:sp macro="" textlink="">
        <xdr:nvSpPr>
          <xdr:cNvPr id="4" name="Oval 1"/>
          <xdr:cNvSpPr>
            <a:spLocks noChangeArrowheads="1"/>
          </xdr:cNvSpPr>
        </xdr:nvSpPr>
        <xdr:spPr bwMode="auto">
          <a:xfrm>
            <a:off x="1933575" y="923925"/>
            <a:ext cx="133350" cy="142875"/>
          </a:xfrm>
          <a:prstGeom prst="ellipse">
            <a:avLst/>
          </a:prstGeom>
          <a:solidFill>
            <a:srgbClr val="FFFFFF"/>
          </a:solidFill>
          <a:ln w="9525">
            <a:solidFill>
              <a:srgbClr val="000000"/>
            </a:solidFill>
            <a:round/>
            <a:headEnd/>
            <a:tailEnd/>
          </a:ln>
        </xdr:spPr>
      </xdr:sp>
    </xdr:grpSp>
    <xdr:clientData/>
  </xdr:twoCellAnchor>
  <xdr:twoCellAnchor>
    <xdr:from>
      <xdr:col>10</xdr:col>
      <xdr:colOff>85725</xdr:colOff>
      <xdr:row>5</xdr:row>
      <xdr:rowOff>85725</xdr:rowOff>
    </xdr:from>
    <xdr:to>
      <xdr:col>13</xdr:col>
      <xdr:colOff>104775</xdr:colOff>
      <xdr:row>5</xdr:row>
      <xdr:rowOff>733425</xdr:rowOff>
    </xdr:to>
    <xdr:grpSp>
      <xdr:nvGrpSpPr>
        <xdr:cNvPr id="5" name="Group 42"/>
        <xdr:cNvGrpSpPr>
          <a:grpSpLocks noChangeAspect="1"/>
        </xdr:cNvGrpSpPr>
      </xdr:nvGrpSpPr>
      <xdr:grpSpPr bwMode="auto">
        <a:xfrm>
          <a:off x="3028950" y="904875"/>
          <a:ext cx="590550" cy="647700"/>
          <a:chOff x="4391025" y="533400"/>
          <a:chExt cx="847725" cy="923925"/>
        </a:xfrm>
      </xdr:grpSpPr>
      <xdr:sp macro="" textlink="">
        <xdr:nvSpPr>
          <xdr:cNvPr id="6" name="Oval 62"/>
          <xdr:cNvSpPr>
            <a:spLocks noChangeArrowheads="1"/>
          </xdr:cNvSpPr>
        </xdr:nvSpPr>
        <xdr:spPr bwMode="auto">
          <a:xfrm>
            <a:off x="4391025" y="533400"/>
            <a:ext cx="847725" cy="923925"/>
          </a:xfrm>
          <a:prstGeom prst="ellipse">
            <a:avLst/>
          </a:prstGeom>
          <a:solidFill>
            <a:srgbClr val="C0C0C0"/>
          </a:solidFill>
          <a:ln w="19050">
            <a:solidFill>
              <a:srgbClr val="000000"/>
            </a:solidFill>
            <a:round/>
            <a:headEnd/>
            <a:tailEnd/>
          </a:ln>
        </xdr:spPr>
      </xdr:sp>
      <xdr:sp macro="" textlink="">
        <xdr:nvSpPr>
          <xdr:cNvPr id="7" name="Oval 67"/>
          <xdr:cNvSpPr>
            <a:spLocks noChangeArrowheads="1"/>
          </xdr:cNvSpPr>
        </xdr:nvSpPr>
        <xdr:spPr bwMode="auto">
          <a:xfrm>
            <a:off x="4752975" y="923925"/>
            <a:ext cx="133350" cy="142875"/>
          </a:xfrm>
          <a:prstGeom prst="ellipse">
            <a:avLst/>
          </a:prstGeom>
          <a:solidFill>
            <a:srgbClr val="FFFFFF"/>
          </a:solidFill>
          <a:ln w="9525">
            <a:solidFill>
              <a:srgbClr val="000000"/>
            </a:solidFill>
            <a:round/>
            <a:headEnd/>
            <a:tailEnd/>
          </a:ln>
        </xdr:spPr>
      </xdr:sp>
      <xdr:sp macro="" textlink="">
        <xdr:nvSpPr>
          <xdr:cNvPr id="8" name="Oval 68"/>
          <xdr:cNvSpPr>
            <a:spLocks noChangeArrowheads="1"/>
          </xdr:cNvSpPr>
        </xdr:nvSpPr>
        <xdr:spPr bwMode="auto">
          <a:xfrm>
            <a:off x="4572000" y="923925"/>
            <a:ext cx="133350" cy="142875"/>
          </a:xfrm>
          <a:prstGeom prst="ellipse">
            <a:avLst/>
          </a:prstGeom>
          <a:solidFill>
            <a:srgbClr val="0000FF"/>
          </a:solidFill>
          <a:ln w="9525">
            <a:solidFill>
              <a:srgbClr val="000000"/>
            </a:solidFill>
            <a:round/>
            <a:headEnd/>
            <a:tailEnd/>
          </a:ln>
        </xdr:spPr>
      </xdr:sp>
      <xdr:sp macro="" textlink="">
        <xdr:nvSpPr>
          <xdr:cNvPr id="9" name="Oval 69"/>
          <xdr:cNvSpPr>
            <a:spLocks noChangeArrowheads="1"/>
          </xdr:cNvSpPr>
        </xdr:nvSpPr>
        <xdr:spPr bwMode="auto">
          <a:xfrm>
            <a:off x="4943475" y="923925"/>
            <a:ext cx="133350" cy="142875"/>
          </a:xfrm>
          <a:prstGeom prst="ellipse">
            <a:avLst/>
          </a:prstGeom>
          <a:solidFill>
            <a:srgbClr val="0000FF"/>
          </a:solidFill>
          <a:ln w="9525">
            <a:solidFill>
              <a:srgbClr val="000000"/>
            </a:solidFill>
            <a:round/>
            <a:headEnd/>
            <a:tailEnd/>
          </a:ln>
        </xdr:spPr>
      </xdr:sp>
    </xdr:grpSp>
    <xdr:clientData/>
  </xdr:twoCellAnchor>
  <xdr:twoCellAnchor>
    <xdr:from>
      <xdr:col>14</xdr:col>
      <xdr:colOff>85725</xdr:colOff>
      <xdr:row>5</xdr:row>
      <xdr:rowOff>85725</xdr:rowOff>
    </xdr:from>
    <xdr:to>
      <xdr:col>17</xdr:col>
      <xdr:colOff>104775</xdr:colOff>
      <xdr:row>5</xdr:row>
      <xdr:rowOff>733425</xdr:rowOff>
    </xdr:to>
    <xdr:grpSp>
      <xdr:nvGrpSpPr>
        <xdr:cNvPr id="10" name="Group 47"/>
        <xdr:cNvGrpSpPr>
          <a:grpSpLocks noChangeAspect="1"/>
        </xdr:cNvGrpSpPr>
      </xdr:nvGrpSpPr>
      <xdr:grpSpPr bwMode="auto">
        <a:xfrm>
          <a:off x="3790950" y="904875"/>
          <a:ext cx="590550" cy="647700"/>
          <a:chOff x="5810250" y="523875"/>
          <a:chExt cx="847725" cy="923925"/>
        </a:xfrm>
      </xdr:grpSpPr>
      <xdr:sp macro="" textlink="">
        <xdr:nvSpPr>
          <xdr:cNvPr id="11" name="Oval 63"/>
          <xdr:cNvSpPr>
            <a:spLocks noChangeArrowheads="1"/>
          </xdr:cNvSpPr>
        </xdr:nvSpPr>
        <xdr:spPr bwMode="auto">
          <a:xfrm>
            <a:off x="5810250" y="523875"/>
            <a:ext cx="847725" cy="923925"/>
          </a:xfrm>
          <a:prstGeom prst="ellipse">
            <a:avLst/>
          </a:prstGeom>
          <a:solidFill>
            <a:srgbClr val="C0C0C0"/>
          </a:solidFill>
          <a:ln w="19050">
            <a:solidFill>
              <a:srgbClr val="000000"/>
            </a:solidFill>
            <a:round/>
            <a:headEnd/>
            <a:tailEnd/>
          </a:ln>
        </xdr:spPr>
      </xdr:sp>
      <xdr:sp macro="" textlink="">
        <xdr:nvSpPr>
          <xdr:cNvPr id="12" name="Oval 66"/>
          <xdr:cNvSpPr>
            <a:spLocks noChangeArrowheads="1"/>
          </xdr:cNvSpPr>
        </xdr:nvSpPr>
        <xdr:spPr bwMode="auto">
          <a:xfrm>
            <a:off x="6162675" y="914400"/>
            <a:ext cx="133350" cy="142875"/>
          </a:xfrm>
          <a:prstGeom prst="ellipse">
            <a:avLst/>
          </a:prstGeom>
          <a:solidFill>
            <a:srgbClr val="FFFFFF"/>
          </a:solidFill>
          <a:ln w="9525">
            <a:solidFill>
              <a:srgbClr val="000000"/>
            </a:solidFill>
            <a:round/>
            <a:headEnd/>
            <a:tailEnd/>
          </a:ln>
        </xdr:spPr>
      </xdr:sp>
      <xdr:sp macro="" textlink="">
        <xdr:nvSpPr>
          <xdr:cNvPr id="13" name="Oval 70"/>
          <xdr:cNvSpPr>
            <a:spLocks noChangeArrowheads="1"/>
          </xdr:cNvSpPr>
        </xdr:nvSpPr>
        <xdr:spPr bwMode="auto">
          <a:xfrm>
            <a:off x="6162675" y="1123950"/>
            <a:ext cx="133350" cy="142875"/>
          </a:xfrm>
          <a:prstGeom prst="ellipse">
            <a:avLst/>
          </a:prstGeom>
          <a:solidFill>
            <a:srgbClr val="0000FF"/>
          </a:solidFill>
          <a:ln w="9525">
            <a:solidFill>
              <a:srgbClr val="000000"/>
            </a:solidFill>
            <a:round/>
            <a:headEnd/>
            <a:tailEnd/>
          </a:ln>
        </xdr:spPr>
      </xdr:sp>
    </xdr:grpSp>
    <xdr:clientData/>
  </xdr:twoCellAnchor>
  <xdr:twoCellAnchor>
    <xdr:from>
      <xdr:col>18</xdr:col>
      <xdr:colOff>85725</xdr:colOff>
      <xdr:row>5</xdr:row>
      <xdr:rowOff>85725</xdr:rowOff>
    </xdr:from>
    <xdr:to>
      <xdr:col>21</xdr:col>
      <xdr:colOff>114300</xdr:colOff>
      <xdr:row>5</xdr:row>
      <xdr:rowOff>733425</xdr:rowOff>
    </xdr:to>
    <xdr:grpSp>
      <xdr:nvGrpSpPr>
        <xdr:cNvPr id="14" name="Group 51"/>
        <xdr:cNvGrpSpPr>
          <a:grpSpLocks noChangeAspect="1"/>
        </xdr:cNvGrpSpPr>
      </xdr:nvGrpSpPr>
      <xdr:grpSpPr bwMode="auto">
        <a:xfrm>
          <a:off x="4552950" y="904875"/>
          <a:ext cx="600075" cy="647700"/>
          <a:chOff x="7219950" y="533400"/>
          <a:chExt cx="847725" cy="923925"/>
        </a:xfrm>
      </xdr:grpSpPr>
      <xdr:sp macro="" textlink="">
        <xdr:nvSpPr>
          <xdr:cNvPr id="15" name="Oval 64"/>
          <xdr:cNvSpPr>
            <a:spLocks noChangeArrowheads="1"/>
          </xdr:cNvSpPr>
        </xdr:nvSpPr>
        <xdr:spPr bwMode="auto">
          <a:xfrm>
            <a:off x="7219950" y="533400"/>
            <a:ext cx="847725" cy="923925"/>
          </a:xfrm>
          <a:prstGeom prst="ellipse">
            <a:avLst/>
          </a:prstGeom>
          <a:solidFill>
            <a:srgbClr val="C0C0C0"/>
          </a:solidFill>
          <a:ln w="19050">
            <a:solidFill>
              <a:srgbClr val="000000"/>
            </a:solidFill>
            <a:round/>
            <a:headEnd/>
            <a:tailEnd/>
          </a:ln>
        </xdr:spPr>
      </xdr:sp>
      <xdr:sp macro="" textlink="">
        <xdr:nvSpPr>
          <xdr:cNvPr id="16" name="Oval 71"/>
          <xdr:cNvSpPr>
            <a:spLocks noChangeArrowheads="1"/>
          </xdr:cNvSpPr>
        </xdr:nvSpPr>
        <xdr:spPr bwMode="auto">
          <a:xfrm>
            <a:off x="7610475" y="1219200"/>
            <a:ext cx="57150" cy="66675"/>
          </a:xfrm>
          <a:prstGeom prst="ellipse">
            <a:avLst/>
          </a:prstGeom>
          <a:solidFill>
            <a:srgbClr val="FFFFFF"/>
          </a:solidFill>
          <a:ln w="9525">
            <a:solidFill>
              <a:srgbClr val="000000"/>
            </a:solidFill>
            <a:round/>
            <a:headEnd/>
            <a:tailEnd/>
          </a:ln>
        </xdr:spPr>
      </xdr:sp>
    </xdr:grpSp>
    <xdr:clientData/>
  </xdr:twoCellAnchor>
  <xdr:twoCellAnchor>
    <xdr:from>
      <xdr:col>6</xdr:col>
      <xdr:colOff>85725</xdr:colOff>
      <xdr:row>5</xdr:row>
      <xdr:rowOff>85725</xdr:rowOff>
    </xdr:from>
    <xdr:to>
      <xdr:col>9</xdr:col>
      <xdr:colOff>114300</xdr:colOff>
      <xdr:row>5</xdr:row>
      <xdr:rowOff>733425</xdr:rowOff>
    </xdr:to>
    <xdr:grpSp>
      <xdr:nvGrpSpPr>
        <xdr:cNvPr id="17" name="Group 58"/>
        <xdr:cNvGrpSpPr>
          <a:grpSpLocks noChangeAspect="1"/>
        </xdr:cNvGrpSpPr>
      </xdr:nvGrpSpPr>
      <xdr:grpSpPr bwMode="auto">
        <a:xfrm>
          <a:off x="2266950" y="904875"/>
          <a:ext cx="600075" cy="647700"/>
          <a:chOff x="2990850" y="533400"/>
          <a:chExt cx="847725" cy="923925"/>
        </a:xfrm>
      </xdr:grpSpPr>
      <xdr:sp macro="" textlink="">
        <xdr:nvSpPr>
          <xdr:cNvPr id="18" name="Oval 61"/>
          <xdr:cNvSpPr>
            <a:spLocks noChangeArrowheads="1"/>
          </xdr:cNvSpPr>
        </xdr:nvSpPr>
        <xdr:spPr bwMode="auto">
          <a:xfrm>
            <a:off x="2990850" y="533400"/>
            <a:ext cx="847725" cy="923925"/>
          </a:xfrm>
          <a:prstGeom prst="ellipse">
            <a:avLst/>
          </a:prstGeom>
          <a:solidFill>
            <a:srgbClr val="C0C0C0"/>
          </a:solidFill>
          <a:ln w="19050">
            <a:solidFill>
              <a:srgbClr val="000000"/>
            </a:solidFill>
            <a:round/>
            <a:headEnd/>
            <a:tailEnd/>
          </a:ln>
        </xdr:spPr>
      </xdr:sp>
      <xdr:sp macro="" textlink="">
        <xdr:nvSpPr>
          <xdr:cNvPr id="19" name="Oval 65"/>
          <xdr:cNvSpPr>
            <a:spLocks noChangeArrowheads="1"/>
          </xdr:cNvSpPr>
        </xdr:nvSpPr>
        <xdr:spPr bwMode="auto">
          <a:xfrm>
            <a:off x="3343274" y="923925"/>
            <a:ext cx="133351" cy="142875"/>
          </a:xfrm>
          <a:prstGeom prst="ellipse">
            <a:avLst/>
          </a:prstGeom>
          <a:solidFill>
            <a:srgbClr val="FFFFFF"/>
          </a:solidFill>
          <a:ln w="9525">
            <a:solidFill>
              <a:srgbClr val="000000"/>
            </a:solidFill>
            <a:round/>
            <a:headEnd/>
            <a:tailEnd/>
          </a:ln>
        </xdr:spPr>
      </xdr:sp>
      <xdr:sp macro="" textlink="">
        <xdr:nvSpPr>
          <xdr:cNvPr id="20" name="Oval 72"/>
          <xdr:cNvSpPr>
            <a:spLocks noChangeArrowheads="1"/>
          </xdr:cNvSpPr>
        </xdr:nvSpPr>
        <xdr:spPr bwMode="auto">
          <a:xfrm>
            <a:off x="3381375" y="1162050"/>
            <a:ext cx="57150" cy="66675"/>
          </a:xfrm>
          <a:prstGeom prst="ellipse">
            <a:avLst/>
          </a:prstGeom>
          <a:solidFill>
            <a:srgbClr val="0000FF"/>
          </a:solidFill>
          <a:ln w="9525">
            <a:solidFill>
              <a:srgbClr val="000000"/>
            </a:solidFill>
            <a:round/>
            <a:headEnd/>
            <a:tailEnd/>
          </a:ln>
        </xdr:spPr>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95250</xdr:colOff>
      <xdr:row>0</xdr:row>
      <xdr:rowOff>0</xdr:rowOff>
    </xdr:from>
    <xdr:to>
      <xdr:col>5</xdr:col>
      <xdr:colOff>190500</xdr:colOff>
      <xdr:row>1</xdr:row>
      <xdr:rowOff>157203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25" y="0"/>
          <a:ext cx="466725" cy="3191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30"/>
  <sheetViews>
    <sheetView showGridLines="0" showRowColHeaders="0" workbookViewId="0">
      <pane ySplit="4" topLeftCell="A5" activePane="bottomLeft" state="frozen"/>
      <selection activeCell="I1" sqref="I1"/>
      <selection pane="bottomLeft" activeCell="K1" sqref="K1"/>
    </sheetView>
  </sheetViews>
  <sheetFormatPr defaultRowHeight="12.75" x14ac:dyDescent="0.2"/>
  <cols>
    <col min="1" max="1" width="12.5703125" style="103" customWidth="1"/>
    <col min="2" max="2" width="6.5703125" style="103" customWidth="1"/>
    <col min="3" max="3" width="34.85546875" style="103" customWidth="1"/>
    <col min="4" max="4" width="14.140625" style="103" customWidth="1"/>
    <col min="5" max="5" width="4.7109375" style="103" customWidth="1"/>
    <col min="6" max="7" width="3.28515625" style="103" bestFit="1" customWidth="1"/>
    <col min="8" max="8" width="30.140625" style="103" bestFit="1" customWidth="1"/>
    <col min="9" max="9" width="19.5703125" style="103" bestFit="1" customWidth="1"/>
    <col min="10" max="10" width="6.7109375" style="103" customWidth="1"/>
    <col min="11" max="11" width="5" style="103" bestFit="1" customWidth="1"/>
    <col min="12" max="16384" width="9.140625" style="103"/>
  </cols>
  <sheetData>
    <row r="1" spans="1:11" x14ac:dyDescent="0.2">
      <c r="B1" s="102" t="s">
        <v>297</v>
      </c>
      <c r="H1" s="271" t="s">
        <v>298</v>
      </c>
    </row>
    <row r="2" spans="1:11" x14ac:dyDescent="0.2">
      <c r="A2" s="102"/>
      <c r="H2" s="134"/>
    </row>
    <row r="4" spans="1:11" x14ac:dyDescent="0.2">
      <c r="A4" s="104" t="s">
        <v>183</v>
      </c>
      <c r="B4" s="104" t="s">
        <v>184</v>
      </c>
      <c r="C4" s="104" t="s">
        <v>185</v>
      </c>
      <c r="D4" s="104" t="s">
        <v>186</v>
      </c>
      <c r="E4" s="104" t="s">
        <v>187</v>
      </c>
      <c r="F4" s="104"/>
      <c r="G4" s="104"/>
      <c r="H4" s="104" t="s">
        <v>188</v>
      </c>
      <c r="I4" s="104" t="s">
        <v>189</v>
      </c>
      <c r="J4" s="104" t="s">
        <v>604</v>
      </c>
      <c r="K4" s="104" t="s">
        <v>190</v>
      </c>
    </row>
    <row r="5" spans="1:11" x14ac:dyDescent="0.2">
      <c r="A5" s="213" t="s">
        <v>1001</v>
      </c>
      <c r="B5" s="214"/>
      <c r="J5" s="105"/>
    </row>
    <row r="6" spans="1:11" x14ac:dyDescent="0.2">
      <c r="A6" s="916" t="s">
        <v>302</v>
      </c>
      <c r="B6" s="917" t="s">
        <v>573</v>
      </c>
      <c r="C6" s="918" t="str">
        <f>HYPERLINK("http://www.petanque.ee/index.php?id=103761&amp;cid=503","Eesti reitinguvõistlus")</f>
        <v>Eesti reitinguvõistlus</v>
      </c>
      <c r="D6" s="919" t="s">
        <v>193</v>
      </c>
      <c r="E6" s="920" t="str">
        <f>HYPERLINK("#1!G1","1")</f>
        <v>1</v>
      </c>
      <c r="F6" s="921"/>
      <c r="G6" s="922"/>
      <c r="H6" s="923" t="str">
        <f>HYPERLINK("http://kaart.delfi.ee//?bookmark=36ee67ba7cba151859305c222805d114","Saku, Teaduse 2")</f>
        <v>Saku, Teaduse 2</v>
      </c>
      <c r="I6" s="919" t="s">
        <v>571</v>
      </c>
      <c r="J6" s="924">
        <v>8</v>
      </c>
      <c r="K6" s="925">
        <f>Üldreiting!V162</f>
        <v>34</v>
      </c>
    </row>
    <row r="7" spans="1:11" x14ac:dyDescent="0.2">
      <c r="A7" s="272" t="s">
        <v>303</v>
      </c>
      <c r="B7" s="273" t="s">
        <v>574</v>
      </c>
      <c r="C7" s="366" t="str">
        <f>HYPERLINK("http://www.petanque.ee/index.php?id=103761&amp;cid=504","EM, MM katsevõistlus - 1. etapp")</f>
        <v>EM, MM katsevõistlus - 1. etapp</v>
      </c>
      <c r="D7" s="274" t="s">
        <v>193</v>
      </c>
      <c r="E7" s="368" t="str">
        <f>HYPERLINK("#'KV-1'!H1","KV-1")</f>
        <v>KV-1</v>
      </c>
      <c r="F7" s="374"/>
      <c r="G7" s="369"/>
      <c r="H7" s="275" t="str">
        <f>HYPERLINK("http://kaart.delfi.ee//?bookmark=36ee67ba7cba151859305c222805d114","Saku, Teaduse 2")</f>
        <v>Saku, Teaduse 2</v>
      </c>
      <c r="I7" s="274" t="s">
        <v>194</v>
      </c>
      <c r="J7" s="276">
        <v>30</v>
      </c>
      <c r="K7" s="277">
        <v>38</v>
      </c>
    </row>
    <row r="8" spans="1:11" x14ac:dyDescent="0.2">
      <c r="A8" s="818" t="s">
        <v>308</v>
      </c>
      <c r="B8" s="819" t="s">
        <v>574</v>
      </c>
      <c r="C8" s="998" t="str">
        <f>HYPERLINK("https://webzone.ee/petankt/tabelid/esl-2017.xlsx","ESVL veteranide (35+) MV")</f>
        <v>ESVL veteranide (35+) MV</v>
      </c>
      <c r="D8" s="818" t="s">
        <v>191</v>
      </c>
      <c r="E8" s="370" t="str">
        <f>HYPERLINK("https://webzone.ee/petankt/tabelid/esl-2017.xlsx","esvl")</f>
        <v>esvl</v>
      </c>
      <c r="F8" s="375"/>
      <c r="G8" s="371"/>
      <c r="H8" s="820" t="str">
        <f>HYPERLINK("http://kaart.delfi.ee//?bookmark=2a5ec780031a77057ec1ba6937023e5b","Valga, Pärna pst 17a")</f>
        <v>Valga, Pärna pst 17a</v>
      </c>
      <c r="I8" s="818" t="s">
        <v>198</v>
      </c>
      <c r="J8" s="821">
        <v>8</v>
      </c>
      <c r="K8" s="822">
        <v>79</v>
      </c>
    </row>
    <row r="9" spans="1:11" x14ac:dyDescent="0.2">
      <c r="A9" s="213" t="s">
        <v>299</v>
      </c>
      <c r="B9" s="214"/>
      <c r="E9" s="372"/>
      <c r="F9" s="372"/>
      <c r="G9" s="372"/>
      <c r="J9" s="105"/>
      <c r="K9" s="107"/>
    </row>
    <row r="10" spans="1:11" x14ac:dyDescent="0.2">
      <c r="A10" s="930" t="s">
        <v>304</v>
      </c>
      <c r="B10" s="943" t="s">
        <v>573</v>
      </c>
      <c r="C10" s="932" t="str">
        <f>HYPERLINK("http://www.petanque.ee/index.php?id=103761&amp;cid=505","20. Eesti MV")</f>
        <v>20. Eesti MV</v>
      </c>
      <c r="D10" s="930" t="s">
        <v>201</v>
      </c>
      <c r="E10" s="946" t="str">
        <f>HYPERLINK("#2!I1","2")</f>
        <v>2</v>
      </c>
      <c r="F10" s="947"/>
      <c r="G10" s="948"/>
      <c r="H10" s="936" t="str">
        <f>HYPERLINK("http://kaart.delfi.ee/?bookmark=c3bc2d791932456b66ad8adb604010c1","Uuskalda (Läänemaa, Kärbla küla)")</f>
        <v>Uuskalda (Läänemaa, Kärbla küla)</v>
      </c>
      <c r="I10" s="930" t="s">
        <v>572</v>
      </c>
      <c r="J10" s="938">
        <v>8</v>
      </c>
      <c r="K10" s="939">
        <f>Üldreiting!W162</f>
        <v>42</v>
      </c>
    </row>
    <row r="11" spans="1:11" x14ac:dyDescent="0.2">
      <c r="A11" s="916" t="s">
        <v>305</v>
      </c>
      <c r="B11" s="503" t="s">
        <v>573</v>
      </c>
      <c r="C11" s="918" t="str">
        <f>HYPERLINK("http://www.petanque.ee/index.php?id=103761&amp;cid=506","Eesti reitinguvõistlus")</f>
        <v>Eesti reitinguvõistlus</v>
      </c>
      <c r="D11" s="919" t="s">
        <v>193</v>
      </c>
      <c r="E11" s="920" t="str">
        <f>HYPERLINK("#3!H1","3")</f>
        <v>3</v>
      </c>
      <c r="F11" s="921"/>
      <c r="G11" s="922"/>
      <c r="H11" s="944" t="str">
        <f>HYPERLINK("http://kaart.delfi.ee/?bookmark=c3bc2d791932456b66ad8adb604010c1","Uuskalda (Läänemaa, Kärbla küla)")</f>
        <v>Uuskalda (Läänemaa, Kärbla küla)</v>
      </c>
      <c r="I11" s="919" t="s">
        <v>572</v>
      </c>
      <c r="J11" s="924">
        <v>8</v>
      </c>
      <c r="K11" s="925">
        <f>Üldreiting!X162</f>
        <v>46</v>
      </c>
    </row>
    <row r="12" spans="1:11" s="106" customFormat="1" x14ac:dyDescent="0.2">
      <c r="A12" s="949" t="s">
        <v>306</v>
      </c>
      <c r="B12" s="931" t="s">
        <v>696</v>
      </c>
      <c r="C12" s="932" t="str">
        <f>HYPERLINK("http://www.petanque.ee/index.php?id=103761&amp;cid=507","27. Eesti MV")</f>
        <v>27. Eesti MV</v>
      </c>
      <c r="D12" s="930" t="s">
        <v>191</v>
      </c>
      <c r="E12" s="950" t="str">
        <f>HYPERLINK("#4M!G1","4M")</f>
        <v>4M</v>
      </c>
      <c r="F12" s="951" t="str">
        <f>HYPERLINK("#4N!G1","4N")</f>
        <v>4N</v>
      </c>
      <c r="G12" s="952" t="str">
        <f>HYPERLINK("#4J!G1","4J")</f>
        <v>4J</v>
      </c>
      <c r="H12" s="953" t="str">
        <f>HYPERLINK("http://kaart.delfi.ee/?bookmark=4c0b1b0c24ff9f4919899a9546bf50f1","Jõhvi, Neptun")</f>
        <v>Jõhvi, Neptun</v>
      </c>
      <c r="I12" s="937" t="s">
        <v>853</v>
      </c>
      <c r="J12" s="938">
        <v>8</v>
      </c>
      <c r="K12" s="939">
        <f>Üldreiting!Y162</f>
        <v>36</v>
      </c>
    </row>
    <row r="13" spans="1:11" x14ac:dyDescent="0.2">
      <c r="A13" s="930" t="s">
        <v>307</v>
      </c>
      <c r="B13" s="943" t="s">
        <v>573</v>
      </c>
      <c r="C13" s="932" t="str">
        <f>HYPERLINK("http://www.petanque.ee/index.php?id=103761&amp;cid=508","17. Eesti MV")</f>
        <v>17. Eesti MV</v>
      </c>
      <c r="D13" s="930" t="s">
        <v>196</v>
      </c>
      <c r="E13" s="954" t="str">
        <f>HYPERLINK("#5M!W1","5M")</f>
        <v>5M</v>
      </c>
      <c r="F13" s="955" t="str">
        <f>HYPERLINK("#5N!W1","5N")</f>
        <v>5N</v>
      </c>
      <c r="G13" s="956"/>
      <c r="H13" s="936" t="str">
        <f>HYPERLINK("http://kaart.delfi.ee/?bookmark=521b80d6ceeefbe3e5d227267242b576","Kohtla-Järve, Järveküla tee 44")</f>
        <v>Kohtla-Järve, Järveküla tee 44</v>
      </c>
      <c r="I13" s="930" t="s">
        <v>853</v>
      </c>
      <c r="J13" s="938">
        <v>8</v>
      </c>
      <c r="K13" s="939">
        <f>Üldreiting!AC162</f>
        <v>32</v>
      </c>
    </row>
    <row r="14" spans="1:11" x14ac:dyDescent="0.2">
      <c r="A14" s="272" t="s">
        <v>309</v>
      </c>
      <c r="B14" s="273"/>
      <c r="C14" s="366" t="str">
        <f>HYPERLINK("http://www.petanque.ee/index.php?id=103761&amp;cid=509","EM, MM katsevõistlus - 2. etapp")</f>
        <v>EM, MM katsevõistlus - 2. etapp</v>
      </c>
      <c r="D14" s="274" t="s">
        <v>193</v>
      </c>
      <c r="E14" s="368" t="str">
        <f>HYPERLINK("#'KV-2'!H1","KV-2")</f>
        <v>KV-2</v>
      </c>
      <c r="F14" s="374"/>
      <c r="G14" s="369"/>
      <c r="H14" s="280" t="str">
        <f>HYPERLINK("http://kaart.delfi.ee/?bookmark=3997edd9e42bffb3d1b01260e8774b71","Tallinn, Linnu tee 11")</f>
        <v>Tallinn, Linnu tee 11</v>
      </c>
      <c r="I14" s="274" t="s">
        <v>194</v>
      </c>
      <c r="J14" s="276">
        <v>0</v>
      </c>
      <c r="K14" s="277"/>
    </row>
    <row r="15" spans="1:11" x14ac:dyDescent="0.2">
      <c r="A15" s="272" t="s">
        <v>310</v>
      </c>
      <c r="B15" s="273"/>
      <c r="C15" s="366" t="str">
        <f>HYPERLINK("http://www.petanque.ee/index.php?id=103761&amp;cid=510","EM, MM katsevõistlus - finaal")</f>
        <v>EM, MM katsevõistlus - finaal</v>
      </c>
      <c r="D15" s="274" t="s">
        <v>193</v>
      </c>
      <c r="E15" s="368" t="str">
        <f>HYPERLINK("#'KV-F'!H1","KV-F")</f>
        <v>KV-F</v>
      </c>
      <c r="F15" s="374"/>
      <c r="G15" s="369"/>
      <c r="H15" s="280" t="str">
        <f>HYPERLINK("http://kaart.delfi.ee/?bookmark=3997edd9e42bffb3d1b01260e8774b71","Tallinn, Linnu tee 11")</f>
        <v>Tallinn, Linnu tee 11</v>
      </c>
      <c r="I15" s="274" t="s">
        <v>194</v>
      </c>
      <c r="J15" s="276">
        <v>0</v>
      </c>
      <c r="K15" s="277"/>
    </row>
    <row r="16" spans="1:11" x14ac:dyDescent="0.2">
      <c r="A16" s="213" t="s">
        <v>300</v>
      </c>
      <c r="B16" s="214"/>
      <c r="C16" s="108"/>
      <c r="D16" s="108"/>
      <c r="E16" s="109"/>
      <c r="F16" s="109"/>
      <c r="G16" s="109"/>
      <c r="H16" s="108"/>
      <c r="I16" s="108"/>
      <c r="J16" s="110"/>
      <c r="K16" s="107"/>
    </row>
    <row r="17" spans="1:11" s="106" customFormat="1" x14ac:dyDescent="0.2">
      <c r="A17" s="916" t="s">
        <v>311</v>
      </c>
      <c r="B17" s="917"/>
      <c r="C17" s="918" t="str">
        <f>HYPERLINK("http://www.petanque.ee/index.php?id=103761&amp;cid=511","Eesti reitinguvõistlus")</f>
        <v>Eesti reitinguvõistlus</v>
      </c>
      <c r="D17" s="916" t="s">
        <v>192</v>
      </c>
      <c r="E17" s="920" t="str">
        <f>HYPERLINK("#6!G1","6")</f>
        <v>6</v>
      </c>
      <c r="F17" s="921"/>
      <c r="G17" s="922"/>
      <c r="H17" s="945" t="str">
        <f>HYPERLINK("http://kaart.delfi.ee/?bookmark=037591353bf9698628b723dab6c5e799","Valga, Metsa")</f>
        <v>Valga, Metsa</v>
      </c>
      <c r="I17" s="916" t="s">
        <v>854</v>
      </c>
      <c r="J17" s="924">
        <v>8</v>
      </c>
      <c r="K17" s="925">
        <f>Üldreiting!AG162</f>
        <v>49</v>
      </c>
    </row>
    <row r="18" spans="1:11" x14ac:dyDescent="0.2">
      <c r="A18" s="213" t="s">
        <v>301</v>
      </c>
      <c r="B18" s="214"/>
      <c r="E18" s="372"/>
      <c r="F18" s="372"/>
      <c r="G18" s="372"/>
      <c r="J18" s="105"/>
      <c r="K18" s="107"/>
    </row>
    <row r="19" spans="1:11" s="106" customFormat="1" x14ac:dyDescent="0.2">
      <c r="A19" s="937" t="s">
        <v>312</v>
      </c>
      <c r="B19" s="943" t="s">
        <v>573</v>
      </c>
      <c r="C19" s="932" t="str">
        <f>HYPERLINK("http://www.petanque.ee/index.php?id=103761&amp;cid=515","27. Eesti MV")</f>
        <v>27. Eesti MV</v>
      </c>
      <c r="D19" s="930" t="s">
        <v>192</v>
      </c>
      <c r="E19" s="933" t="str">
        <f>HYPERLINK("#7!G1","7")</f>
        <v>7</v>
      </c>
      <c r="F19" s="934"/>
      <c r="G19" s="935"/>
      <c r="H19" s="936" t="str">
        <f>HYPERLINK("http://kaart.delfi.ee//?bookmark=02a763eb5e2ccd81dd84675ce47ef3f0","Jüri, Laste 3")</f>
        <v>Jüri, Laste 3</v>
      </c>
      <c r="I19" s="930" t="s">
        <v>197</v>
      </c>
      <c r="J19" s="938">
        <v>8</v>
      </c>
      <c r="K19" s="939">
        <f>Üldreiting!AH162</f>
        <v>41</v>
      </c>
    </row>
    <row r="20" spans="1:11" x14ac:dyDescent="0.2">
      <c r="A20" s="916" t="s">
        <v>313</v>
      </c>
      <c r="B20" s="503" t="s">
        <v>573</v>
      </c>
      <c r="C20" s="918" t="str">
        <f>HYPERLINK("http://www.petanque.ee/index.php?id=103761&amp;cid=516","Eesti reitinguvõistlus")</f>
        <v>Eesti reitinguvõistlus</v>
      </c>
      <c r="D20" s="919" t="s">
        <v>193</v>
      </c>
      <c r="E20" s="920" t="str">
        <f>HYPERLINK("#8!G1","8")</f>
        <v>8</v>
      </c>
      <c r="F20" s="921"/>
      <c r="G20" s="922"/>
      <c r="H20" s="944" t="str">
        <f>HYPERLINK("http://kaart.delfi.ee//?bookmark=02a763eb5e2ccd81dd84675ce47ef3f0","Jüri, Laste 3")</f>
        <v>Jüri, Laste 3</v>
      </c>
      <c r="I20" s="916" t="s">
        <v>197</v>
      </c>
      <c r="J20" s="924">
        <v>8</v>
      </c>
      <c r="K20" s="925">
        <f>Üldreiting!AI162</f>
        <v>26</v>
      </c>
    </row>
    <row r="21" spans="1:11" x14ac:dyDescent="0.2">
      <c r="A21" s="930" t="s">
        <v>314</v>
      </c>
      <c r="B21" s="931" t="s">
        <v>696</v>
      </c>
      <c r="C21" s="932" t="str">
        <f>HYPERLINK("http://www.petanque.ee/index.php?id=103761&amp;cid=517","12. Eesti MV")</f>
        <v>12. Eesti MV</v>
      </c>
      <c r="D21" s="930" t="s">
        <v>200</v>
      </c>
      <c r="E21" s="933" t="str">
        <f>HYPERLINK("#9!G1","9")</f>
        <v>9</v>
      </c>
      <c r="F21" s="934"/>
      <c r="G21" s="935"/>
      <c r="H21" s="936" t="str">
        <f>HYPERLINK("http://kaart.delfi.ee/?bookmark=521b80d6ceeefbe3e5d227267242b576","Kohtla-Järve, Järveküla tee 44")</f>
        <v>Kohtla-Järve, Järveküla tee 44</v>
      </c>
      <c r="I21" s="930" t="s">
        <v>853</v>
      </c>
      <c r="J21" s="938">
        <v>8</v>
      </c>
      <c r="K21" s="939">
        <f>Üldreiting!AJ162</f>
        <v>34</v>
      </c>
    </row>
    <row r="22" spans="1:11" s="106" customFormat="1" x14ac:dyDescent="0.2">
      <c r="A22" s="916" t="s">
        <v>315</v>
      </c>
      <c r="B22" s="503" t="s">
        <v>573</v>
      </c>
      <c r="C22" s="918" t="str">
        <f>HYPERLINK("http://www.petanque.ee/index.php?id=103761&amp;cid=518","Eesti reitinguvõistlus, 4. Viru karikas")</f>
        <v>Eesti reitinguvõistlus, 4. Viru karikas</v>
      </c>
      <c r="D22" s="919" t="s">
        <v>192</v>
      </c>
      <c r="E22" s="940" t="str">
        <f>HYPERLINK("#10!G1","10")</f>
        <v>10</v>
      </c>
      <c r="F22" s="941"/>
      <c r="G22" s="942"/>
      <c r="H22" s="944" t="str">
        <f>HYPERLINK("http://kaart.delfi.ee/?bookmark=521b80d6ceeefbe3e5d227267242b576","Kohtla-Järve, Järveküla tee 44")</f>
        <v>Kohtla-Järve, Järveküla tee 44</v>
      </c>
      <c r="I22" s="916" t="s">
        <v>853</v>
      </c>
      <c r="J22" s="924">
        <v>8</v>
      </c>
      <c r="K22" s="925">
        <f>Üldreiting!AK162</f>
        <v>42</v>
      </c>
    </row>
    <row r="23" spans="1:11" s="106" customFormat="1" x14ac:dyDescent="0.2">
      <c r="A23" s="957" t="s">
        <v>316</v>
      </c>
      <c r="B23" s="872"/>
      <c r="C23" s="969" t="str">
        <f>HYPERLINK("http://www.petanque.ee/index.php?id=103761&amp;cid=519","14. Klubide karikas - toimub 2018 kevadel")</f>
        <v>14. Klubide karikas - toimub 2018 kevadel</v>
      </c>
      <c r="D23" s="958" t="s">
        <v>317</v>
      </c>
      <c r="E23" s="873"/>
      <c r="F23" s="874"/>
      <c r="G23" s="875"/>
      <c r="H23" s="959" t="s">
        <v>7</v>
      </c>
      <c r="I23" s="957" t="s">
        <v>194</v>
      </c>
      <c r="J23" s="876"/>
      <c r="K23" s="877"/>
    </row>
    <row r="24" spans="1:11" x14ac:dyDescent="0.2">
      <c r="A24" s="213" t="s">
        <v>319</v>
      </c>
      <c r="B24" s="926"/>
      <c r="C24" s="102"/>
      <c r="D24" s="102"/>
      <c r="E24" s="927"/>
      <c r="F24" s="927"/>
      <c r="G24" s="927"/>
      <c r="H24" s="102"/>
      <c r="I24" s="102"/>
      <c r="J24" s="928"/>
      <c r="K24" s="929"/>
    </row>
    <row r="25" spans="1:11" s="106" customFormat="1" x14ac:dyDescent="0.2">
      <c r="A25" s="930" t="s">
        <v>320</v>
      </c>
      <c r="B25" s="931"/>
      <c r="C25" s="932" t="str">
        <f>HYPERLINK("http://www.petanque.ee/index.php?id=103761&amp;cid=520","26. Eesti MV")</f>
        <v>26. Eesti MV</v>
      </c>
      <c r="D25" s="930" t="s">
        <v>193</v>
      </c>
      <c r="E25" s="933" t="str">
        <f>HYPERLINK("#11!G1","11")</f>
        <v>11</v>
      </c>
      <c r="F25" s="934"/>
      <c r="G25" s="935"/>
      <c r="H25" s="936" t="str">
        <f>HYPERLINK("http://kaart.delfi.ee//?bookmark=36ee67ba7cba151859305c222805d114","Saku, Teaduse 2")</f>
        <v>Saku, Teaduse 2</v>
      </c>
      <c r="I25" s="937" t="s">
        <v>571</v>
      </c>
      <c r="J25" s="938">
        <v>8</v>
      </c>
      <c r="K25" s="939">
        <f>Üldreiting!AL162</f>
        <v>50</v>
      </c>
    </row>
    <row r="26" spans="1:11" s="106" customFormat="1" x14ac:dyDescent="0.2">
      <c r="A26" s="916" t="s">
        <v>318</v>
      </c>
      <c r="B26" s="917"/>
      <c r="C26" s="918" t="str">
        <f>HYPERLINK("http://www.petanque.ee/index.php?id=103761&amp;cid=521","Eesti reitinguvõistlus")</f>
        <v>Eesti reitinguvõistlus</v>
      </c>
      <c r="D26" s="919" t="s">
        <v>192</v>
      </c>
      <c r="E26" s="940" t="str">
        <f>HYPERLINK("#12!G1","12")</f>
        <v>12</v>
      </c>
      <c r="F26" s="941"/>
      <c r="G26" s="942"/>
      <c r="H26" s="923" t="str">
        <f>HYPERLINK("http://kaart.delfi.ee//?bookmark=36ee67ba7cba151859305c222805d114","Saku, Teaduse 2")</f>
        <v>Saku, Teaduse 2</v>
      </c>
      <c r="I26" s="916" t="s">
        <v>571</v>
      </c>
      <c r="J26" s="924">
        <v>8</v>
      </c>
      <c r="K26" s="925">
        <f>Üldreiting!AM162</f>
        <v>37</v>
      </c>
    </row>
    <row r="27" spans="1:11" x14ac:dyDescent="0.2">
      <c r="A27" s="278" t="s">
        <v>321</v>
      </c>
      <c r="B27" s="279"/>
      <c r="C27" s="366" t="str">
        <f>HYPERLINK("http://www.petanque.ee/index.php?id=103761&amp;cid=522","24. Eesti-Soome maavõistlus")</f>
        <v>24. Eesti-Soome maavõistlus</v>
      </c>
      <c r="D27" s="278" t="s">
        <v>1003</v>
      </c>
      <c r="E27" s="368" t="str">
        <f>HYPERLINK("#'Ee-So'!B1","Ee-So")</f>
        <v>Ee-So</v>
      </c>
      <c r="F27" s="376"/>
      <c r="G27" s="373"/>
      <c r="H27" s="851" t="str">
        <f>HYPERLINK("http://kaart.delfi.ee/?bookmark=0807568cf7d8a03cedbb545921254497","Tallinna petangihall, Algi 38")</f>
        <v>Tallinna petangihall, Algi 38</v>
      </c>
      <c r="I27" s="274" t="s">
        <v>194</v>
      </c>
      <c r="J27" s="276"/>
      <c r="K27" s="277">
        <v>39</v>
      </c>
    </row>
    <row r="29" spans="1:11" s="106" customFormat="1" x14ac:dyDescent="0.2">
      <c r="A29" s="2" t="s">
        <v>570</v>
      </c>
      <c r="B29" s="113"/>
      <c r="C29" s="113"/>
      <c r="J29" s="111"/>
    </row>
    <row r="30" spans="1:11" x14ac:dyDescent="0.2">
      <c r="A30" s="112" t="s">
        <v>195</v>
      </c>
      <c r="K30" s="313" t="s">
        <v>347</v>
      </c>
    </row>
  </sheetData>
  <autoFilter ref="A4:J26"/>
  <conditionalFormatting sqref="K6 K10:K13 K17 K19:K22 K25:K26">
    <cfRule type="top10" dxfId="681" priority="1" rank="1"/>
  </conditionalFormatting>
  <printOptions horizontalCentered="1"/>
  <pageMargins left="0.39370078740157483" right="0.39370078740157483" top="0.98425196850393704" bottom="0.39370078740157483" header="0.78740157480314965" footer="0"/>
  <pageSetup paperSize="9" fitToHeight="0" orientation="landscape" horizontalDpi="180" verticalDpi="180" r:id="rId1"/>
  <headerFooter>
    <oddHeader>&amp;R&amp;"Arial,Regular"&amp;9Page &amp;P of &amp;N</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AS163"/>
  <sheetViews>
    <sheetView showGridLines="0" showRowColHeaders="0" tabSelected="1" zoomScaleNormal="100" workbookViewId="0">
      <pane xSplit="20" ySplit="8" topLeftCell="U57" activePane="bottomRight" state="frozen"/>
      <selection activeCell="T1" sqref="T1"/>
      <selection pane="topRight" activeCell="T1" sqref="T1"/>
      <selection pane="bottomLeft" activeCell="T1" sqref="T1"/>
      <selection pane="bottomRight" activeCell="W1" sqref="W1"/>
    </sheetView>
  </sheetViews>
  <sheetFormatPr defaultRowHeight="12.75" x14ac:dyDescent="0.2"/>
  <cols>
    <col min="1" max="1" width="3.7109375" style="4" customWidth="1"/>
    <col min="2" max="2" width="4" style="4" hidden="1" customWidth="1"/>
    <col min="3" max="3" width="6.7109375" style="4" hidden="1" customWidth="1"/>
    <col min="4" max="4" width="3" style="4" bestFit="1" customWidth="1"/>
    <col min="5" max="5" width="3.140625" style="4" hidden="1" customWidth="1"/>
    <col min="6" max="6" width="6.7109375" style="4" hidden="1" customWidth="1"/>
    <col min="7" max="7" width="3" style="4" bestFit="1" customWidth="1"/>
    <col min="8" max="8" width="3.140625" style="4" hidden="1" customWidth="1"/>
    <col min="9" max="9" width="6.7109375" style="4" hidden="1" customWidth="1"/>
    <col min="10" max="10" width="4" style="4" hidden="1" customWidth="1"/>
    <col min="11" max="11" width="3.7109375" style="4" customWidth="1"/>
    <col min="12" max="12" width="19" style="4" customWidth="1"/>
    <col min="13" max="13" width="5.7109375" style="2" customWidth="1"/>
    <col min="14" max="14" width="6" style="2" hidden="1" customWidth="1"/>
    <col min="15" max="15" width="4.7109375" style="2" customWidth="1"/>
    <col min="16" max="16" width="6.7109375" style="2" hidden="1" customWidth="1"/>
    <col min="17" max="17" width="4.7109375" style="2" customWidth="1"/>
    <col min="18" max="18" width="6.7109375" style="2" hidden="1" customWidth="1"/>
    <col min="19" max="19" width="2.28515625" style="4" hidden="1" customWidth="1"/>
    <col min="20" max="20" width="1.85546875" style="4" hidden="1" customWidth="1"/>
    <col min="21" max="21" width="3.7109375" style="4" customWidth="1"/>
    <col min="22" max="24" width="4.5703125" style="3" customWidth="1"/>
    <col min="25" max="28" width="4" style="3" customWidth="1"/>
    <col min="29" max="31" width="4" style="4" customWidth="1"/>
    <col min="32" max="32" width="4" style="4" hidden="1" customWidth="1"/>
    <col min="33" max="34" width="4.5703125" style="3" customWidth="1"/>
    <col min="35" max="36" width="4.5703125" style="4" customWidth="1"/>
    <col min="37" max="38" width="4.5703125" style="3" customWidth="1"/>
    <col min="39" max="39" width="4.5703125" style="4" customWidth="1"/>
    <col min="40" max="40" width="3" style="4" customWidth="1"/>
    <col min="41" max="42" width="3.42578125" style="4" customWidth="1"/>
    <col min="43" max="43" width="5" style="4" customWidth="1"/>
    <col min="44" max="45" width="2.7109375" style="4" hidden="1" customWidth="1"/>
    <col min="46" max="16384" width="9.140625" style="4"/>
  </cols>
  <sheetData>
    <row r="1" spans="1:45" x14ac:dyDescent="0.2">
      <c r="A1" s="1"/>
      <c r="B1" s="1"/>
      <c r="C1" s="1"/>
      <c r="D1" s="1"/>
      <c r="E1" s="1"/>
      <c r="F1" s="1"/>
      <c r="G1" s="1" t="s">
        <v>296</v>
      </c>
      <c r="H1" s="1"/>
      <c r="I1" s="1"/>
      <c r="M1" s="1"/>
      <c r="N1"/>
      <c r="O1" s="1"/>
      <c r="P1"/>
      <c r="Q1" s="1"/>
      <c r="R1"/>
      <c r="S1" s="2"/>
      <c r="T1" s="2"/>
      <c r="U1" s="2"/>
      <c r="Y1" s="5"/>
      <c r="Z1" s="5"/>
      <c r="AC1" s="80" t="s">
        <v>0</v>
      </c>
      <c r="AD1" s="696"/>
      <c r="AE1" s="75"/>
      <c r="AF1" s="75"/>
      <c r="AG1" s="76" t="s">
        <v>226</v>
      </c>
      <c r="AH1" s="77"/>
      <c r="AI1" s="78" t="s">
        <v>227</v>
      </c>
      <c r="AJ1" s="75"/>
      <c r="AK1" s="79" t="s">
        <v>228</v>
      </c>
      <c r="AL1" s="878"/>
      <c r="AM1" s="264" t="s">
        <v>229</v>
      </c>
      <c r="AN1" s="6"/>
      <c r="AO1" s="7" t="s">
        <v>3</v>
      </c>
      <c r="AP1" s="7"/>
    </row>
    <row r="2" spans="1:45" x14ac:dyDescent="0.2">
      <c r="A2" s="8"/>
      <c r="B2" s="8"/>
      <c r="C2" s="8"/>
      <c r="D2" s="8"/>
      <c r="E2" s="8"/>
      <c r="F2" s="8"/>
      <c r="G2" s="8" t="s">
        <v>570</v>
      </c>
      <c r="H2" s="8"/>
      <c r="I2" s="8"/>
      <c r="M2" s="1"/>
      <c r="O2" s="1"/>
      <c r="Q2" s="1"/>
      <c r="S2" s="2"/>
      <c r="T2" s="2"/>
      <c r="U2" s="2"/>
      <c r="V2" s="9"/>
      <c r="W2" s="9"/>
      <c r="X2" s="10"/>
      <c r="Y2" s="9"/>
      <c r="Z2" s="9"/>
      <c r="AA2" s="9"/>
      <c r="AC2" s="733" t="s">
        <v>782</v>
      </c>
      <c r="AD2" s="734"/>
      <c r="AE2" s="735" t="s">
        <v>781</v>
      </c>
      <c r="AF2" s="735"/>
      <c r="AG2" s="737"/>
      <c r="AH2" s="735"/>
      <c r="AI2" s="735" t="s">
        <v>783</v>
      </c>
      <c r="AJ2" s="734"/>
      <c r="AK2" s="735" t="s">
        <v>784</v>
      </c>
      <c r="AL2" s="735"/>
      <c r="AM2" s="736"/>
      <c r="AN2" s="6"/>
      <c r="AO2" s="11" t="s">
        <v>4</v>
      </c>
      <c r="AP2" s="11"/>
    </row>
    <row r="3" spans="1:45" x14ac:dyDescent="0.2">
      <c r="A3" s="2"/>
      <c r="B3" s="2"/>
      <c r="C3" s="2"/>
      <c r="D3" s="2"/>
      <c r="E3" s="2"/>
      <c r="F3" s="2"/>
      <c r="G3" s="2"/>
      <c r="H3" s="2"/>
      <c r="I3" s="2"/>
      <c r="J3" s="2"/>
      <c r="K3" s="2"/>
      <c r="L3" s="130" t="s">
        <v>1002</v>
      </c>
      <c r="M3" s="378"/>
      <c r="N3" s="379"/>
      <c r="O3" s="378"/>
      <c r="P3" s="10"/>
      <c r="Q3" s="9"/>
      <c r="R3" s="10"/>
      <c r="S3" s="10"/>
      <c r="T3" s="2"/>
      <c r="U3" s="2"/>
      <c r="V3" s="10"/>
      <c r="W3" s="10"/>
      <c r="X3" s="10"/>
      <c r="Y3" s="10"/>
      <c r="Z3" s="10"/>
      <c r="AA3" s="10"/>
      <c r="AB3" s="10"/>
      <c r="AF3" s="2"/>
      <c r="AG3" s="10"/>
      <c r="AH3" s="10"/>
      <c r="AI3" s="2"/>
      <c r="AJ3" s="2"/>
      <c r="AK3" s="10"/>
      <c r="AL3" s="10"/>
      <c r="AM3" s="2"/>
      <c r="AN3" s="6"/>
      <c r="AO3" s="12" t="s">
        <v>5</v>
      </c>
      <c r="AP3" s="12"/>
    </row>
    <row r="4" spans="1:45" x14ac:dyDescent="0.2">
      <c r="A4" s="211"/>
      <c r="B4" s="211" t="s">
        <v>6</v>
      </c>
      <c r="C4" s="211" t="s">
        <v>6</v>
      </c>
      <c r="D4" s="211"/>
      <c r="E4" s="211" t="s">
        <v>6</v>
      </c>
      <c r="F4" s="211" t="s">
        <v>6</v>
      </c>
      <c r="G4" s="211"/>
      <c r="H4" s="211" t="s">
        <v>6</v>
      </c>
      <c r="I4" s="390" t="s">
        <v>6</v>
      </c>
      <c r="J4" s="393" t="s">
        <v>6</v>
      </c>
      <c r="K4" s="211" t="s">
        <v>6</v>
      </c>
      <c r="L4" s="212"/>
      <c r="M4" s="13" t="s">
        <v>6</v>
      </c>
      <c r="N4" s="13" t="s">
        <v>6</v>
      </c>
      <c r="O4" s="13"/>
      <c r="P4" s="13"/>
      <c r="Q4" s="13"/>
      <c r="R4" s="13"/>
      <c r="S4" s="13"/>
      <c r="T4" s="13"/>
      <c r="U4" s="913" t="s">
        <v>6</v>
      </c>
      <c r="V4" s="804" t="str">
        <f>HYPERLINK("http://kaart.delfi.ee//?bookmark=36ee67ba7cba151859305c222805d114","Saku")</f>
        <v>Saku</v>
      </c>
      <c r="W4" s="306" t="str">
        <f>HYPERLINK("http://kaart.delfi.ee/?bookmark=c3bc2d791932456b66ad8adb604010c1","Uuskalda")</f>
        <v>Uuskalda</v>
      </c>
      <c r="X4" s="305" t="str">
        <f>HYPERLINK("http://kaart.delfi.ee/?bookmark=c3bc2d791932456b66ad8adb604010c1","Uuskalda")</f>
        <v>Uuskalda</v>
      </c>
      <c r="Y4" s="805" t="str">
        <f>HYPERLINK("http://kaart.delfi.ee/?bookmark=4c0b1b0c24ff9f4919899a9546bf50f1","Jõhvi")</f>
        <v>Jõhvi</v>
      </c>
      <c r="Z4" s="806"/>
      <c r="AA4" s="807"/>
      <c r="AB4" s="808"/>
      <c r="AC4" s="809" t="str">
        <f>HYPERLINK("http://kaart.delfi.ee/?bookmark=521b80d6ceeefbe3e5d227267242b576","K-Järve")</f>
        <v>K-Järve</v>
      </c>
      <c r="AD4" s="810"/>
      <c r="AE4" s="811"/>
      <c r="AF4" s="812"/>
      <c r="AG4" s="813" t="str">
        <f>HYPERLINK("http://kaart.delfi.ee/?bookmark=037591353bf9698628b723dab6c5e799","Valga")</f>
        <v>Valga</v>
      </c>
      <c r="AH4" s="306" t="str">
        <f>HYPERLINK("http://kaart.delfi.ee//?bookmark=02a763eb5e2ccd81dd84675ce47ef3f0","Jüri")</f>
        <v>Jüri</v>
      </c>
      <c r="AI4" s="305" t="str">
        <f>HYPERLINK("http://kaart.delfi.ee//?bookmark=02a763eb5e2ccd81dd84675ce47ef3f0","Jüri")</f>
        <v>Jüri</v>
      </c>
      <c r="AJ4" s="306" t="str">
        <f t="shared" ref="AJ4:AK4" si="0">HYPERLINK("http://kaart.delfi.ee/?bookmark=521b80d6ceeefbe3e5d227267242b576","K-Järve")</f>
        <v>K-Järve</v>
      </c>
      <c r="AK4" s="305" t="str">
        <f t="shared" si="0"/>
        <v>K-Järve</v>
      </c>
      <c r="AL4" s="306" t="str">
        <f t="shared" ref="AL4:AM4" si="1">HYPERLINK("http://kaart.delfi.ee//?bookmark=36ee67ba7cba151859305c222805d114","Saku")</f>
        <v>Saku</v>
      </c>
      <c r="AM4" s="804" t="str">
        <f t="shared" si="1"/>
        <v>Saku</v>
      </c>
      <c r="AN4" s="14" t="s">
        <v>8</v>
      </c>
      <c r="AO4" s="15"/>
      <c r="AP4" s="16"/>
      <c r="AQ4" s="17"/>
    </row>
    <row r="5" spans="1:45" ht="13.5" thickBot="1" x14ac:dyDescent="0.25">
      <c r="A5" s="211"/>
      <c r="B5" s="211"/>
      <c r="C5" s="211" t="s">
        <v>6</v>
      </c>
      <c r="D5" s="137"/>
      <c r="E5" s="211"/>
      <c r="F5" s="211" t="s">
        <v>6</v>
      </c>
      <c r="G5" s="211"/>
      <c r="H5" s="211" t="s">
        <v>6</v>
      </c>
      <c r="I5" s="390" t="s">
        <v>6</v>
      </c>
      <c r="J5" s="393" t="s">
        <v>6</v>
      </c>
      <c r="K5" s="211" t="s">
        <v>6</v>
      </c>
      <c r="L5" s="212" t="s">
        <v>605</v>
      </c>
      <c r="M5" s="13" t="s">
        <v>6</v>
      </c>
      <c r="N5" s="13"/>
      <c r="O5" s="13"/>
      <c r="P5" s="13"/>
      <c r="Q5" s="13"/>
      <c r="R5" s="13"/>
      <c r="S5" s="13"/>
      <c r="T5" s="13"/>
      <c r="U5" s="914" t="s">
        <v>9</v>
      </c>
      <c r="V5" s="303" t="s">
        <v>2</v>
      </c>
      <c r="W5" s="284" t="s">
        <v>1</v>
      </c>
      <c r="X5" s="304" t="s">
        <v>2</v>
      </c>
      <c r="Y5" s="286" t="s">
        <v>1</v>
      </c>
      <c r="Z5" s="694"/>
      <c r="AA5" s="287"/>
      <c r="AB5" s="285"/>
      <c r="AC5" s="286" t="s">
        <v>226</v>
      </c>
      <c r="AD5" s="694"/>
      <c r="AE5" s="288"/>
      <c r="AF5" s="218"/>
      <c r="AG5" s="304" t="s">
        <v>2</v>
      </c>
      <c r="AH5" s="282" t="s">
        <v>1</v>
      </c>
      <c r="AI5" s="303" t="s">
        <v>2</v>
      </c>
      <c r="AJ5" s="283" t="s">
        <v>1</v>
      </c>
      <c r="AK5" s="304" t="s">
        <v>2</v>
      </c>
      <c r="AL5" s="282" t="s">
        <v>1</v>
      </c>
      <c r="AM5" s="303" t="s">
        <v>2</v>
      </c>
      <c r="AN5" s="18" t="s">
        <v>6</v>
      </c>
      <c r="AO5" s="14" t="s">
        <v>10</v>
      </c>
      <c r="AP5" s="16"/>
      <c r="AQ5" s="19" t="s">
        <v>11</v>
      </c>
    </row>
    <row r="6" spans="1:45" x14ac:dyDescent="0.2">
      <c r="A6" s="347"/>
      <c r="B6" s="308"/>
      <c r="C6" s="309"/>
      <c r="D6" s="310"/>
      <c r="E6" s="308"/>
      <c r="F6" s="309"/>
      <c r="G6" s="309"/>
      <c r="H6" s="308"/>
      <c r="I6" s="309" t="s">
        <v>6</v>
      </c>
      <c r="J6" s="741"/>
      <c r="K6" s="742" t="s">
        <v>1013</v>
      </c>
      <c r="L6" s="137" t="s">
        <v>6</v>
      </c>
      <c r="M6" s="385" t="s">
        <v>230</v>
      </c>
      <c r="N6" s="711"/>
      <c r="O6" s="712"/>
      <c r="P6" s="713" t="s">
        <v>25</v>
      </c>
      <c r="Q6" s="387"/>
      <c r="R6" s="86"/>
      <c r="S6" s="13"/>
      <c r="T6" s="13"/>
      <c r="U6" s="914" t="s">
        <v>12</v>
      </c>
      <c r="V6" s="305" t="str">
        <f>HYPERLINK("http://www.petanque.ee/index.php?id=103761&amp;cid=503",MID(Kalend!A6,4,5))</f>
        <v>20.05</v>
      </c>
      <c r="W6" s="814" t="str">
        <f>HYPERLINK("http://www.petanque.ee/index.php?id=103761&amp;cid=505",MID(Kalend!A10,4,5))</f>
        <v>03.06</v>
      </c>
      <c r="X6" s="815" t="str">
        <f>HYPERLINK("http://www.petanque.ee/index.php?id=103761&amp;cid=506",MID(Kalend!A11,4,5))</f>
        <v>04.06</v>
      </c>
      <c r="Y6" s="809" t="str">
        <f>HYPERLINK("http://www.petanque.ee/index.php?id=103761&amp;cid=507",MID(Kalend!A12,4,5))</f>
        <v>10.06</v>
      </c>
      <c r="Z6" s="810"/>
      <c r="AA6" s="816"/>
      <c r="AB6" s="817"/>
      <c r="AC6" s="809" t="str">
        <f>HYPERLINK("http://www.petanque.ee/index.php?id=103761&amp;cid=508",MID(Kalend!A13,4,5))</f>
        <v>11.06</v>
      </c>
      <c r="AD6" s="810"/>
      <c r="AE6" s="816"/>
      <c r="AF6" s="817"/>
      <c r="AG6" s="815" t="str">
        <f>HYPERLINK("http://www.petanque.ee/index.php?id=103761&amp;cid=511",MID(Kalend!A17,4,5))</f>
        <v>02.07</v>
      </c>
      <c r="AH6" s="306" t="str">
        <f>HYPERLINK("http://www.petanque.ee/index.php?id=103761&amp;cid=515",MID(Kalend!A19,4,5))</f>
        <v>05.08</v>
      </c>
      <c r="AI6" s="305" t="str">
        <f>HYPERLINK("http://www.petanque.ee/index.php?id=103761&amp;cid=516",MID(Kalend!A20,4,5))</f>
        <v>06.08</v>
      </c>
      <c r="AJ6" s="814" t="str">
        <f>HYPERLINK("http://www.petanque.ee/index.php?id=103761&amp;cid=517",MID(Kalend!A21,4,5))</f>
        <v>19.08</v>
      </c>
      <c r="AK6" s="815" t="str">
        <f>HYPERLINK("http://www.petanque.ee/index.php?id=103761&amp;cid=518",MID(Kalend!A22,4,5))</f>
        <v>20.08</v>
      </c>
      <c r="AL6" s="306" t="str">
        <f>HYPERLINK("http://www.petanque.ee/index.php?id=103761&amp;cid=520",MID(Kalend!A25,4,5))</f>
        <v>02.09</v>
      </c>
      <c r="AM6" s="305" t="str">
        <f>HYPERLINK("http://www.petanque.ee/index.php?id=103761&amp;cid=521",MID(Kalend!A26,4,5))</f>
        <v>03.09</v>
      </c>
      <c r="AN6" s="21"/>
      <c r="AO6" s="18" t="s">
        <v>13</v>
      </c>
      <c r="AP6" s="22" t="s">
        <v>14</v>
      </c>
      <c r="AQ6" s="19" t="s">
        <v>15</v>
      </c>
    </row>
    <row r="7" spans="1:45" x14ac:dyDescent="0.2">
      <c r="A7" s="45" t="s">
        <v>150</v>
      </c>
      <c r="B7" s="382" t="s">
        <v>25</v>
      </c>
      <c r="C7" s="47" t="s">
        <v>150</v>
      </c>
      <c r="D7" s="46" t="s">
        <v>29</v>
      </c>
      <c r="E7" s="382" t="s">
        <v>25</v>
      </c>
      <c r="F7" s="367" t="s">
        <v>29</v>
      </c>
      <c r="G7" s="389" t="s">
        <v>30</v>
      </c>
      <c r="H7" s="382" t="s">
        <v>25</v>
      </c>
      <c r="I7" s="415" t="s">
        <v>30</v>
      </c>
      <c r="J7" s="416" t="s">
        <v>25</v>
      </c>
      <c r="K7" s="381" t="s">
        <v>212</v>
      </c>
      <c r="L7" s="137" t="s">
        <v>6</v>
      </c>
      <c r="M7" s="70" t="s">
        <v>212</v>
      </c>
      <c r="N7" s="738" t="s">
        <v>25</v>
      </c>
      <c r="O7" s="46" t="s">
        <v>29</v>
      </c>
      <c r="P7" s="86" t="s">
        <v>25</v>
      </c>
      <c r="Q7" s="739" t="s">
        <v>30</v>
      </c>
      <c r="R7" s="86" t="s">
        <v>25</v>
      </c>
      <c r="S7" s="20" t="s">
        <v>29</v>
      </c>
      <c r="T7" s="20" t="s">
        <v>30</v>
      </c>
      <c r="U7" s="914" t="s">
        <v>16</v>
      </c>
      <c r="V7" s="23" t="s">
        <v>17</v>
      </c>
      <c r="W7" s="24" t="s">
        <v>21</v>
      </c>
      <c r="X7" s="230" t="s">
        <v>17</v>
      </c>
      <c r="Y7" s="695" t="s">
        <v>19</v>
      </c>
      <c r="Z7" s="307" t="s">
        <v>752</v>
      </c>
      <c r="AA7" s="133" t="s">
        <v>210</v>
      </c>
      <c r="AB7" s="219" t="s">
        <v>211</v>
      </c>
      <c r="AC7" s="699" t="s">
        <v>22</v>
      </c>
      <c r="AD7" s="697" t="s">
        <v>873</v>
      </c>
      <c r="AE7" s="698" t="s">
        <v>874</v>
      </c>
      <c r="AF7" s="289" t="s">
        <v>875</v>
      </c>
      <c r="AG7" s="23" t="s">
        <v>18</v>
      </c>
      <c r="AH7" s="229" t="s">
        <v>18</v>
      </c>
      <c r="AI7" s="230" t="s">
        <v>17</v>
      </c>
      <c r="AJ7" s="24" t="s">
        <v>20</v>
      </c>
      <c r="AK7" s="23" t="s">
        <v>18</v>
      </c>
      <c r="AL7" s="231" t="s">
        <v>17</v>
      </c>
      <c r="AM7" s="230" t="s">
        <v>18</v>
      </c>
      <c r="AN7" s="21"/>
      <c r="AO7" s="18"/>
      <c r="AP7" s="18" t="s">
        <v>23</v>
      </c>
      <c r="AQ7" s="19" t="s">
        <v>24</v>
      </c>
    </row>
    <row r="8" spans="1:45" x14ac:dyDescent="0.2">
      <c r="A8" s="380"/>
      <c r="B8" s="380"/>
      <c r="C8" s="380"/>
      <c r="D8" s="380"/>
      <c r="E8" s="380"/>
      <c r="F8" s="380"/>
      <c r="G8" s="380"/>
      <c r="H8" s="380"/>
      <c r="I8" s="391"/>
      <c r="J8" s="380"/>
      <c r="K8" s="388"/>
      <c r="L8" s="212" t="s">
        <v>27</v>
      </c>
      <c r="M8" s="386"/>
      <c r="N8" s="20"/>
      <c r="O8" s="54"/>
      <c r="P8" s="140" t="s">
        <v>29</v>
      </c>
      <c r="Q8" s="740"/>
      <c r="R8" s="220" t="s">
        <v>30</v>
      </c>
      <c r="S8" s="20"/>
      <c r="T8" s="20"/>
      <c r="U8" s="968" t="s">
        <v>6</v>
      </c>
      <c r="V8" s="216" t="str">
        <f>HYPERLINK("#1!G1"," 1 ")</f>
        <v xml:space="preserve"> 1 </v>
      </c>
      <c r="W8" s="215" t="str">
        <f>HYPERLINK("#2!I1"," 2 ")</f>
        <v xml:space="preserve"> 2 </v>
      </c>
      <c r="X8" s="988" t="str">
        <f>HYPERLINK("#3!H1"," 3 ")</f>
        <v xml:space="preserve"> 3 </v>
      </c>
      <c r="Y8" s="910" t="s">
        <v>779</v>
      </c>
      <c r="Z8" s="40" t="str">
        <f>HYPERLINK("#'4M'!G1","4M")</f>
        <v>4M</v>
      </c>
      <c r="AA8" s="40" t="str">
        <f>HYPERLINK("#'4N'!G1","4N")</f>
        <v>4N</v>
      </c>
      <c r="AB8" s="40" t="str">
        <f>HYPERLINK("#' J'!G1","4J")</f>
        <v>4J</v>
      </c>
      <c r="AC8" s="909" t="s">
        <v>780</v>
      </c>
      <c r="AD8" s="40" t="str">
        <f>HYPERLINK("#'5M'!G1","5M")</f>
        <v>5M</v>
      </c>
      <c r="AE8" s="40" t="str">
        <f>HYPERLINK("#'5N'!G1","5N")</f>
        <v>5N</v>
      </c>
      <c r="AF8" s="40" t="str">
        <f>HYPERLINK("#'5 J'!G1","5J")</f>
        <v>5J</v>
      </c>
      <c r="AG8" s="216" t="str">
        <f>HYPERLINK("#6!G1"," 6 ")</f>
        <v xml:space="preserve"> 6 </v>
      </c>
      <c r="AH8" s="215" t="str">
        <f>HYPERLINK("#7!G1"," 7 ")</f>
        <v xml:space="preserve"> 7 </v>
      </c>
      <c r="AI8" s="216" t="str">
        <f>HYPERLINK("#8!G1"," 8 ")</f>
        <v xml:space="preserve"> 8 </v>
      </c>
      <c r="AJ8" s="215" t="str">
        <f>HYPERLINK("#9!G1"," 9 ")</f>
        <v xml:space="preserve"> 9 </v>
      </c>
      <c r="AK8" s="39" t="str">
        <f>HYPERLINK("#10!G1","10 ")</f>
        <v xml:space="preserve">10 </v>
      </c>
      <c r="AL8" s="215" t="str">
        <f>HYPERLINK("#11!G1","11 ")</f>
        <v xml:space="preserve">11 </v>
      </c>
      <c r="AM8" s="216" t="str">
        <f>HYPERLINK("#12!G1","12 ")</f>
        <v xml:space="preserve">12 </v>
      </c>
      <c r="AN8" s="26"/>
      <c r="AO8" s="27"/>
      <c r="AP8" s="27"/>
      <c r="AQ8" s="28"/>
    </row>
    <row r="9" spans="1:45" x14ac:dyDescent="0.2">
      <c r="A9" s="989">
        <v>1</v>
      </c>
      <c r="B9" s="141">
        <f t="shared" ref="B9:B40" si="2">IF(N9=0,"",IF(S9="n","",RANK(C9,C$9:C$161,0)))</f>
        <v>1</v>
      </c>
      <c r="C9" s="139">
        <f t="shared" ref="C9:C40" si="3">IF(S9="n",0,N9+10000)</f>
        <v>11436</v>
      </c>
      <c r="D9" s="49" t="s">
        <v>151</v>
      </c>
      <c r="E9" s="141" t="str">
        <f t="shared" ref="E9:E40" si="4">IF(S9="n",RANK(F9,F$9:F$161,0),"")</f>
        <v/>
      </c>
      <c r="F9" s="138">
        <f t="shared" ref="F9:F40" si="5">IF(AND((T9="j"),(S9="n")),N9+10000,IF((S9="n"),P9+10000,0))</f>
        <v>0</v>
      </c>
      <c r="G9" s="383" t="s">
        <v>151</v>
      </c>
      <c r="H9" s="141" t="str">
        <f t="shared" ref="H9:H40" si="6">IF(T9="j",RANK(I9,I$9:I$161,0),"")</f>
        <v/>
      </c>
      <c r="I9" s="392">
        <f t="shared" ref="I9:I40" si="7">IF((T9="j"),R9+10000,0)</f>
        <v>0</v>
      </c>
      <c r="J9" s="71">
        <f t="shared" ref="J9:J40" si="8">RANK(N9,$N$9:$N$161,0)</f>
        <v>1</v>
      </c>
      <c r="K9" s="70">
        <v>1</v>
      </c>
      <c r="L9" s="43" t="s">
        <v>38</v>
      </c>
      <c r="M9" s="302">
        <v>1436</v>
      </c>
      <c r="N9" s="141">
        <f t="array" ref="N9">(IF(COUNT(V9,X9,AG9,AI9,AK9,AM9)&lt;5,SUM(V9,X9,AG9,AI9,AK9,AM9),SUM(LARGE((V9,X9,AG9,AI9,AK9,AM9),{1;2;3;4;5}))))+(IF(COUNT(W9,Y9,AC9,AH9,AJ9,AL9)&lt;5,SUM(W9,Y9,AC9,AH9,AJ9,AL9),SUM(LARGE((W9,Y9,AC9,AH9,AJ9,AL9),{1;2;3;4;5}))))+U9</f>
        <v>1436</v>
      </c>
      <c r="O9" s="796">
        <v>0</v>
      </c>
      <c r="P9" s="132">
        <f t="array" ref="P9">IF(S9="n",((IF(COUNT(V9,X9,AG9,AI9,AK9,AM9)&lt;5,SUM(V9,X9,AG9,AI9,AK9,AM9),SUM(LARGE((V9,X9,AG9,AI9,AK9,AM9),{1;2;3;4;5}))))+(IF(COUNT(W9,AA9,AE9,AH9,AJ9,AL9)&lt;5,SUM(W9,AA9,AE9,AH9,AJ9,AL9),SUM(LARGE((W9,AA9,AE9,AH9,AJ9,AL9),{1;2;3;4;5}))))+U9),0)</f>
        <v>0</v>
      </c>
      <c r="Q9" s="797">
        <v>0</v>
      </c>
      <c r="R9" s="132">
        <f t="array" ref="R9">IF(T9="j",((IF(COUNT(V9,X9,AG9,AI9,AK9,AM9)&lt;5,SUM(V9,X9,AG9,AI9,AK9,AM9),SUM(LARGE((V9,X9,AG9,AI9,AK9,AM9),{1;2;3;4;5}))))+(IF(COUNT(W9,AB9,AC9,AH9,AJ9,AL9)&lt;5,SUM(W9,AB9,AC9,AH9,AJ9,AL9),SUM(LARGE((W9,AB9,AC9,AH9,AJ9,AL9),{1;2;3;4;5}))))+U9),0)</f>
        <v>0</v>
      </c>
      <c r="S9" s="676"/>
      <c r="T9" s="676"/>
      <c r="U9" s="915">
        <v>105</v>
      </c>
      <c r="V9" s="315">
        <v>105</v>
      </c>
      <c r="W9" s="316">
        <v>119</v>
      </c>
      <c r="X9" s="315">
        <v>115</v>
      </c>
      <c r="Y9" s="315">
        <v>173</v>
      </c>
      <c r="Z9" s="960">
        <v>173</v>
      </c>
      <c r="AA9" s="961"/>
      <c r="AB9" s="962"/>
      <c r="AC9" s="315">
        <v>158</v>
      </c>
      <c r="AD9" s="963">
        <v>158</v>
      </c>
      <c r="AE9" s="961"/>
      <c r="AF9" s="732"/>
      <c r="AG9" s="137">
        <v>115</v>
      </c>
      <c r="AH9" s="137">
        <v>126</v>
      </c>
      <c r="AI9" s="803">
        <v>84</v>
      </c>
      <c r="AJ9" s="137">
        <v>173</v>
      </c>
      <c r="AK9" s="137">
        <v>105</v>
      </c>
      <c r="AL9" s="137">
        <v>146</v>
      </c>
      <c r="AM9" s="137">
        <v>115</v>
      </c>
      <c r="AN9" s="29">
        <f t="shared" ref="AN9:AN40" si="9">COUNTIF(V9:Y9,"&gt;=0")+COUNTIF(AC9,"&gt;=0")+COUNTIF(AG9:AM9,"&gt;=0")</f>
        <v>12</v>
      </c>
      <c r="AO9" s="311">
        <f t="shared" ref="AO9:AO40" si="10">COUNTIF(V9,"&gt;=97")+COUNTIF(X9,"&gt;=97")+COUNTIF(AG9,"&gt;=97")+COUNTIF(AI9,"&gt;=97")+COUNTIF(AK9,"&gt;=97")+COUNTIF(AM9,"&gt;=97")+COUNTIF(W9,"&gt;=146")+COUNTIF(Y9,"&gt;=146")+COUNTIF(AC9,"&gt;=146")+COUNTIF(AH9,"&gt;=146")+COUNTIF(AJ9,"&gt;=146")+COUNTIF(AL9,"&gt;=146")+IF((S9="n"),(COUNTIF(Y9,"=83")+COUNTIF(Y9,"=93")+COUNTIF(Y9,"=105")+COUNTIF(AC9,"=83")+COUNTIF(AC9,"=93")+COUNTIF(AC9,"=105")))+IF((T9="j"),(COUNTIF(Y9,"=33")+COUNTIF(Y9,"=42")+COUNTIF(Y9,"=53")+COUNTIF(AC9,"=33")+COUNTIF(AC9,"=42")+COUNTIF(AC9,"=53")))</f>
        <v>9</v>
      </c>
      <c r="AP9" s="290">
        <f t="shared" ref="AP9:AP40" si="11">COUNTIF(V9,"=115")+COUNTIF(X9,"=115")+COUNTIF(AG9,"=115")+COUNTIF(AI9,"=115")+COUNTIF(AK9,"=115")+COUNTIF(AM9,"=115")+COUNTIF(V9:AM9,"=173")</f>
        <v>6</v>
      </c>
      <c r="AQ9" s="205">
        <f t="shared" ref="AQ9:AQ40" si="12">COUNTIF(V9:X9,"=173")+COUNTIF(Z9:AB9,"=173")+COUNTIF(AD9:AM9,"=173")</f>
        <v>2</v>
      </c>
      <c r="AR9" s="4" t="e">
        <f>COUNTIF(V9:W9,"=  ")+COUNTIF(X9:AH9,"=  ")+COUNTIF(AJ9,"=  ")+COUNTIF(AL9,"=  ")+COUNTIF(#REF!,"=  ")+COUNTIF(#REF!,"=  ")+COUNTIF(#REF!,"=  ")</f>
        <v>#REF!</v>
      </c>
      <c r="AS9" s="209" t="e">
        <f>COUNTIF(Y9,"=  ")+COUNTIF(AI9,"=  ")+COUNTIF(AK9,"=  ")+COUNTIF(AM9,"=  ")+COUNTIF(AC9,"=  ")+COUNTIF(#REF!,"=  ")</f>
        <v>#REF!</v>
      </c>
    </row>
    <row r="10" spans="1:45" x14ac:dyDescent="0.2">
      <c r="A10" s="992">
        <v>2</v>
      </c>
      <c r="B10" s="141">
        <f t="shared" si="2"/>
        <v>2</v>
      </c>
      <c r="C10" s="139">
        <f t="shared" si="3"/>
        <v>11244</v>
      </c>
      <c r="D10" s="49" t="s">
        <v>151</v>
      </c>
      <c r="E10" s="141" t="str">
        <f t="shared" si="4"/>
        <v/>
      </c>
      <c r="F10" s="138">
        <f t="shared" si="5"/>
        <v>0</v>
      </c>
      <c r="G10" s="383" t="s">
        <v>151</v>
      </c>
      <c r="H10" s="141" t="str">
        <f t="shared" si="6"/>
        <v/>
      </c>
      <c r="I10" s="392">
        <f t="shared" si="7"/>
        <v>0</v>
      </c>
      <c r="J10" s="71">
        <f t="shared" si="8"/>
        <v>2</v>
      </c>
      <c r="K10" s="70">
        <v>2</v>
      </c>
      <c r="L10" s="211" t="s">
        <v>35</v>
      </c>
      <c r="M10" s="70">
        <v>1244</v>
      </c>
      <c r="N10" s="141">
        <f t="array" ref="N10">(IF(COUNT(V10,X10,AG10,AI10,AK10,AM10)&lt;5,SUM(V10,X10,AG10,AI10,AK10,AM10),SUM(LARGE((V10,X10,AG10,AI10,AK10,AM10),{1;2;3;4;5}))))+(IF(COUNT(W10,Y10,AC10,AH10,AJ10,AL10)&lt;5,SUM(W10,Y10,AC10,AH10,AJ10,AL10),SUM(LARGE((W10,Y10,AC10,AH10,AJ10,AL10),{1;2;3;4;5}))))+U10</f>
        <v>1244</v>
      </c>
      <c r="O10" s="796">
        <v>0</v>
      </c>
      <c r="P10" s="132">
        <f t="array" ref="P10">IF(S10="n",((IF(COUNT(V10,X10,AG10,AI10,AK10,AM10)&lt;5,SUM(V10,X10,AG10,AI10,AK10,AM10),SUM(LARGE((V10,X10,AG10,AI10,AK10,AM10),{1;2;3;4;5}))))+(IF(COUNT(W10,AA10,AE10,AH10,AJ10,AL10)&lt;5,SUM(W10,AA10,AE10,AH10,AJ10,AL10),SUM(LARGE((W10,AA10,AE10,AH10,AJ10,AL10),{1;2;3;4;5}))))+U10),0)</f>
        <v>0</v>
      </c>
      <c r="Q10" s="797">
        <v>0</v>
      </c>
      <c r="R10" s="132">
        <f t="array" ref="R10">IF(T10="j",((IF(COUNT(V10,X10,AG10,AI10,AK10,AM10)&lt;5,SUM(V10,X10,AG10,AI10,AK10,AM10),SUM(LARGE((V10,X10,AG10,AI10,AK10,AM10),{1;2;3;4;5}))))+(IF(COUNT(W10,AB10,AC10,AH10,AJ10,AL10)&lt;5,SUM(W10,AB10,AC10,AH10,AJ10,AL10),SUM(LARGE((W10,AB10,AC10,AH10,AJ10,AL10),{1;2;3;4;5}))))+U10),0)</f>
        <v>0</v>
      </c>
      <c r="S10" s="676"/>
      <c r="T10" s="676"/>
      <c r="U10" s="915">
        <v>97</v>
      </c>
      <c r="V10" s="315">
        <v>84</v>
      </c>
      <c r="W10" s="315">
        <v>158</v>
      </c>
      <c r="X10" s="315">
        <v>115</v>
      </c>
      <c r="Y10" s="316">
        <v>96</v>
      </c>
      <c r="Z10" s="960">
        <v>96</v>
      </c>
      <c r="AA10" s="961"/>
      <c r="AB10" s="962"/>
      <c r="AC10" s="315">
        <v>146</v>
      </c>
      <c r="AD10" s="963">
        <v>146</v>
      </c>
      <c r="AE10" s="961"/>
      <c r="AF10" s="732"/>
      <c r="AG10" s="137">
        <v>60</v>
      </c>
      <c r="AH10" s="137">
        <v>111</v>
      </c>
      <c r="AI10" s="137">
        <v>84</v>
      </c>
      <c r="AJ10" s="137">
        <v>173</v>
      </c>
      <c r="AK10" s="137">
        <v>90</v>
      </c>
      <c r="AL10" s="137">
        <v>126</v>
      </c>
      <c r="AM10" s="316">
        <v>46</v>
      </c>
      <c r="AN10" s="30">
        <f t="shared" si="9"/>
        <v>12</v>
      </c>
      <c r="AO10" s="312">
        <f t="shared" si="10"/>
        <v>4</v>
      </c>
      <c r="AP10" s="291">
        <f t="shared" si="11"/>
        <v>2</v>
      </c>
      <c r="AQ10" s="31">
        <f t="shared" si="12"/>
        <v>1</v>
      </c>
      <c r="AR10" s="4" t="e">
        <f>COUNTIF(V10:W10,"=  ")+COUNTIF(X10:AH10,"=  ")+COUNTIF(AJ10,"=  ")+COUNTIF(AL10,"=  ")+COUNTIF(#REF!,"=  ")+COUNTIF(#REF!,"=  ")+COUNTIF(#REF!,"=  ")</f>
        <v>#REF!</v>
      </c>
      <c r="AS10" s="209" t="e">
        <f>COUNTIF(Y10,"=  ")+COUNTIF(AI10,"=  ")+COUNTIF(AK10,"=  ")+COUNTIF(AM10,"=  ")+COUNTIF(AC10,"=  ")+COUNTIF(#REF!,"=  ")</f>
        <v>#REF!</v>
      </c>
    </row>
    <row r="11" spans="1:45" x14ac:dyDescent="0.2">
      <c r="A11" s="47" t="s">
        <v>151</v>
      </c>
      <c r="B11" s="141" t="str">
        <f t="shared" si="2"/>
        <v/>
      </c>
      <c r="C11" s="139">
        <f t="shared" si="3"/>
        <v>0</v>
      </c>
      <c r="D11" s="990">
        <v>1</v>
      </c>
      <c r="E11" s="141">
        <f t="shared" si="4"/>
        <v>1</v>
      </c>
      <c r="F11" s="138">
        <f t="shared" si="5"/>
        <v>11226</v>
      </c>
      <c r="G11" s="383" t="s">
        <v>151</v>
      </c>
      <c r="H11" s="141" t="str">
        <f t="shared" si="6"/>
        <v/>
      </c>
      <c r="I11" s="392">
        <f t="shared" si="7"/>
        <v>0</v>
      </c>
      <c r="J11" s="71">
        <f t="shared" si="8"/>
        <v>3</v>
      </c>
      <c r="K11" s="70">
        <v>3</v>
      </c>
      <c r="L11" s="55" t="s">
        <v>42</v>
      </c>
      <c r="M11" s="70">
        <v>1158</v>
      </c>
      <c r="N11" s="141">
        <f t="array" ref="N11">(IF(COUNT(V11,X11,AG11,AI11,AK11,AM11)&lt;5,SUM(V11,X11,AG11,AI11,AK11,AM11),SUM(LARGE((V11,X11,AG11,AI11,AK11,AM11),{1;2;3;4;5}))))+(IF(COUNT(W11,Y11,AC11,AH11,AJ11,AL11)&lt;5,SUM(W11,Y11,AC11,AH11,AJ11,AL11),SUM(LARGE((W11,Y11,AC11,AH11,AJ11,AL11),{1;2;3;4;5}))))+U11</f>
        <v>1158</v>
      </c>
      <c r="O11" s="796">
        <v>1226</v>
      </c>
      <c r="P11" s="132">
        <f t="array" ref="P11">IF(S11="n",((IF(COUNT(V11,X11,AG11,AI11,AK11,AM11)&lt;5,SUM(V11,X11,AG11,AI11,AK11,AM11),SUM(LARGE((V11,X11,AG11,AI11,AK11,AM11),{1;2;3;4;5}))))+(IF(COUNT(W11,AA11,AE11,AH11,AJ11,AL11)&lt;5,SUM(W11,AA11,AE11,AH11,AJ11,AL11),SUM(LARGE((W11,AA11,AE11,AH11,AJ11,AL11),{1;2;3;4;5}))))+U11),0)</f>
        <v>1226</v>
      </c>
      <c r="Q11" s="797">
        <v>0</v>
      </c>
      <c r="R11" s="132">
        <f t="array" ref="R11">IF(T11="j",((IF(COUNT(V11,X11,AG11,AI11,AK11,AM11)&lt;5,SUM(V11,X11,AG11,AI11,AK11,AM11),SUM(LARGE((V11,X11,AG11,AI11,AK11,AM11),{1;2;3;4;5}))))+(IF(COUNT(W11,AB11,AC11,AH11,AJ11,AL11)&lt;5,SUM(W11,AB11,AC11,AH11,AJ11,AL11),SUM(LARGE((W11,AB11,AC11,AH11,AJ11,AL11),{1;2;3;4;5}))))+U11),0)</f>
        <v>0</v>
      </c>
      <c r="S11" s="676" t="s">
        <v>33</v>
      </c>
      <c r="T11" s="676"/>
      <c r="U11" s="915">
        <v>52</v>
      </c>
      <c r="V11" s="315">
        <v>84</v>
      </c>
      <c r="W11" s="315">
        <v>158</v>
      </c>
      <c r="X11" s="315">
        <v>115</v>
      </c>
      <c r="Y11" s="316">
        <v>50</v>
      </c>
      <c r="Z11" s="960"/>
      <c r="AA11" s="961">
        <v>111</v>
      </c>
      <c r="AB11" s="962"/>
      <c r="AC11" s="315">
        <v>105</v>
      </c>
      <c r="AD11" s="960"/>
      <c r="AE11" s="961">
        <v>173</v>
      </c>
      <c r="AF11" s="732"/>
      <c r="AG11" s="137">
        <v>60</v>
      </c>
      <c r="AH11" s="137">
        <v>111</v>
      </c>
      <c r="AI11" s="137">
        <v>84</v>
      </c>
      <c r="AJ11" s="137">
        <v>173</v>
      </c>
      <c r="AK11" s="137">
        <v>90</v>
      </c>
      <c r="AL11" s="137">
        <v>126</v>
      </c>
      <c r="AM11" s="316">
        <v>46</v>
      </c>
      <c r="AN11" s="30">
        <f t="shared" si="9"/>
        <v>12</v>
      </c>
      <c r="AO11" s="312">
        <f t="shared" si="10"/>
        <v>4</v>
      </c>
      <c r="AP11" s="291">
        <f t="shared" si="11"/>
        <v>3</v>
      </c>
      <c r="AQ11" s="31">
        <f t="shared" si="12"/>
        <v>2</v>
      </c>
      <c r="AR11" s="4" t="e">
        <f>COUNTIF(V11:W11,"=  ")+COUNTIF(X11:AH11,"=  ")+COUNTIF(AJ11,"=  ")+COUNTIF(AL11,"=  ")+COUNTIF(#REF!,"=  ")+COUNTIF(#REF!,"=  ")+COUNTIF(#REF!,"=  ")</f>
        <v>#REF!</v>
      </c>
      <c r="AS11" s="101" t="e">
        <f>COUNTIF(Y11,"=  ")+COUNTIF(AI11,"=  ")+COUNTIF(AK11,"=  ")+COUNTIF(AM11,"=  ")+COUNTIF(AC11,"=  ")+COUNTIF(#REF!,"=  ")</f>
        <v>#REF!</v>
      </c>
    </row>
    <row r="12" spans="1:45" x14ac:dyDescent="0.2">
      <c r="A12" s="995">
        <v>3</v>
      </c>
      <c r="B12" s="141">
        <f t="shared" si="2"/>
        <v>3</v>
      </c>
      <c r="C12" s="139">
        <f t="shared" si="3"/>
        <v>11072</v>
      </c>
      <c r="D12" s="49" t="s">
        <v>151</v>
      </c>
      <c r="E12" s="141" t="str">
        <f t="shared" si="4"/>
        <v/>
      </c>
      <c r="F12" s="138">
        <f t="shared" si="5"/>
        <v>0</v>
      </c>
      <c r="G12" s="383" t="s">
        <v>151</v>
      </c>
      <c r="H12" s="141" t="str">
        <f t="shared" si="6"/>
        <v/>
      </c>
      <c r="I12" s="392">
        <f t="shared" si="7"/>
        <v>0</v>
      </c>
      <c r="J12" s="71">
        <f t="shared" si="8"/>
        <v>4</v>
      </c>
      <c r="K12" s="70">
        <v>4</v>
      </c>
      <c r="L12" s="131" t="s">
        <v>67</v>
      </c>
      <c r="M12" s="70">
        <v>1072</v>
      </c>
      <c r="N12" s="141">
        <f t="array" ref="N12">(IF(COUNT(V12,X12,AG12,AI12,AK12,AM12)&lt;5,SUM(V12,X12,AG12,AI12,AK12,AM12),SUM(LARGE((V12,X12,AG12,AI12,AK12,AM12),{1;2;3;4;5}))))+(IF(COUNT(W12,Y12,AC12,AH12,AJ12,AL12)&lt;5,SUM(W12,Y12,AC12,AH12,AJ12,AL12),SUM(LARGE((W12,Y12,AC12,AH12,AJ12,AL12),{1;2;3;4;5}))))+U12</f>
        <v>1072</v>
      </c>
      <c r="O12" s="796">
        <v>0</v>
      </c>
      <c r="P12" s="132">
        <f t="array" ref="P12">IF(S12="n",((IF(COUNT(V12,X12,AG12,AI12,AK12,AM12)&lt;5,SUM(V12,X12,AG12,AI12,AK12,AM12),SUM(LARGE((V12,X12,AG12,AI12,AK12,AM12),{1;2;3;4;5}))))+(IF(COUNT(W12,AA12,AE12,AH12,AJ12,AL12)&lt;5,SUM(W12,AA12,AE12,AH12,AJ12,AL12),SUM(LARGE((W12,AA12,AE12,AH12,AJ12,AL12),{1;2;3;4;5}))))+U12),0)</f>
        <v>0</v>
      </c>
      <c r="Q12" s="797">
        <v>0</v>
      </c>
      <c r="R12" s="132">
        <f t="array" ref="R12">IF(T12="j",((IF(COUNT(V12,X12,AG12,AI12,AK12,AM12)&lt;5,SUM(V12,X12,AG12,AI12,AK12,AM12),SUM(LARGE((V12,X12,AG12,AI12,AK12,AM12),{1;2;3;4;5}))))+(IF(COUNT(W12,AB12,AC12,AH12,AJ12,AL12)&lt;5,SUM(W12,AB12,AC12,AH12,AJ12,AL12),SUM(LARGE((W12,AB12,AC12,AH12,AJ12,AL12),{1;2;3;4;5}))))+U12),0)</f>
        <v>0</v>
      </c>
      <c r="S12" s="676"/>
      <c r="T12" s="676"/>
      <c r="U12" s="915">
        <v>84</v>
      </c>
      <c r="V12" s="315">
        <v>97</v>
      </c>
      <c r="W12" s="315">
        <v>173</v>
      </c>
      <c r="X12" s="316" t="s">
        <v>156</v>
      </c>
      <c r="Y12" s="315">
        <v>158</v>
      </c>
      <c r="Z12" s="963">
        <v>158</v>
      </c>
      <c r="AA12" s="961"/>
      <c r="AB12" s="962"/>
      <c r="AC12" s="316">
        <v>65</v>
      </c>
      <c r="AD12" s="960">
        <v>65</v>
      </c>
      <c r="AE12" s="961"/>
      <c r="AF12" s="732"/>
      <c r="AG12" s="137"/>
      <c r="AH12" s="137">
        <v>173</v>
      </c>
      <c r="AI12" s="137"/>
      <c r="AJ12" s="137">
        <v>135</v>
      </c>
      <c r="AK12" s="137"/>
      <c r="AL12" s="137">
        <v>173</v>
      </c>
      <c r="AM12" s="137">
        <v>79</v>
      </c>
      <c r="AN12" s="30">
        <f t="shared" si="9"/>
        <v>8</v>
      </c>
      <c r="AO12" s="312">
        <f t="shared" si="10"/>
        <v>5</v>
      </c>
      <c r="AP12" s="291">
        <f t="shared" si="11"/>
        <v>3</v>
      </c>
      <c r="AQ12" s="31">
        <f t="shared" si="12"/>
        <v>3</v>
      </c>
      <c r="AR12" s="4" t="e">
        <f>COUNTIF(V12:W12,"=  ")+COUNTIF(X12:AH12,"=  ")+COUNTIF(AJ12,"=  ")+COUNTIF(AL12,"=  ")+COUNTIF(#REF!,"=  ")+COUNTIF(#REF!,"=  ")+COUNTIF(#REF!,"=  ")</f>
        <v>#REF!</v>
      </c>
      <c r="AS12" s="101" t="e">
        <f>COUNTIF(Y12,"=  ")+COUNTIF(AI12,"=  ")+COUNTIF(AK12,"=  ")+COUNTIF(AM12,"=  ")+COUNTIF(AC12,"=  ")+COUNTIF(#REF!,"=  ")</f>
        <v>#REF!</v>
      </c>
    </row>
    <row r="13" spans="1:45" x14ac:dyDescent="0.2">
      <c r="A13" s="47">
        <v>4</v>
      </c>
      <c r="B13" s="141">
        <f t="shared" si="2"/>
        <v>4</v>
      </c>
      <c r="C13" s="139">
        <f t="shared" si="3"/>
        <v>11012</v>
      </c>
      <c r="D13" s="49" t="s">
        <v>151</v>
      </c>
      <c r="E13" s="141" t="str">
        <f t="shared" si="4"/>
        <v/>
      </c>
      <c r="F13" s="138">
        <f t="shared" si="5"/>
        <v>0</v>
      </c>
      <c r="G13" s="383" t="s">
        <v>151</v>
      </c>
      <c r="H13" s="141" t="str">
        <f t="shared" si="6"/>
        <v/>
      </c>
      <c r="I13" s="221">
        <f t="shared" si="7"/>
        <v>0</v>
      </c>
      <c r="J13" s="71">
        <f t="shared" si="8"/>
        <v>5</v>
      </c>
      <c r="K13" s="70">
        <v>5</v>
      </c>
      <c r="L13" s="263" t="s">
        <v>41</v>
      </c>
      <c r="M13" s="70">
        <v>1012</v>
      </c>
      <c r="N13" s="141">
        <f t="array" ref="N13">(IF(COUNT(V13,X13,AG13,AI13,AK13,AM13)&lt;5,SUM(V13,X13,AG13,AI13,AK13,AM13),SUM(LARGE((V13,X13,AG13,AI13,AK13,AM13),{1;2;3;4;5}))))+(IF(COUNT(W13,Y13,AC13,AH13,AJ13,AL13)&lt;5,SUM(W13,Y13,AC13,AH13,AJ13,AL13),SUM(LARGE((W13,Y13,AC13,AH13,AJ13,AL13),{1;2;3;4;5}))))+U13</f>
        <v>1012</v>
      </c>
      <c r="O13" s="796">
        <v>0</v>
      </c>
      <c r="P13" s="132">
        <f t="array" ref="P13">IF(S13="n",((IF(COUNT(V13,X13,AG13,AI13,AK13,AM13)&lt;5,SUM(V13,X13,AG13,AI13,AK13,AM13),SUM(LARGE((V13,X13,AG13,AI13,AK13,AM13),{1;2;3;4;5}))))+(IF(COUNT(W13,AA13,AE13,AH13,AJ13,AL13)&lt;5,SUM(W13,AA13,AE13,AH13,AJ13,AL13),SUM(LARGE((W13,AA13,AE13,AH13,AJ13,AL13),{1;2;3;4;5}))))+U13),0)</f>
        <v>0</v>
      </c>
      <c r="Q13" s="797">
        <v>0</v>
      </c>
      <c r="R13" s="132">
        <f t="array" ref="R13">IF(T13="j",((IF(COUNT(V13,X13,AG13,AI13,AK13,AM13)&lt;5,SUM(V13,X13,AG13,AI13,AK13,AM13),SUM(LARGE((V13,X13,AG13,AI13,AK13,AM13),{1;2;3;4;5}))))+(IF(COUNT(W13,AB13,AC13,AH13,AJ13,AL13)&lt;5,SUM(W13,AB13,AC13,AH13,AJ13,AL13),SUM(LARGE((W13,AB13,AC13,AH13,AJ13,AL13),{1;2;3;4;5}))))+U13),0)</f>
        <v>0</v>
      </c>
      <c r="S13" s="676"/>
      <c r="T13" s="676"/>
      <c r="U13" s="915">
        <v>16</v>
      </c>
      <c r="V13" s="316" t="s">
        <v>156</v>
      </c>
      <c r="W13" s="316" t="s">
        <v>156</v>
      </c>
      <c r="X13" s="137"/>
      <c r="Y13" s="315">
        <v>146</v>
      </c>
      <c r="Z13" s="963">
        <v>146</v>
      </c>
      <c r="AA13" s="961"/>
      <c r="AB13" s="962"/>
      <c r="AC13" s="315">
        <v>111</v>
      </c>
      <c r="AD13" s="960">
        <v>111</v>
      </c>
      <c r="AE13" s="961"/>
      <c r="AF13" s="732"/>
      <c r="AG13" s="137">
        <v>90</v>
      </c>
      <c r="AH13" s="137">
        <v>158</v>
      </c>
      <c r="AI13" s="137">
        <v>115</v>
      </c>
      <c r="AJ13" s="137">
        <v>119</v>
      </c>
      <c r="AK13" s="137">
        <v>46</v>
      </c>
      <c r="AL13" s="137">
        <v>96</v>
      </c>
      <c r="AM13" s="137">
        <v>115</v>
      </c>
      <c r="AN13" s="30">
        <f t="shared" si="9"/>
        <v>9</v>
      </c>
      <c r="AO13" s="312">
        <f t="shared" si="10"/>
        <v>4</v>
      </c>
      <c r="AP13" s="291">
        <f t="shared" si="11"/>
        <v>2</v>
      </c>
      <c r="AQ13" s="31">
        <f t="shared" si="12"/>
        <v>0</v>
      </c>
      <c r="AR13" s="4" t="e">
        <f>COUNTIF(V13:W13,"=  ")+COUNTIF(X13:AH13,"=  ")+COUNTIF(AJ13,"=  ")+COUNTIF(AL13,"=  ")+COUNTIF(#REF!,"=  ")+COUNTIF(#REF!,"=  ")+COUNTIF(#REF!,"=  ")</f>
        <v>#REF!</v>
      </c>
      <c r="AS13" s="101" t="e">
        <f>COUNTIF(Y13,"=  ")+COUNTIF(AI13,"=  ")+COUNTIF(AK13,"=  ")+COUNTIF(AM13,"=  ")+COUNTIF(AC13,"=  ")+COUNTIF(#REF!,"=  ")</f>
        <v>#REF!</v>
      </c>
    </row>
    <row r="14" spans="1:45" x14ac:dyDescent="0.2">
      <c r="A14" s="47">
        <v>5</v>
      </c>
      <c r="B14" s="141">
        <f t="shared" si="2"/>
        <v>5</v>
      </c>
      <c r="C14" s="139">
        <f t="shared" si="3"/>
        <v>11011</v>
      </c>
      <c r="D14" s="49" t="s">
        <v>151</v>
      </c>
      <c r="E14" s="141" t="str">
        <f t="shared" si="4"/>
        <v/>
      </c>
      <c r="F14" s="138">
        <f t="shared" si="5"/>
        <v>0</v>
      </c>
      <c r="G14" s="383" t="s">
        <v>151</v>
      </c>
      <c r="H14" s="141" t="str">
        <f t="shared" si="6"/>
        <v/>
      </c>
      <c r="I14" s="221">
        <f t="shared" si="7"/>
        <v>0</v>
      </c>
      <c r="J14" s="71">
        <f t="shared" si="8"/>
        <v>6</v>
      </c>
      <c r="K14" s="70">
        <v>6</v>
      </c>
      <c r="L14" s="211" t="s">
        <v>34</v>
      </c>
      <c r="M14" s="70">
        <v>1011</v>
      </c>
      <c r="N14" s="141">
        <f t="array" ref="N14">(IF(COUNT(V14,X14,AG14,AI14,AK14,AM14)&lt;5,SUM(V14,X14,AG14,AI14,AK14,AM14),SUM(LARGE((V14,X14,AG14,AI14,AK14,AM14),{1;2;3;4;5}))))+(IF(COUNT(W14,Y14,AC14,AH14,AJ14,AL14)&lt;5,SUM(W14,Y14,AC14,AH14,AJ14,AL14),SUM(LARGE((W14,Y14,AC14,AH14,AJ14,AL14),{1;2;3;4;5}))))+U14</f>
        <v>1011</v>
      </c>
      <c r="O14" s="796">
        <v>0</v>
      </c>
      <c r="P14" s="132">
        <f t="array" ref="P14">IF(S14="n",((IF(COUNT(V14,X14,AG14,AI14,AK14,AM14)&lt;5,SUM(V14,X14,AG14,AI14,AK14,AM14),SUM(LARGE((V14,X14,AG14,AI14,AK14,AM14),{1;2;3;4;5}))))+(IF(COUNT(W14,AA14,AE14,AH14,AJ14,AL14)&lt;5,SUM(W14,AA14,AE14,AH14,AJ14,AL14),SUM(LARGE((W14,AA14,AE14,AH14,AJ14,AL14),{1;2;3;4;5}))))+U14),0)</f>
        <v>0</v>
      </c>
      <c r="Q14" s="797">
        <v>0</v>
      </c>
      <c r="R14" s="132">
        <f t="array" ref="R14">IF(T14="j",((IF(COUNT(V14,X14,AG14,AI14,AK14,AM14)&lt;5,SUM(V14,X14,AG14,AI14,AK14,AM14),SUM(LARGE((V14,X14,AG14,AI14,AK14,AM14),{1;2;3;4;5}))))+(IF(COUNT(W14,AB14,AC14,AH14,AJ14,AL14)&lt;5,SUM(W14,AB14,AC14,AH14,AJ14,AL14),SUM(LARGE((W14,AB14,AC14,AH14,AJ14,AL14),{1;2;3;4;5}))))+U14),0)</f>
        <v>0</v>
      </c>
      <c r="S14" s="676"/>
      <c r="T14" s="676"/>
      <c r="U14" s="915">
        <v>1</v>
      </c>
      <c r="V14" s="316" t="s">
        <v>156</v>
      </c>
      <c r="W14" s="316">
        <v>42</v>
      </c>
      <c r="X14" s="315">
        <v>97</v>
      </c>
      <c r="Y14" s="315">
        <v>126</v>
      </c>
      <c r="Z14" s="960">
        <v>126</v>
      </c>
      <c r="AA14" s="961"/>
      <c r="AB14" s="962"/>
      <c r="AC14" s="315">
        <v>126</v>
      </c>
      <c r="AD14" s="960">
        <v>126</v>
      </c>
      <c r="AE14" s="961"/>
      <c r="AF14" s="732"/>
      <c r="AG14" s="137">
        <v>90</v>
      </c>
      <c r="AH14" s="137">
        <v>158</v>
      </c>
      <c r="AI14" s="137">
        <v>115</v>
      </c>
      <c r="AJ14" s="137">
        <v>119</v>
      </c>
      <c r="AK14" s="137">
        <v>46</v>
      </c>
      <c r="AL14" s="137">
        <v>69</v>
      </c>
      <c r="AM14" s="137">
        <v>64</v>
      </c>
      <c r="AN14" s="30">
        <f t="shared" si="9"/>
        <v>11</v>
      </c>
      <c r="AO14" s="312">
        <f t="shared" si="10"/>
        <v>3</v>
      </c>
      <c r="AP14" s="291">
        <f t="shared" si="11"/>
        <v>1</v>
      </c>
      <c r="AQ14" s="31">
        <f t="shared" si="12"/>
        <v>0</v>
      </c>
      <c r="AR14" s="4" t="e">
        <f>COUNTIF(V14:W14,"=  ")+COUNTIF(X14:AH14,"=  ")+COUNTIF(AJ14,"=  ")+COUNTIF(AL14,"=  ")+COUNTIF(#REF!,"=  ")+COUNTIF(#REF!,"=  ")+COUNTIF(#REF!,"=  ")</f>
        <v>#REF!</v>
      </c>
      <c r="AS14" s="101" t="e">
        <f>COUNTIF(Y14,"=  ")+COUNTIF(AI14,"=  ")+COUNTIF(AK14,"=  ")+COUNTIF(AM14,"=  ")+COUNTIF(AC14,"=  ")+COUNTIF(#REF!,"=  ")</f>
        <v>#REF!</v>
      </c>
    </row>
    <row r="15" spans="1:45" x14ac:dyDescent="0.2">
      <c r="A15" s="47">
        <v>6</v>
      </c>
      <c r="B15" s="141">
        <f t="shared" si="2"/>
        <v>6</v>
      </c>
      <c r="C15" s="139">
        <f t="shared" si="3"/>
        <v>11010</v>
      </c>
      <c r="D15" s="49" t="s">
        <v>151</v>
      </c>
      <c r="E15" s="141" t="str">
        <f t="shared" si="4"/>
        <v/>
      </c>
      <c r="F15" s="138">
        <f t="shared" si="5"/>
        <v>0</v>
      </c>
      <c r="G15" s="383" t="s">
        <v>151</v>
      </c>
      <c r="H15" s="141" t="str">
        <f t="shared" si="6"/>
        <v/>
      </c>
      <c r="I15" s="221">
        <f t="shared" si="7"/>
        <v>0</v>
      </c>
      <c r="J15" s="71">
        <f t="shared" si="8"/>
        <v>7</v>
      </c>
      <c r="K15" s="70">
        <v>7</v>
      </c>
      <c r="L15" s="217" t="s">
        <v>182</v>
      </c>
      <c r="M15" s="70">
        <v>1010</v>
      </c>
      <c r="N15" s="141">
        <f t="array" ref="N15">(IF(COUNT(V15,X15,AG15,AI15,AK15,AM15)&lt;5,SUM(V15,X15,AG15,AI15,AK15,AM15),SUM(LARGE((V15,X15,AG15,AI15,AK15,AM15),{1;2;3;4;5}))))+(IF(COUNT(W15,Y15,AC15,AH15,AJ15,AL15)&lt;5,SUM(W15,Y15,AC15,AH15,AJ15,AL15),SUM(LARGE((W15,Y15,AC15,AH15,AJ15,AL15),{1;2;3;4;5}))))+U15</f>
        <v>1010</v>
      </c>
      <c r="O15" s="796">
        <v>0</v>
      </c>
      <c r="P15" s="132">
        <f t="array" ref="P15">IF(S15="n",((IF(COUNT(V15,X15,AG15,AI15,AK15,AM15)&lt;5,SUM(V15,X15,AG15,AI15,AK15,AM15),SUM(LARGE((V15,X15,AG15,AI15,AK15,AM15),{1;2;3;4;5}))))+(IF(COUNT(W15,AA15,AE15,AH15,AJ15,AL15)&lt;5,SUM(W15,AA15,AE15,AH15,AJ15,AL15),SUM(LARGE((W15,AA15,AE15,AH15,AJ15,AL15),{1;2;3;4;5}))))+U15),0)</f>
        <v>0</v>
      </c>
      <c r="Q15" s="797">
        <v>0</v>
      </c>
      <c r="R15" s="132">
        <f t="array" ref="R15">IF(T15="j",((IF(COUNT(V15,X15,AG15,AI15,AK15,AM15)&lt;5,SUM(V15,X15,AG15,AI15,AK15,AM15),SUM(LARGE((V15,X15,AG15,AI15,AK15,AM15),{1;2;3;4;5}))))+(IF(COUNT(W15,AB15,AC15,AH15,AJ15,AL15)&lt;5,SUM(W15,AB15,AC15,AH15,AJ15,AL15),SUM(LARGE((W15,AB15,AC15,AH15,AJ15,AL15),{1;2;3;4;5}))))+U15),0)</f>
        <v>0</v>
      </c>
      <c r="S15" s="676"/>
      <c r="T15" s="676"/>
      <c r="U15" s="915">
        <v>40</v>
      </c>
      <c r="V15" s="315">
        <v>115</v>
      </c>
      <c r="W15" s="315">
        <v>135</v>
      </c>
      <c r="X15" s="315">
        <v>105</v>
      </c>
      <c r="Y15" s="315">
        <v>74</v>
      </c>
      <c r="Z15" s="960">
        <v>74</v>
      </c>
      <c r="AA15" s="961"/>
      <c r="AB15" s="962"/>
      <c r="AC15" s="315">
        <v>60</v>
      </c>
      <c r="AD15" s="960">
        <v>60</v>
      </c>
      <c r="AE15" s="961"/>
      <c r="AF15" s="732"/>
      <c r="AG15" s="137">
        <v>64</v>
      </c>
      <c r="AH15" s="316">
        <v>56</v>
      </c>
      <c r="AI15" s="281">
        <v>105</v>
      </c>
      <c r="AJ15" s="137">
        <v>111</v>
      </c>
      <c r="AK15" s="316">
        <v>60</v>
      </c>
      <c r="AL15" s="137">
        <v>104</v>
      </c>
      <c r="AM15" s="137">
        <v>97</v>
      </c>
      <c r="AN15" s="30">
        <f t="shared" si="9"/>
        <v>12</v>
      </c>
      <c r="AO15" s="312">
        <f t="shared" si="10"/>
        <v>4</v>
      </c>
      <c r="AP15" s="291">
        <f t="shared" si="11"/>
        <v>1</v>
      </c>
      <c r="AQ15" s="31">
        <f t="shared" si="12"/>
        <v>0</v>
      </c>
      <c r="AR15" s="4" t="e">
        <f>COUNTIF(V15:W15,"=  ")+COUNTIF(X15:AH15,"=  ")+COUNTIF(AJ15,"=  ")+COUNTIF(AL15,"=  ")+COUNTIF(#REF!,"=  ")+COUNTIF(#REF!,"=  ")+COUNTIF(#REF!,"=  ")</f>
        <v>#REF!</v>
      </c>
      <c r="AS15" s="101" t="e">
        <f>COUNTIF(Y15,"=  ")+COUNTIF(AI15,"=  ")+COUNTIF(AK15,"=  ")+COUNTIF(AM15,"=  ")+COUNTIF(AC15,"=  ")+COUNTIF(#REF!,"=  ")</f>
        <v>#REF!</v>
      </c>
    </row>
    <row r="16" spans="1:45" x14ac:dyDescent="0.2">
      <c r="A16" s="47">
        <v>7</v>
      </c>
      <c r="B16" s="141">
        <f t="shared" si="2"/>
        <v>7</v>
      </c>
      <c r="C16" s="139">
        <f t="shared" si="3"/>
        <v>10983</v>
      </c>
      <c r="D16" s="49" t="s">
        <v>151</v>
      </c>
      <c r="E16" s="141" t="str">
        <f t="shared" si="4"/>
        <v/>
      </c>
      <c r="F16" s="138">
        <f t="shared" si="5"/>
        <v>0</v>
      </c>
      <c r="G16" s="383" t="s">
        <v>151</v>
      </c>
      <c r="H16" s="141" t="str">
        <f t="shared" si="6"/>
        <v/>
      </c>
      <c r="I16" s="221">
        <f t="shared" si="7"/>
        <v>0</v>
      </c>
      <c r="J16" s="71">
        <f t="shared" si="8"/>
        <v>8</v>
      </c>
      <c r="K16" s="70">
        <v>8</v>
      </c>
      <c r="L16" s="211" t="s">
        <v>31</v>
      </c>
      <c r="M16" s="70">
        <v>983</v>
      </c>
      <c r="N16" s="141">
        <f t="array" ref="N16">(IF(COUNT(V16,X16,AG16,AI16,AK16,AM16)&lt;5,SUM(V16,X16,AG16,AI16,AK16,AM16),SUM(LARGE((V16,X16,AG16,AI16,AK16,AM16),{1;2;3;4;5}))))+(IF(COUNT(W16,Y16,AC16,AH16,AJ16,AL16)&lt;5,SUM(W16,Y16,AC16,AH16,AJ16,AL16),SUM(LARGE((W16,Y16,AC16,AH16,AJ16,AL16),{1;2;3;4;5}))))+U16</f>
        <v>983</v>
      </c>
      <c r="O16" s="796">
        <v>0</v>
      </c>
      <c r="P16" s="132">
        <f t="array" ref="P16">IF(S16="n",((IF(COUNT(V16,X16,AG16,AI16,AK16,AM16)&lt;5,SUM(V16,X16,AG16,AI16,AK16,AM16),SUM(LARGE((V16,X16,AG16,AI16,AK16,AM16),{1;2;3;4;5}))))+(IF(COUNT(W16,AA16,AE16,AH16,AJ16,AL16)&lt;5,SUM(W16,AA16,AE16,AH16,AJ16,AL16),SUM(LARGE((W16,AA16,AE16,AH16,AJ16,AL16),{1;2;3;4;5}))))+U16),0)</f>
        <v>0</v>
      </c>
      <c r="Q16" s="797">
        <v>0</v>
      </c>
      <c r="R16" s="132">
        <f t="array" ref="R16">IF(T16="j",((IF(COUNT(V16,X16,AG16,AI16,AK16,AM16)&lt;5,SUM(V16,X16,AG16,AI16,AK16,AM16),SUM(LARGE((V16,X16,AG16,AI16,AK16,AM16),{1;2;3;4;5}))))+(IF(COUNT(W16,AB16,AC16,AH16,AJ16,AL16)&lt;5,SUM(W16,AB16,AC16,AH16,AJ16,AL16),SUM(LARGE((W16,AB16,AC16,AH16,AJ16,AL16),{1;2;3;4;5}))))+U16),0)</f>
        <v>0</v>
      </c>
      <c r="S16" s="676"/>
      <c r="T16" s="676"/>
      <c r="U16" s="915">
        <v>64</v>
      </c>
      <c r="V16" s="315">
        <v>56</v>
      </c>
      <c r="W16" s="315">
        <v>146</v>
      </c>
      <c r="X16" s="315">
        <v>90</v>
      </c>
      <c r="Y16" s="316">
        <v>69</v>
      </c>
      <c r="Z16" s="960">
        <v>69</v>
      </c>
      <c r="AA16" s="961"/>
      <c r="AB16" s="962"/>
      <c r="AC16" s="315">
        <v>84</v>
      </c>
      <c r="AD16" s="960">
        <v>84</v>
      </c>
      <c r="AE16" s="961"/>
      <c r="AF16" s="732"/>
      <c r="AG16" s="316">
        <v>31</v>
      </c>
      <c r="AH16" s="137">
        <v>135</v>
      </c>
      <c r="AI16" s="137">
        <v>74</v>
      </c>
      <c r="AJ16" s="137">
        <v>90</v>
      </c>
      <c r="AK16" s="137">
        <v>84</v>
      </c>
      <c r="AL16" s="137">
        <v>111</v>
      </c>
      <c r="AM16" s="137">
        <v>49</v>
      </c>
      <c r="AN16" s="30">
        <f t="shared" si="9"/>
        <v>12</v>
      </c>
      <c r="AO16" s="312">
        <f t="shared" si="10"/>
        <v>1</v>
      </c>
      <c r="AP16" s="291">
        <f t="shared" si="11"/>
        <v>0</v>
      </c>
      <c r="AQ16" s="31">
        <f t="shared" si="12"/>
        <v>0</v>
      </c>
      <c r="AR16" s="4" t="e">
        <f>COUNTIF(V16:W16,"=  ")+COUNTIF(X16:AH16,"=  ")+COUNTIF(AJ16,"=  ")+COUNTIF(AL16,"=  ")+COUNTIF(#REF!,"=  ")+COUNTIF(#REF!,"=  ")+COUNTIF(#REF!,"=  ")</f>
        <v>#REF!</v>
      </c>
      <c r="AS16" s="101" t="e">
        <f>COUNTIF(Y16,"=  ")+COUNTIF(AI16,"=  ")+COUNTIF(AK16,"=  ")+COUNTIF(AM16,"=  ")+COUNTIF(AC16,"=  ")+COUNTIF(#REF!,"=  ")</f>
        <v>#REF!</v>
      </c>
    </row>
    <row r="17" spans="1:45" x14ac:dyDescent="0.2">
      <c r="A17" s="47" t="s">
        <v>151</v>
      </c>
      <c r="B17" s="141" t="str">
        <f t="shared" si="2"/>
        <v/>
      </c>
      <c r="C17" s="139">
        <f t="shared" si="3"/>
        <v>0</v>
      </c>
      <c r="D17" s="993">
        <v>2</v>
      </c>
      <c r="E17" s="141">
        <f t="shared" si="4"/>
        <v>2</v>
      </c>
      <c r="F17" s="138">
        <f t="shared" si="5"/>
        <v>11083</v>
      </c>
      <c r="G17" s="383" t="s">
        <v>151</v>
      </c>
      <c r="H17" s="141" t="str">
        <f t="shared" si="6"/>
        <v/>
      </c>
      <c r="I17" s="221">
        <f t="shared" si="7"/>
        <v>0</v>
      </c>
      <c r="J17" s="71">
        <f t="shared" si="8"/>
        <v>9</v>
      </c>
      <c r="K17" s="70">
        <v>9</v>
      </c>
      <c r="L17" s="51" t="s">
        <v>36</v>
      </c>
      <c r="M17" s="70">
        <v>975</v>
      </c>
      <c r="N17" s="141">
        <f t="array" ref="N17">(IF(COUNT(V17,X17,AG17,AI17,AK17,AM17)&lt;5,SUM(V17,X17,AG17,AI17,AK17,AM17),SUM(LARGE((V17,X17,AG17,AI17,AK17,AM17),{1;2;3;4;5}))))+(IF(COUNT(W17,Y17,AC17,AH17,AJ17,AL17)&lt;5,SUM(W17,Y17,AC17,AH17,AJ17,AL17),SUM(LARGE((W17,Y17,AC17,AH17,AJ17,AL17),{1;2;3;4;5}))))+U17</f>
        <v>975</v>
      </c>
      <c r="O17" s="796">
        <v>1083</v>
      </c>
      <c r="P17" s="132">
        <f t="array" ref="P17">IF(S17="n",((IF(COUNT(V17,X17,AG17,AI17,AK17,AM17)&lt;5,SUM(V17,X17,AG17,AI17,AK17,AM17),SUM(LARGE((V17,X17,AG17,AI17,AK17,AM17),{1;2;3;4;5}))))+(IF(COUNT(W17,AA17,AE17,AH17,AJ17,AL17)&lt;5,SUM(W17,AA17,AE17,AH17,AJ17,AL17),SUM(LARGE((W17,AA17,AE17,AH17,AJ17,AL17),{1;2;3;4;5}))))+U17),0)</f>
        <v>1083</v>
      </c>
      <c r="Q17" s="797">
        <v>0</v>
      </c>
      <c r="R17" s="132">
        <f t="array" ref="R17">IF(T17="j",((IF(COUNT(V17,X17,AG17,AI17,AK17,AM17)&lt;5,SUM(V17,X17,AG17,AI17,AK17,AM17),SUM(LARGE((V17,X17,AG17,AI17,AK17,AM17),{1;2;3;4;5}))))+(IF(COUNT(W17,AB17,AC17,AH17,AJ17,AL17)&lt;5,SUM(W17,AB17,AC17,AH17,AJ17,AL17),SUM(LARGE((W17,AB17,AC17,AH17,AJ17,AL17),{1;2;3;4;5}))))+U17),0)</f>
        <v>0</v>
      </c>
      <c r="S17" s="676" t="s">
        <v>33</v>
      </c>
      <c r="T17" s="676"/>
      <c r="U17" s="915">
        <v>31</v>
      </c>
      <c r="V17" s="315">
        <v>69</v>
      </c>
      <c r="W17" s="315">
        <v>146</v>
      </c>
      <c r="X17" s="315">
        <v>90</v>
      </c>
      <c r="Y17" s="316">
        <v>74</v>
      </c>
      <c r="Z17" s="960"/>
      <c r="AA17" s="961">
        <v>135</v>
      </c>
      <c r="AB17" s="962"/>
      <c r="AC17" s="315">
        <v>83</v>
      </c>
      <c r="AD17" s="960"/>
      <c r="AE17" s="966">
        <v>146</v>
      </c>
      <c r="AF17" s="732"/>
      <c r="AG17" s="316">
        <v>46</v>
      </c>
      <c r="AH17" s="137">
        <v>135</v>
      </c>
      <c r="AI17" s="137">
        <v>74</v>
      </c>
      <c r="AJ17" s="137">
        <v>90</v>
      </c>
      <c r="AK17" s="137">
        <v>97</v>
      </c>
      <c r="AL17" s="137">
        <v>111</v>
      </c>
      <c r="AM17" s="137">
        <v>49</v>
      </c>
      <c r="AN17" s="30">
        <f t="shared" si="9"/>
        <v>12</v>
      </c>
      <c r="AO17" s="312">
        <f t="shared" si="10"/>
        <v>3</v>
      </c>
      <c r="AP17" s="291">
        <f t="shared" si="11"/>
        <v>0</v>
      </c>
      <c r="AQ17" s="31">
        <f t="shared" si="12"/>
        <v>0</v>
      </c>
      <c r="AR17" s="4" t="e">
        <f>COUNTIF(V17:W17,"=  ")+COUNTIF(X17:AH17,"=  ")+COUNTIF(AJ17,"=  ")+COUNTIF(AL17,"=  ")+COUNTIF(#REF!,"=  ")+COUNTIF(#REF!,"=  ")+COUNTIF(#REF!,"=  ")</f>
        <v>#REF!</v>
      </c>
      <c r="AS17" s="101" t="e">
        <f>COUNTIF(Y17,"=  ")+COUNTIF(AI17,"=  ")+COUNTIF(AK17,"=  ")+COUNTIF(AM17,"=  ")+COUNTIF(AC17,"=  ")+COUNTIF(#REF!,"=  ")</f>
        <v>#REF!</v>
      </c>
    </row>
    <row r="18" spans="1:45" x14ac:dyDescent="0.2">
      <c r="A18" s="47">
        <v>8</v>
      </c>
      <c r="B18" s="141">
        <f t="shared" si="2"/>
        <v>8</v>
      </c>
      <c r="C18" s="139">
        <f t="shared" si="3"/>
        <v>10970</v>
      </c>
      <c r="D18" s="49" t="s">
        <v>151</v>
      </c>
      <c r="E18" s="141" t="str">
        <f t="shared" si="4"/>
        <v/>
      </c>
      <c r="F18" s="138">
        <f t="shared" si="5"/>
        <v>0</v>
      </c>
      <c r="G18" s="991">
        <v>1</v>
      </c>
      <c r="H18" s="141">
        <f t="shared" si="6"/>
        <v>1</v>
      </c>
      <c r="I18" s="221">
        <f t="shared" si="7"/>
        <v>11090</v>
      </c>
      <c r="J18" s="71">
        <f t="shared" si="8"/>
        <v>10</v>
      </c>
      <c r="K18" s="70">
        <v>10</v>
      </c>
      <c r="L18" s="56" t="s">
        <v>45</v>
      </c>
      <c r="M18" s="302">
        <v>970</v>
      </c>
      <c r="N18" s="141">
        <f t="array" ref="N18">(IF(COUNT(V18,X18,AG18,AI18,AK18,AM18)&lt;5,SUM(V18,X18,AG18,AI18,AK18,AM18),SUM(LARGE((V18,X18,AG18,AI18,AK18,AM18),{1;2;3;4;5}))))+(IF(COUNT(W18,Y18,AC18,AH18,AJ18,AL18)&lt;5,SUM(W18,Y18,AC18,AH18,AJ18,AL18),SUM(LARGE((W18,Y18,AC18,AH18,AJ18,AL18),{1;2;3;4;5}))))+U18</f>
        <v>970</v>
      </c>
      <c r="O18" s="796">
        <v>0</v>
      </c>
      <c r="P18" s="132">
        <f t="array" ref="P18">IF(S18="n",((IF(COUNT(V18,X18,AG18,AI18,AK18,AM18)&lt;5,SUM(V18,X18,AG18,AI18,AK18,AM18),SUM(LARGE((V18,X18,AG18,AI18,AK18,AM18),{1;2;3;4;5}))))+(IF(COUNT(W18,AA18,AE18,AH18,AJ18,AL18)&lt;5,SUM(W18,AA18,AE18,AH18,AJ18,AL18),SUM(LARGE((W18,AA18,AE18,AH18,AJ18,AL18),{1;2;3;4;5}))))+U18),0)</f>
        <v>0</v>
      </c>
      <c r="Q18" s="797">
        <v>1090</v>
      </c>
      <c r="R18" s="132">
        <f t="array" ref="R18">IF(T18="j",((IF(COUNT(V18,X18,AG18,AI18,AK18,AM18)&lt;5,SUM(V18,X18,AG18,AI18,AK18,AM18),SUM(LARGE((V18,X18,AG18,AI18,AK18,AM18),{1;2;3;4;5}))))+(IF(COUNT(W18,AB18,AC18,AH18,AJ18,AL18)&lt;5,SUM(W18,AB18,AC18,AH18,AJ18,AL18),SUM(LARGE((W18,AB18,AC18,AH18,AJ18,AL18),{1;2;3;4;5}))))+U18),0)</f>
        <v>1090</v>
      </c>
      <c r="S18" s="676"/>
      <c r="T18" s="676" t="s">
        <v>46</v>
      </c>
      <c r="U18" s="915">
        <v>28</v>
      </c>
      <c r="V18" s="316">
        <v>60</v>
      </c>
      <c r="W18" s="316">
        <v>51</v>
      </c>
      <c r="X18" s="315">
        <v>64</v>
      </c>
      <c r="Y18" s="315">
        <v>53</v>
      </c>
      <c r="Z18" s="960"/>
      <c r="AA18" s="961"/>
      <c r="AB18" s="962">
        <v>173</v>
      </c>
      <c r="AC18" s="315">
        <v>135</v>
      </c>
      <c r="AD18" s="960">
        <v>135</v>
      </c>
      <c r="AE18" s="961"/>
      <c r="AF18" s="732" t="s">
        <v>639</v>
      </c>
      <c r="AG18" s="137">
        <v>105</v>
      </c>
      <c r="AH18" s="137">
        <v>84</v>
      </c>
      <c r="AI18" s="137">
        <v>69</v>
      </c>
      <c r="AJ18" s="137">
        <v>158</v>
      </c>
      <c r="AK18" s="137">
        <v>115</v>
      </c>
      <c r="AL18" s="137">
        <v>90</v>
      </c>
      <c r="AM18" s="137">
        <v>69</v>
      </c>
      <c r="AN18" s="30">
        <f t="shared" si="9"/>
        <v>12</v>
      </c>
      <c r="AO18" s="312">
        <f t="shared" si="10"/>
        <v>4</v>
      </c>
      <c r="AP18" s="291">
        <f t="shared" si="11"/>
        <v>2</v>
      </c>
      <c r="AQ18" s="31">
        <f t="shared" si="12"/>
        <v>1</v>
      </c>
      <c r="AR18" s="4" t="e">
        <f>COUNTIF(V18:W18,"=  ")+COUNTIF(X18:AH18,"=  ")+COUNTIF(AJ18,"=  ")+COUNTIF(AL18,"=  ")+COUNTIF(#REF!,"=  ")+COUNTIF(#REF!,"=  ")+COUNTIF(#REF!,"=  ")</f>
        <v>#REF!</v>
      </c>
      <c r="AS18" s="101" t="e">
        <f>COUNTIF(Y18,"=  ")+COUNTIF(AI18,"=  ")+COUNTIF(AK18,"=  ")+COUNTIF(AM18,"=  ")+COUNTIF(AC18,"=  ")+COUNTIF(#REF!,"=  ")</f>
        <v>#REF!</v>
      </c>
    </row>
    <row r="19" spans="1:45" x14ac:dyDescent="0.2">
      <c r="A19" s="47">
        <v>9</v>
      </c>
      <c r="B19" s="141">
        <f t="shared" si="2"/>
        <v>9</v>
      </c>
      <c r="C19" s="139">
        <f t="shared" si="3"/>
        <v>10899</v>
      </c>
      <c r="D19" s="49" t="s">
        <v>151</v>
      </c>
      <c r="E19" s="141" t="str">
        <f t="shared" si="4"/>
        <v/>
      </c>
      <c r="F19" s="138">
        <f t="shared" si="5"/>
        <v>0</v>
      </c>
      <c r="G19" s="383" t="s">
        <v>151</v>
      </c>
      <c r="H19" s="141" t="str">
        <f t="shared" si="6"/>
        <v/>
      </c>
      <c r="I19" s="221">
        <f t="shared" si="7"/>
        <v>0</v>
      </c>
      <c r="J19" s="71">
        <f t="shared" si="8"/>
        <v>11</v>
      </c>
      <c r="K19" s="70">
        <v>11</v>
      </c>
      <c r="L19" s="53" t="s">
        <v>47</v>
      </c>
      <c r="M19" s="302">
        <v>899</v>
      </c>
      <c r="N19" s="141">
        <f t="array" ref="N19">(IF(COUNT(V19,X19,AG19,AI19,AK19,AM19)&lt;5,SUM(V19,X19,AG19,AI19,AK19,AM19),SUM(LARGE((V19,X19,AG19,AI19,AK19,AM19),{1;2;3;4;5}))))+(IF(COUNT(W19,Y19,AC19,AH19,AJ19,AL19)&lt;5,SUM(W19,Y19,AC19,AH19,AJ19,AL19),SUM(LARGE((W19,Y19,AC19,AH19,AJ19,AL19),{1;2;3;4;5}))))+U19</f>
        <v>899</v>
      </c>
      <c r="O19" s="796">
        <v>0</v>
      </c>
      <c r="P19" s="132">
        <f t="array" ref="P19">IF(S19="n",((IF(COUNT(V19,X19,AG19,AI19,AK19,AM19)&lt;5,SUM(V19,X19,AG19,AI19,AK19,AM19),SUM(LARGE((V19,X19,AG19,AI19,AK19,AM19),{1;2;3;4;5}))))+(IF(COUNT(W19,AA19,AE19,AH19,AJ19,AL19)&lt;5,SUM(W19,AA19,AE19,AH19,AJ19,AL19),SUM(LARGE((W19,AA19,AE19,AH19,AJ19,AL19),{1;2;3;4;5}))))+U19),0)</f>
        <v>0</v>
      </c>
      <c r="Q19" s="797">
        <v>0</v>
      </c>
      <c r="R19" s="132">
        <f t="array" ref="R19">IF(T19="j",((IF(COUNT(V19,X19,AG19,AI19,AK19,AM19)&lt;5,SUM(V19,X19,AG19,AI19,AK19,AM19),SUM(LARGE((V19,X19,AG19,AI19,AK19,AM19),{1;2;3;4;5}))))+(IF(COUNT(W19,AB19,AC19,AH19,AJ19,AL19)&lt;5,SUM(W19,AB19,AC19,AH19,AJ19,AL19),SUM(LARGE((W19,AB19,AC19,AH19,AJ19,AL19),{1;2;3;4;5}))))+U19),0)</f>
        <v>0</v>
      </c>
      <c r="S19" s="676"/>
      <c r="T19" s="676"/>
      <c r="U19" s="915">
        <v>1</v>
      </c>
      <c r="V19" s="316">
        <v>60</v>
      </c>
      <c r="W19" s="315">
        <v>60</v>
      </c>
      <c r="X19" s="315">
        <v>64</v>
      </c>
      <c r="Y19" s="137">
        <v>84</v>
      </c>
      <c r="Z19" s="960">
        <v>84</v>
      </c>
      <c r="AA19" s="964"/>
      <c r="AB19" s="965"/>
      <c r="AC19" s="316">
        <v>33</v>
      </c>
      <c r="AD19" s="960">
        <v>33</v>
      </c>
      <c r="AE19" s="961"/>
      <c r="AF19" s="732"/>
      <c r="AG19" s="137">
        <v>105</v>
      </c>
      <c r="AH19" s="137">
        <v>84</v>
      </c>
      <c r="AI19" s="137">
        <v>69</v>
      </c>
      <c r="AJ19" s="137">
        <v>158</v>
      </c>
      <c r="AK19" s="137">
        <v>115</v>
      </c>
      <c r="AL19" s="137">
        <v>90</v>
      </c>
      <c r="AM19" s="137">
        <v>69</v>
      </c>
      <c r="AN19" s="30">
        <f t="shared" si="9"/>
        <v>12</v>
      </c>
      <c r="AO19" s="312">
        <f t="shared" si="10"/>
        <v>3</v>
      </c>
      <c r="AP19" s="291">
        <f t="shared" si="11"/>
        <v>1</v>
      </c>
      <c r="AQ19" s="31">
        <f t="shared" si="12"/>
        <v>0</v>
      </c>
      <c r="AR19" s="4" t="e">
        <f>COUNTIF(V19:W19,"=  ")+COUNTIF(X19:AH19,"=  ")+COUNTIF(AJ19,"=  ")+COUNTIF(AL19,"=  ")+COUNTIF(#REF!,"=  ")+COUNTIF(#REF!,"=  ")+COUNTIF(#REF!,"=  ")</f>
        <v>#REF!</v>
      </c>
      <c r="AS19" s="101" t="e">
        <f>COUNTIF(Y19,"=  ")+COUNTIF(AI19,"=  ")+COUNTIF(AK19,"=  ")+COUNTIF(AM19,"=  ")+COUNTIF(AC19,"=  ")+COUNTIF(#REF!,"=  ")</f>
        <v>#REF!</v>
      </c>
    </row>
    <row r="20" spans="1:45" x14ac:dyDescent="0.2">
      <c r="A20" s="47" t="s">
        <v>151</v>
      </c>
      <c r="B20" s="141" t="str">
        <f t="shared" si="2"/>
        <v/>
      </c>
      <c r="C20" s="139">
        <f t="shared" si="3"/>
        <v>0</v>
      </c>
      <c r="D20" s="996">
        <v>3</v>
      </c>
      <c r="E20" s="141">
        <f t="shared" si="4"/>
        <v>3</v>
      </c>
      <c r="F20" s="138">
        <f t="shared" si="5"/>
        <v>10947</v>
      </c>
      <c r="G20" s="383" t="s">
        <v>151</v>
      </c>
      <c r="H20" s="141" t="str">
        <f t="shared" si="6"/>
        <v/>
      </c>
      <c r="I20" s="221">
        <f t="shared" si="7"/>
        <v>0</v>
      </c>
      <c r="J20" s="71">
        <f t="shared" si="8"/>
        <v>12</v>
      </c>
      <c r="K20" s="70">
        <v>12</v>
      </c>
      <c r="L20" s="54" t="s">
        <v>48</v>
      </c>
      <c r="M20" s="302">
        <v>886</v>
      </c>
      <c r="N20" s="141">
        <f t="array" ref="N20">(IF(COUNT(V20,X20,AG20,AI20,AK20,AM20)&lt;5,SUM(V20,X20,AG20,AI20,AK20,AM20),SUM(LARGE((V20,X20,AG20,AI20,AK20,AM20),{1;2;3;4;5}))))+(IF(COUNT(W20,Y20,AC20,AH20,AJ20,AL20)&lt;5,SUM(W20,Y20,AC20,AH20,AJ20,AL20),SUM(LARGE((W20,Y20,AC20,AH20,AJ20,AL20),{1;2;3;4;5}))))+U20</f>
        <v>886</v>
      </c>
      <c r="O20" s="796">
        <v>947</v>
      </c>
      <c r="P20" s="132">
        <f t="array" ref="P20">IF(S20="n",((IF(COUNT(V20,X20,AG20,AI20,AK20,AM20)&lt;5,SUM(V20,X20,AG20,AI20,AK20,AM20),SUM(LARGE((V20,X20,AG20,AI20,AK20,AM20),{1;2;3;4;5}))))+(IF(COUNT(W20,AA20,AE20,AH20,AJ20,AL20)&lt;5,SUM(W20,AA20,AE20,AH20,AJ20,AL20),SUM(LARGE((W20,AA20,AE20,AH20,AJ20,AL20),{1;2;3;4;5}))))+U20),0)</f>
        <v>947</v>
      </c>
      <c r="Q20" s="797">
        <v>0</v>
      </c>
      <c r="R20" s="132">
        <f t="array" ref="R20">IF(T20="j",((IF(COUNT(V20,X20,AG20,AI20,AK20,AM20)&lt;5,SUM(V20,X20,AG20,AI20,AK20,AM20),SUM(LARGE((V20,X20,AG20,AI20,AK20,AM20),{1;2;3;4;5}))))+(IF(COUNT(W20,AB20,AC20,AH20,AJ20,AL20)&lt;5,SUM(W20,AB20,AC20,AH20,AJ20,AL20),SUM(LARGE((W20,AB20,AC20,AH20,AJ20,AL20),{1;2;3;4;5}))))+U20),0)</f>
        <v>0</v>
      </c>
      <c r="S20" s="676" t="s">
        <v>33</v>
      </c>
      <c r="T20" s="676"/>
      <c r="U20" s="915">
        <v>49</v>
      </c>
      <c r="V20" s="315">
        <v>105</v>
      </c>
      <c r="W20" s="315">
        <v>119</v>
      </c>
      <c r="X20" s="315">
        <v>60</v>
      </c>
      <c r="Y20" s="315">
        <v>65</v>
      </c>
      <c r="Z20" s="960"/>
      <c r="AA20" s="961">
        <v>126</v>
      </c>
      <c r="AB20" s="962"/>
      <c r="AC20" s="316" t="s">
        <v>156</v>
      </c>
      <c r="AD20" s="960"/>
      <c r="AE20" s="961"/>
      <c r="AF20" s="732"/>
      <c r="AG20" s="316" t="s">
        <v>156</v>
      </c>
      <c r="AH20" s="137">
        <v>47</v>
      </c>
      <c r="AI20" s="137">
        <v>69</v>
      </c>
      <c r="AJ20" s="137">
        <v>158</v>
      </c>
      <c r="AK20" s="137">
        <v>34</v>
      </c>
      <c r="AL20" s="137">
        <v>90</v>
      </c>
      <c r="AM20" s="137">
        <v>90</v>
      </c>
      <c r="AN20" s="30">
        <f t="shared" si="9"/>
        <v>10</v>
      </c>
      <c r="AO20" s="312">
        <f t="shared" si="10"/>
        <v>2</v>
      </c>
      <c r="AP20" s="291">
        <f t="shared" si="11"/>
        <v>0</v>
      </c>
      <c r="AQ20" s="31">
        <f t="shared" si="12"/>
        <v>0</v>
      </c>
      <c r="AR20" s="4" t="e">
        <f>COUNTIF(V20:W20,"=  ")+COUNTIF(X20:AH20,"=  ")+COUNTIF(AJ20,"=  ")+COUNTIF(AL20,"=  ")+COUNTIF(#REF!,"=  ")+COUNTIF(#REF!,"=  ")+COUNTIF(#REF!,"=  ")</f>
        <v>#REF!</v>
      </c>
      <c r="AS20" s="101" t="e">
        <f>COUNTIF(Y20,"=  ")+COUNTIF(AI20,"=  ")+COUNTIF(AK20,"=  ")+COUNTIF(AM20,"=  ")+COUNTIF(AC20,"=  ")+COUNTIF(#REF!,"=  ")</f>
        <v>#REF!</v>
      </c>
    </row>
    <row r="21" spans="1:45" x14ac:dyDescent="0.2">
      <c r="A21" s="47" t="s">
        <v>151</v>
      </c>
      <c r="B21" s="141" t="str">
        <f t="shared" si="2"/>
        <v/>
      </c>
      <c r="C21" s="139">
        <f t="shared" si="3"/>
        <v>0</v>
      </c>
      <c r="D21" s="49">
        <v>4</v>
      </c>
      <c r="E21" s="141">
        <f t="shared" si="4"/>
        <v>4</v>
      </c>
      <c r="F21" s="138">
        <f t="shared" si="5"/>
        <v>10909</v>
      </c>
      <c r="G21" s="383" t="s">
        <v>151</v>
      </c>
      <c r="H21" s="141" t="str">
        <f t="shared" si="6"/>
        <v/>
      </c>
      <c r="I21" s="221">
        <f t="shared" si="7"/>
        <v>0</v>
      </c>
      <c r="J21" s="71">
        <f t="shared" si="8"/>
        <v>13</v>
      </c>
      <c r="K21" s="70">
        <v>13</v>
      </c>
      <c r="L21" s="55" t="s">
        <v>52</v>
      </c>
      <c r="M21" s="70">
        <v>783</v>
      </c>
      <c r="N21" s="141">
        <f t="array" ref="N21">(IF(COUNT(V21,X21,AG21,AI21,AK21,AM21)&lt;5,SUM(V21,X21,AG21,AI21,AK21,AM21),SUM(LARGE((V21,X21,AG21,AI21,AK21,AM21),{1;2;3;4;5}))))+(IF(COUNT(W21,Y21,AC21,AH21,AJ21,AL21)&lt;5,SUM(W21,Y21,AC21,AH21,AJ21,AL21),SUM(LARGE((W21,Y21,AC21,AH21,AJ21,AL21),{1;2;3;4;5}))))+U21</f>
        <v>783</v>
      </c>
      <c r="O21" s="796">
        <v>909</v>
      </c>
      <c r="P21" s="132">
        <f t="array" ref="P21">IF(S21="n",((IF(COUNT(V21,X21,AG21,AI21,AK21,AM21)&lt;5,SUM(V21,X21,AG21,AI21,AK21,AM21),SUM(LARGE((V21,X21,AG21,AI21,AK21,AM21),{1;2;3;4;5}))))+(IF(COUNT(W21,AA21,AE21,AH21,AJ21,AL21)&lt;5,SUM(W21,AA21,AE21,AH21,AJ21,AL21),SUM(LARGE((W21,AA21,AE21,AH21,AJ21,AL21),{1;2;3;4;5}))))+U21),0)</f>
        <v>909</v>
      </c>
      <c r="Q21" s="797">
        <v>0</v>
      </c>
      <c r="R21" s="132">
        <f t="array" ref="R21">IF(T21="j",((IF(COUNT(V21,X21,AG21,AI21,AK21,AM21)&lt;5,SUM(V21,X21,AG21,AI21,AK21,AM21),SUM(LARGE((V21,X21,AG21,AI21,AK21,AM21),{1;2;3;4;5}))))+(IF(COUNT(W21,AB21,AC21,AH21,AJ21,AL21)&lt;5,SUM(W21,AB21,AC21,AH21,AJ21,AL21),SUM(LARGE((W21,AB21,AC21,AH21,AJ21,AL21),{1;2;3;4;5}))))+U21),0)</f>
        <v>0</v>
      </c>
      <c r="S21" s="676" t="s">
        <v>33</v>
      </c>
      <c r="T21" s="676"/>
      <c r="U21" s="915">
        <v>46</v>
      </c>
      <c r="V21" s="316" t="s">
        <v>156</v>
      </c>
      <c r="W21" s="315">
        <v>126</v>
      </c>
      <c r="X21" s="315">
        <v>60</v>
      </c>
      <c r="Y21" s="315">
        <v>93</v>
      </c>
      <c r="Z21" s="960"/>
      <c r="AA21" s="966">
        <v>158</v>
      </c>
      <c r="AB21" s="962"/>
      <c r="AC21" s="315">
        <v>65</v>
      </c>
      <c r="AD21" s="960"/>
      <c r="AE21" s="961">
        <v>126</v>
      </c>
      <c r="AF21" s="732"/>
      <c r="AG21" s="137">
        <v>46</v>
      </c>
      <c r="AH21" s="316" t="s">
        <v>156</v>
      </c>
      <c r="AI21" s="137"/>
      <c r="AJ21" s="137">
        <v>90</v>
      </c>
      <c r="AK21" s="137">
        <v>97</v>
      </c>
      <c r="AL21" s="137">
        <v>111</v>
      </c>
      <c r="AM21" s="137">
        <v>49</v>
      </c>
      <c r="AN21" s="30">
        <f t="shared" si="9"/>
        <v>9</v>
      </c>
      <c r="AO21" s="312">
        <f t="shared" si="10"/>
        <v>2</v>
      </c>
      <c r="AP21" s="291">
        <f t="shared" si="11"/>
        <v>0</v>
      </c>
      <c r="AQ21" s="31">
        <f t="shared" si="12"/>
        <v>0</v>
      </c>
      <c r="AR21" s="4" t="e">
        <f>COUNTIF(V21:W21,"=  ")+COUNTIF(X21:AH21,"=  ")+COUNTIF(AJ21,"=  ")+COUNTIF(AL21,"=  ")+COUNTIF(#REF!,"=  ")+COUNTIF(#REF!,"=  ")+COUNTIF(#REF!,"=  ")</f>
        <v>#REF!</v>
      </c>
      <c r="AS21" s="101" t="e">
        <f>COUNTIF(Y21,"=  ")+COUNTIF(AI21,"=  ")+COUNTIF(AK21,"=  ")+COUNTIF(AM21,"=  ")+COUNTIF(AC21,"=  ")+COUNTIF(#REF!,"=  ")</f>
        <v>#REF!</v>
      </c>
    </row>
    <row r="22" spans="1:45" x14ac:dyDescent="0.2">
      <c r="A22" s="47" t="s">
        <v>151</v>
      </c>
      <c r="B22" s="141" t="str">
        <f t="shared" si="2"/>
        <v/>
      </c>
      <c r="C22" s="139">
        <f t="shared" si="3"/>
        <v>0</v>
      </c>
      <c r="D22" s="49">
        <v>5</v>
      </c>
      <c r="E22" s="141">
        <f t="shared" si="4"/>
        <v>5</v>
      </c>
      <c r="F22" s="138">
        <f t="shared" si="5"/>
        <v>10784</v>
      </c>
      <c r="G22" s="383" t="s">
        <v>151</v>
      </c>
      <c r="H22" s="141" t="str">
        <f t="shared" si="6"/>
        <v/>
      </c>
      <c r="I22" s="221">
        <f t="shared" si="7"/>
        <v>0</v>
      </c>
      <c r="J22" s="71">
        <f t="shared" si="8"/>
        <v>14</v>
      </c>
      <c r="K22" s="70">
        <v>14</v>
      </c>
      <c r="L22" s="55" t="s">
        <v>59</v>
      </c>
      <c r="M22" s="70">
        <v>722</v>
      </c>
      <c r="N22" s="141">
        <f t="array" ref="N22">(IF(COUNT(V22,X22,AG22,AI22,AK22,AM22)&lt;5,SUM(V22,X22,AG22,AI22,AK22,AM22),SUM(LARGE((V22,X22,AG22,AI22,AK22,AM22),{1;2;3;4;5}))))+(IF(COUNT(W22,Y22,AC22,AH22,AJ22,AL22)&lt;5,SUM(W22,Y22,AC22,AH22,AJ22,AL22),SUM(LARGE((W22,Y22,AC22,AH22,AJ22,AL22),{1;2;3;4;5}))))+U22</f>
        <v>722</v>
      </c>
      <c r="O22" s="796">
        <v>784</v>
      </c>
      <c r="P22" s="132">
        <f t="array" ref="P22">IF(S22="n",((IF(COUNT(V22,X22,AG22,AI22,AK22,AM22)&lt;5,SUM(V22,X22,AG22,AI22,AK22,AM22),SUM(LARGE((V22,X22,AG22,AI22,AK22,AM22),{1;2;3;4;5}))))+(IF(COUNT(W22,AA22,AE22,AH22,AJ22,AL22)&lt;5,SUM(W22,AA22,AE22,AH22,AJ22,AL22),SUM(LARGE((W22,AA22,AE22,AH22,AJ22,AL22),{1;2;3;4;5}))))+U22),0)</f>
        <v>784</v>
      </c>
      <c r="Q22" s="797">
        <v>0</v>
      </c>
      <c r="R22" s="132">
        <f t="array" ref="R22">IF(T22="j",((IF(COUNT(V22,X22,AG22,AI22,AK22,AM22)&lt;5,SUM(V22,X22,AG22,AI22,AK22,AM22),SUM(LARGE((V22,X22,AG22,AI22,AK22,AM22),{1;2;3;4;5}))))+(IF(COUNT(W22,AB22,AC22,AH22,AJ22,AL22)&lt;5,SUM(W22,AB22,AC22,AH22,AJ22,AL22),SUM(LARGE((W22,AB22,AC22,AH22,AJ22,AL22),{1;2;3;4;5}))))+U22),0)</f>
        <v>0</v>
      </c>
      <c r="S22" s="676" t="s">
        <v>33</v>
      </c>
      <c r="T22" s="676"/>
      <c r="U22" s="915">
        <v>79</v>
      </c>
      <c r="V22" s="315">
        <v>69</v>
      </c>
      <c r="W22" s="315">
        <v>135</v>
      </c>
      <c r="X22" s="315">
        <v>69</v>
      </c>
      <c r="Y22" s="315">
        <v>57</v>
      </c>
      <c r="Z22" s="960"/>
      <c r="AA22" s="961">
        <v>119</v>
      </c>
      <c r="AB22" s="962"/>
      <c r="AC22" s="316" t="s">
        <v>156</v>
      </c>
      <c r="AD22" s="960"/>
      <c r="AE22" s="961"/>
      <c r="AF22" s="732"/>
      <c r="AG22" s="316" t="s">
        <v>156</v>
      </c>
      <c r="AH22" s="137"/>
      <c r="AI22" s="281"/>
      <c r="AJ22" s="137">
        <v>126</v>
      </c>
      <c r="AK22" s="137">
        <v>69</v>
      </c>
      <c r="AL22" s="137">
        <v>84</v>
      </c>
      <c r="AM22" s="137">
        <v>34</v>
      </c>
      <c r="AN22" s="30">
        <f t="shared" si="9"/>
        <v>8</v>
      </c>
      <c r="AO22" s="312">
        <f t="shared" si="10"/>
        <v>0</v>
      </c>
      <c r="AP22" s="291">
        <f t="shared" si="11"/>
        <v>0</v>
      </c>
      <c r="AQ22" s="31">
        <f t="shared" si="12"/>
        <v>0</v>
      </c>
      <c r="AR22" s="4" t="e">
        <f>COUNTIF(V22:W22,"=  ")+COUNTIF(X22:AH22,"=  ")+COUNTIF(AJ22,"=  ")+COUNTIF(AL22,"=  ")+COUNTIF(#REF!,"=  ")+COUNTIF(#REF!,"=  ")+COUNTIF(#REF!,"=  ")</f>
        <v>#REF!</v>
      </c>
      <c r="AS22" s="101" t="e">
        <f>COUNTIF(Y22,"=  ")+COUNTIF(AI22,"=  ")+COUNTIF(AK22,"=  ")+COUNTIF(AM22,"=  ")+COUNTIF(AC22,"=  ")+COUNTIF(#REF!,"=  ")</f>
        <v>#REF!</v>
      </c>
    </row>
    <row r="23" spans="1:45" x14ac:dyDescent="0.2">
      <c r="A23" s="47">
        <v>10</v>
      </c>
      <c r="B23" s="141">
        <f t="shared" si="2"/>
        <v>10</v>
      </c>
      <c r="C23" s="139">
        <f t="shared" si="3"/>
        <v>10678</v>
      </c>
      <c r="D23" s="49" t="s">
        <v>151</v>
      </c>
      <c r="E23" s="141" t="str">
        <f t="shared" si="4"/>
        <v/>
      </c>
      <c r="F23" s="138">
        <f t="shared" si="5"/>
        <v>0</v>
      </c>
      <c r="G23" s="383" t="s">
        <v>151</v>
      </c>
      <c r="H23" s="141" t="str">
        <f t="shared" si="6"/>
        <v/>
      </c>
      <c r="I23" s="221">
        <f t="shared" si="7"/>
        <v>0</v>
      </c>
      <c r="J23" s="71">
        <f t="shared" si="8"/>
        <v>15</v>
      </c>
      <c r="K23" s="70">
        <v>15</v>
      </c>
      <c r="L23" s="53" t="s">
        <v>62</v>
      </c>
      <c r="M23" s="302">
        <v>678</v>
      </c>
      <c r="N23" s="141">
        <f t="array" ref="N23">(IF(COUNT(V23,X23,AG23,AI23,AK23,AM23)&lt;5,SUM(V23,X23,AG23,AI23,AK23,AM23),SUM(LARGE((V23,X23,AG23,AI23,AK23,AM23),{1;2;3;4;5}))))+(IF(COUNT(W23,Y23,AC23,AH23,AJ23,AL23)&lt;5,SUM(W23,Y23,AC23,AH23,AJ23,AL23),SUM(LARGE((W23,Y23,AC23,AH23,AJ23,AL23),{1;2;3;4;5}))))+U23</f>
        <v>678</v>
      </c>
      <c r="O23" s="796">
        <v>0</v>
      </c>
      <c r="P23" s="132">
        <f t="array" ref="P23">IF(S23="n",((IF(COUNT(V23,X23,AG23,AI23,AK23,AM23)&lt;5,SUM(V23,X23,AG23,AI23,AK23,AM23),SUM(LARGE((V23,X23,AG23,AI23,AK23,AM23),{1;2;3;4;5}))))+(IF(COUNT(W23,AA23,AE23,AH23,AJ23,AL23)&lt;5,SUM(W23,AA23,AE23,AH23,AJ23,AL23),SUM(LARGE((W23,AA23,AE23,AH23,AJ23,AL23),{1;2;3;4;5}))))+U23),0)</f>
        <v>0</v>
      </c>
      <c r="Q23" s="797">
        <v>0</v>
      </c>
      <c r="R23" s="132">
        <f t="array" ref="R23">IF(T23="j",((IF(COUNT(V23,X23,AG23,AI23,AK23,AM23)&lt;5,SUM(V23,X23,AG23,AI23,AK23,AM23),SUM(LARGE((V23,X23,AG23,AI23,AK23,AM23),{1;2;3;4;5}))))+(IF(COUNT(W23,AB23,AC23,AH23,AJ23,AL23)&lt;5,SUM(W23,AB23,AC23,AH23,AJ23,AL23),SUM(LARGE((W23,AB23,AC23,AH23,AJ23,AL23),{1;2;3;4;5}))))+U23),0)</f>
        <v>0</v>
      </c>
      <c r="S23" s="676"/>
      <c r="T23" s="676"/>
      <c r="U23" s="915">
        <v>1</v>
      </c>
      <c r="V23" s="315">
        <v>60</v>
      </c>
      <c r="W23" s="315">
        <v>60</v>
      </c>
      <c r="X23" s="315">
        <v>64</v>
      </c>
      <c r="Y23" s="316" t="s">
        <v>156</v>
      </c>
      <c r="Z23" s="960"/>
      <c r="AA23" s="961"/>
      <c r="AB23" s="962"/>
      <c r="AC23" s="137"/>
      <c r="AD23" s="960"/>
      <c r="AE23" s="961"/>
      <c r="AF23" s="732"/>
      <c r="AG23" s="316">
        <v>19</v>
      </c>
      <c r="AH23" s="137">
        <v>47</v>
      </c>
      <c r="AI23" s="137">
        <v>69</v>
      </c>
      <c r="AJ23" s="137">
        <v>158</v>
      </c>
      <c r="AK23" s="137">
        <v>69</v>
      </c>
      <c r="AL23" s="137">
        <v>60</v>
      </c>
      <c r="AM23" s="137">
        <v>90</v>
      </c>
      <c r="AN23" s="30">
        <f t="shared" si="9"/>
        <v>10</v>
      </c>
      <c r="AO23" s="312">
        <f t="shared" si="10"/>
        <v>1</v>
      </c>
      <c r="AP23" s="291">
        <f t="shared" si="11"/>
        <v>0</v>
      </c>
      <c r="AQ23" s="31">
        <f t="shared" si="12"/>
        <v>0</v>
      </c>
      <c r="AR23" s="4" t="e">
        <f>COUNTIF(V23:W23,"=  ")+COUNTIF(X23:AH23,"=  ")+COUNTIF(AJ23,"=  ")+COUNTIF(AL23,"=  ")+COUNTIF(#REF!,"=  ")+COUNTIF(#REF!,"=  ")+COUNTIF(#REF!,"=  ")</f>
        <v>#REF!</v>
      </c>
      <c r="AS23" s="101" t="e">
        <f>COUNTIF(Y23,"=  ")+COUNTIF(AI23,"=  ")+COUNTIF(AK23,"=  ")+COUNTIF(AM23,"=  ")+COUNTIF(AC23,"=  ")+COUNTIF(#REF!,"=  ")</f>
        <v>#REF!</v>
      </c>
    </row>
    <row r="24" spans="1:45" x14ac:dyDescent="0.2">
      <c r="A24" s="47" t="s">
        <v>151</v>
      </c>
      <c r="B24" s="141" t="str">
        <f t="shared" si="2"/>
        <v/>
      </c>
      <c r="C24" s="139">
        <f t="shared" si="3"/>
        <v>0</v>
      </c>
      <c r="D24" s="49">
        <v>6</v>
      </c>
      <c r="E24" s="141">
        <f t="shared" si="4"/>
        <v>6</v>
      </c>
      <c r="F24" s="138">
        <f t="shared" si="5"/>
        <v>10741</v>
      </c>
      <c r="G24" s="383" t="s">
        <v>151</v>
      </c>
      <c r="H24" s="141" t="str">
        <f t="shared" si="6"/>
        <v/>
      </c>
      <c r="I24" s="221">
        <f t="shared" si="7"/>
        <v>0</v>
      </c>
      <c r="J24" s="71">
        <f t="shared" si="8"/>
        <v>16</v>
      </c>
      <c r="K24" s="70">
        <v>16</v>
      </c>
      <c r="L24" s="51" t="s">
        <v>638</v>
      </c>
      <c r="M24" s="70">
        <v>617</v>
      </c>
      <c r="N24" s="141">
        <f t="array" ref="N24">(IF(COUNT(V24,X24,AG24,AI24,AK24,AM24)&lt;5,SUM(V24,X24,AG24,AI24,AK24,AM24),SUM(LARGE((V24,X24,AG24,AI24,AK24,AM24),{1;2;3;4;5}))))+(IF(COUNT(W24,Y24,AC24,AH24,AJ24,AL24)&lt;5,SUM(W24,Y24,AC24,AH24,AJ24,AL24),SUM(LARGE((W24,Y24,AC24,AH24,AJ24,AL24),{1;2;3;4;5}))))+U24</f>
        <v>617</v>
      </c>
      <c r="O24" s="796">
        <v>741</v>
      </c>
      <c r="P24" s="132">
        <f t="array" ref="P24">IF(S24="n",((IF(COUNT(V24,X24,AG24,AI24,AK24,AM24)&lt;5,SUM(V24,X24,AG24,AI24,AK24,AM24),SUM(LARGE((V24,X24,AG24,AI24,AK24,AM24),{1;2;3;4;5}))))+(IF(COUNT(W24,AA24,AE24,AH24,AJ24,AL24)&lt;5,SUM(W24,AA24,AE24,AH24,AJ24,AL24),SUM(LARGE((W24,AA24,AE24,AH24,AJ24,AL24),{1;2;3;4;5}))))+U24),0)</f>
        <v>741</v>
      </c>
      <c r="Q24" s="797">
        <v>0</v>
      </c>
      <c r="R24" s="132">
        <f t="array" ref="R24">IF(T24="j",((IF(COUNT(V24,X24,AG24,AI24,AK24,AM24)&lt;5,SUM(V24,X24,AG24,AI24,AK24,AM24),SUM(LARGE((V24,X24,AG24,AI24,AK24,AM24),{1;2;3;4;5}))))+(IF(COUNT(W24,AB24,AC24,AH24,AJ24,AL24)&lt;5,SUM(W24,AB24,AC24,AH24,AJ24,AL24),SUM(LARGE((W24,AB24,AC24,AH24,AJ24,AL24),{1;2;3;4;5}))))+U24),0)</f>
        <v>0</v>
      </c>
      <c r="S24" s="676" t="s">
        <v>33</v>
      </c>
      <c r="T24" s="676"/>
      <c r="U24" s="915"/>
      <c r="V24" s="316" t="s">
        <v>156</v>
      </c>
      <c r="W24" s="315">
        <v>74</v>
      </c>
      <c r="X24" s="315">
        <v>97</v>
      </c>
      <c r="Y24" s="315">
        <v>83</v>
      </c>
      <c r="Z24" s="960"/>
      <c r="AA24" s="966">
        <v>146</v>
      </c>
      <c r="AB24" s="962"/>
      <c r="AC24" s="315">
        <v>74</v>
      </c>
      <c r="AD24" s="960"/>
      <c r="AE24" s="961">
        <v>135</v>
      </c>
      <c r="AF24" s="732"/>
      <c r="AG24" s="137">
        <v>22</v>
      </c>
      <c r="AH24" s="316" t="s">
        <v>156</v>
      </c>
      <c r="AI24" s="137"/>
      <c r="AJ24" s="137">
        <v>119</v>
      </c>
      <c r="AK24" s="137"/>
      <c r="AL24" s="137">
        <v>96</v>
      </c>
      <c r="AM24" s="137">
        <v>52</v>
      </c>
      <c r="AN24" s="30">
        <f t="shared" si="9"/>
        <v>8</v>
      </c>
      <c r="AO24" s="312">
        <f t="shared" si="10"/>
        <v>2</v>
      </c>
      <c r="AP24" s="291">
        <f t="shared" si="11"/>
        <v>0</v>
      </c>
      <c r="AQ24" s="31">
        <f t="shared" si="12"/>
        <v>0</v>
      </c>
      <c r="AR24" s="4" t="e">
        <f>COUNTIF(V24:W24,"=  ")+COUNTIF(X24:AH24,"=  ")+COUNTIF(AJ24,"=  ")+COUNTIF(AL24,"=  ")+COUNTIF(#REF!,"=  ")+COUNTIF(#REF!,"=  ")+COUNTIF(#REF!,"=  ")</f>
        <v>#REF!</v>
      </c>
      <c r="AS24" s="101" t="e">
        <f>COUNTIF(Y24,"=  ")+COUNTIF(AI24,"=  ")+COUNTIF(AK24,"=  ")+COUNTIF(AM24,"=  ")+COUNTIF(AC24,"=  ")+COUNTIF(#REF!,"=  ")</f>
        <v>#REF!</v>
      </c>
    </row>
    <row r="25" spans="1:45" x14ac:dyDescent="0.2">
      <c r="A25" s="47">
        <v>11</v>
      </c>
      <c r="B25" s="141">
        <f t="shared" si="2"/>
        <v>11</v>
      </c>
      <c r="C25" s="139">
        <f t="shared" si="3"/>
        <v>10607.5</v>
      </c>
      <c r="D25" s="49" t="s">
        <v>151</v>
      </c>
      <c r="E25" s="141" t="str">
        <f t="shared" si="4"/>
        <v/>
      </c>
      <c r="F25" s="138">
        <f t="shared" si="5"/>
        <v>0</v>
      </c>
      <c r="G25" s="994">
        <v>2</v>
      </c>
      <c r="H25" s="141">
        <f t="shared" si="6"/>
        <v>2</v>
      </c>
      <c r="I25" s="221">
        <f t="shared" si="7"/>
        <v>10715.5</v>
      </c>
      <c r="J25" s="71">
        <f t="shared" si="8"/>
        <v>17</v>
      </c>
      <c r="K25" s="70">
        <v>17</v>
      </c>
      <c r="L25" s="81" t="s">
        <v>154</v>
      </c>
      <c r="M25" s="70">
        <v>607.5</v>
      </c>
      <c r="N25" s="141">
        <f t="array" ref="N25">(IF(COUNT(V25,X25,AG25,AI25,AK25,AM25)&lt;5,SUM(V25,X25,AG25,AI25,AK25,AM25),SUM(LARGE((V25,X25,AG25,AI25,AK25,AM25),{1;2;3;4;5}))))+(IF(COUNT(W25,Y25,AC25,AH25,AJ25,AL25)&lt;5,SUM(W25,Y25,AC25,AH25,AJ25,AL25),SUM(LARGE((W25,Y25,AC25,AH25,AJ25,AL25),{1;2;3;4;5}))))+U25</f>
        <v>607.5</v>
      </c>
      <c r="O25" s="796">
        <v>0</v>
      </c>
      <c r="P25" s="132">
        <f t="array" ref="P25">IF(S25="n",((IF(COUNT(V25,X25,AG25,AI25,AK25,AM25)&lt;5,SUM(V25,X25,AG25,AI25,AK25,AM25),SUM(LARGE((V25,X25,AG25,AI25,AK25,AM25),{1;2;3;4;5}))))+(IF(COUNT(W25,AA25,AE25,AH25,AJ25,AL25)&lt;5,SUM(W25,AA25,AE25,AH25,AJ25,AL25),SUM(LARGE((W25,AA25,AE25,AH25,AJ25,AL25),{1;2;3;4;5}))))+U25),0)</f>
        <v>0</v>
      </c>
      <c r="Q25" s="797">
        <v>715.5</v>
      </c>
      <c r="R25" s="132">
        <f t="array" ref="R25">IF(T25="j",((IF(COUNT(V25,X25,AG25,AI25,AK25,AM25)&lt;5,SUM(V25,X25,AG25,AI25,AK25,AM25),SUM(LARGE((V25,X25,AG25,AI25,AK25,AM25),{1;2;3;4;5}))))+(IF(COUNT(W25,AB25,AC25,AH25,AJ25,AL25)&lt;5,SUM(W25,AB25,AC25,AH25,AJ25,AL25),SUM(LARGE((W25,AB25,AC25,AH25,AJ25,AL25),{1;2;3;4;5}))))+U25),0)</f>
        <v>715.5</v>
      </c>
      <c r="S25" s="676"/>
      <c r="T25" s="676" t="s">
        <v>46</v>
      </c>
      <c r="U25" s="915">
        <v>56</v>
      </c>
      <c r="V25" s="316" t="s">
        <v>156</v>
      </c>
      <c r="W25" s="316" t="s">
        <v>156</v>
      </c>
      <c r="X25" s="137"/>
      <c r="Y25" s="315">
        <v>27</v>
      </c>
      <c r="Z25" s="960"/>
      <c r="AA25" s="961"/>
      <c r="AB25" s="962">
        <v>135</v>
      </c>
      <c r="AC25" s="315">
        <v>26.5</v>
      </c>
      <c r="AD25" s="960">
        <v>26.5</v>
      </c>
      <c r="AE25" s="961"/>
      <c r="AF25" s="732" t="s">
        <v>639</v>
      </c>
      <c r="AG25" s="137"/>
      <c r="AH25" s="137">
        <v>60</v>
      </c>
      <c r="AI25" s="137">
        <v>97</v>
      </c>
      <c r="AJ25" s="137">
        <v>90</v>
      </c>
      <c r="AK25" s="137">
        <v>97</v>
      </c>
      <c r="AL25" s="137">
        <v>111</v>
      </c>
      <c r="AM25" s="137">
        <v>43</v>
      </c>
      <c r="AN25" s="30">
        <f t="shared" si="9"/>
        <v>8</v>
      </c>
      <c r="AO25" s="312">
        <f t="shared" si="10"/>
        <v>2</v>
      </c>
      <c r="AP25" s="291">
        <f t="shared" si="11"/>
        <v>0</v>
      </c>
      <c r="AQ25" s="31">
        <f t="shared" si="12"/>
        <v>0</v>
      </c>
      <c r="AR25" s="4" t="e">
        <f>COUNTIF(V25:W25,"=  ")+COUNTIF(X25:AH25,"=  ")+COUNTIF(AJ25,"=  ")+COUNTIF(AL25,"=  ")+COUNTIF(#REF!,"=  ")+COUNTIF(#REF!,"=  ")+COUNTIF(#REF!,"=  ")</f>
        <v>#REF!</v>
      </c>
      <c r="AS25" s="101" t="e">
        <f>COUNTIF(Y25,"=  ")+COUNTIF(AI25,"=  ")+COUNTIF(AK25,"=  ")+COUNTIF(AM25,"=  ")+COUNTIF(AC25,"=  ")+COUNTIF(#REF!,"=  ")</f>
        <v>#REF!</v>
      </c>
    </row>
    <row r="26" spans="1:45" x14ac:dyDescent="0.2">
      <c r="A26" s="47">
        <v>12</v>
      </c>
      <c r="B26" s="141">
        <f t="shared" si="2"/>
        <v>12</v>
      </c>
      <c r="C26" s="139">
        <f t="shared" si="3"/>
        <v>10600</v>
      </c>
      <c r="D26" s="49" t="s">
        <v>151</v>
      </c>
      <c r="E26" s="141" t="str">
        <f t="shared" si="4"/>
        <v/>
      </c>
      <c r="F26" s="138">
        <f t="shared" si="5"/>
        <v>0</v>
      </c>
      <c r="G26" s="383" t="s">
        <v>151</v>
      </c>
      <c r="H26" s="141" t="str">
        <f t="shared" si="6"/>
        <v/>
      </c>
      <c r="I26" s="221">
        <f t="shared" si="7"/>
        <v>0</v>
      </c>
      <c r="J26" s="71">
        <f t="shared" si="8"/>
        <v>18</v>
      </c>
      <c r="K26" s="70">
        <v>18</v>
      </c>
      <c r="L26" s="211" t="s">
        <v>58</v>
      </c>
      <c r="M26" s="70">
        <v>600</v>
      </c>
      <c r="N26" s="141">
        <f t="array" ref="N26">(IF(COUNT(V26,X26,AG26,AI26,AK26,AM26)&lt;5,SUM(V26,X26,AG26,AI26,AK26,AM26),SUM(LARGE((V26,X26,AG26,AI26,AK26,AM26),{1;2;3;4;5}))))+(IF(COUNT(W26,Y26,AC26,AH26,AJ26,AL26)&lt;5,SUM(W26,Y26,AC26,AH26,AJ26,AL26),SUM(LARGE((W26,Y26,AC26,AH26,AJ26,AL26),{1;2;3;4;5}))))+U26</f>
        <v>600</v>
      </c>
      <c r="O26" s="796">
        <v>0</v>
      </c>
      <c r="P26" s="132">
        <f t="array" ref="P26">IF(S26="n",((IF(COUNT(V26,X26,AG26,AI26,AK26,AM26)&lt;5,SUM(V26,X26,AG26,AI26,AK26,AM26),SUM(LARGE((V26,X26,AG26,AI26,AK26,AM26),{1;2;3;4;5}))))+(IF(COUNT(W26,AA26,AE26,AH26,AJ26,AL26)&lt;5,SUM(W26,AA26,AE26,AH26,AJ26,AL26),SUM(LARGE((W26,AA26,AE26,AH26,AJ26,AL26),{1;2;3;4;5}))))+U26),0)</f>
        <v>0</v>
      </c>
      <c r="Q26" s="797">
        <v>0</v>
      </c>
      <c r="R26" s="132">
        <f t="array" ref="R26">IF(T26="j",((IF(COUNT(V26,X26,AG26,AI26,AK26,AM26)&lt;5,SUM(V26,X26,AG26,AI26,AK26,AM26),SUM(LARGE((V26,X26,AG26,AI26,AK26,AM26),{1;2;3;4;5}))))+(IF(COUNT(W26,AB26,AC26,AH26,AJ26,AL26)&lt;5,SUM(W26,AB26,AC26,AH26,AJ26,AL26),SUM(LARGE((W26,AB26,AC26,AH26,AJ26,AL26),{1;2;3;4;5}))))+U26),0)</f>
        <v>0</v>
      </c>
      <c r="S26" s="676"/>
      <c r="T26" s="676"/>
      <c r="U26" s="915">
        <v>60</v>
      </c>
      <c r="V26" s="315">
        <v>90</v>
      </c>
      <c r="W26" s="316" t="s">
        <v>156</v>
      </c>
      <c r="X26" s="315">
        <v>84</v>
      </c>
      <c r="Y26" s="137"/>
      <c r="Z26" s="960"/>
      <c r="AA26" s="961"/>
      <c r="AB26" s="962"/>
      <c r="AC26" s="137"/>
      <c r="AD26" s="960"/>
      <c r="AE26" s="961"/>
      <c r="AF26" s="732"/>
      <c r="AG26" s="137">
        <v>84</v>
      </c>
      <c r="AH26" s="137">
        <v>90</v>
      </c>
      <c r="AI26" s="281">
        <v>74</v>
      </c>
      <c r="AJ26" s="137"/>
      <c r="AK26" s="316" t="s">
        <v>156</v>
      </c>
      <c r="AL26" s="137">
        <v>84</v>
      </c>
      <c r="AM26" s="137">
        <v>34</v>
      </c>
      <c r="AN26" s="30">
        <f t="shared" si="9"/>
        <v>7</v>
      </c>
      <c r="AO26" s="312">
        <f t="shared" si="10"/>
        <v>0</v>
      </c>
      <c r="AP26" s="291">
        <f t="shared" si="11"/>
        <v>0</v>
      </c>
      <c r="AQ26" s="31">
        <f t="shared" si="12"/>
        <v>0</v>
      </c>
      <c r="AR26" s="4" t="e">
        <f>COUNTIF(V26:W26,"=  ")+COUNTIF(X26:AH26,"=  ")+COUNTIF(AJ26,"=  ")+COUNTIF(AL26,"=  ")+COUNTIF(#REF!,"=  ")+COUNTIF(#REF!,"=  ")+COUNTIF(#REF!,"=  ")</f>
        <v>#REF!</v>
      </c>
      <c r="AS26" s="101" t="e">
        <f>COUNTIF(Y26,"=  ")+COUNTIF(AI26,"=  ")+COUNTIF(AK26,"=  ")+COUNTIF(AM26,"=  ")+COUNTIF(AC26,"=  ")+COUNTIF(#REF!,"=  ")</f>
        <v>#REF!</v>
      </c>
    </row>
    <row r="27" spans="1:45" x14ac:dyDescent="0.2">
      <c r="A27" s="47">
        <v>13</v>
      </c>
      <c r="B27" s="141">
        <f t="shared" si="2"/>
        <v>13</v>
      </c>
      <c r="C27" s="139">
        <f t="shared" si="3"/>
        <v>10583</v>
      </c>
      <c r="D27" s="49" t="s">
        <v>151</v>
      </c>
      <c r="E27" s="141" t="str">
        <f t="shared" si="4"/>
        <v/>
      </c>
      <c r="F27" s="138">
        <f t="shared" si="5"/>
        <v>0</v>
      </c>
      <c r="G27" s="383" t="s">
        <v>151</v>
      </c>
      <c r="H27" s="141" t="str">
        <f t="shared" si="6"/>
        <v/>
      </c>
      <c r="I27" s="221">
        <f t="shared" si="7"/>
        <v>0</v>
      </c>
      <c r="J27" s="71">
        <f t="shared" si="8"/>
        <v>19</v>
      </c>
      <c r="K27" s="70">
        <v>19</v>
      </c>
      <c r="L27" s="211" t="s">
        <v>327</v>
      </c>
      <c r="M27" s="70">
        <v>583</v>
      </c>
      <c r="N27" s="141">
        <f t="array" ref="N27">(IF(COUNT(V27,X27,AG27,AI27,AK27,AM27)&lt;5,SUM(V27,X27,AG27,AI27,AK27,AM27),SUM(LARGE((V27,X27,AG27,AI27,AK27,AM27),{1;2;3;4;5}))))+(IF(COUNT(W27,Y27,AC27,AH27,AJ27,AL27)&lt;5,SUM(W27,Y27,AC27,AH27,AJ27,AL27),SUM(LARGE((W27,Y27,AC27,AH27,AJ27,AL27),{1;2;3;4;5}))))+U27</f>
        <v>583</v>
      </c>
      <c r="O27" s="796">
        <v>0</v>
      </c>
      <c r="P27" s="132">
        <f t="array" ref="P27">IF(S27="n",((IF(COUNT(V27,X27,AG27,AI27,AK27,AM27)&lt;5,SUM(V27,X27,AG27,AI27,AK27,AM27),SUM(LARGE((V27,X27,AG27,AI27,AK27,AM27),{1;2;3;4;5}))))+(IF(COUNT(W27,AA27,AE27,AH27,AJ27,AL27)&lt;5,SUM(W27,AA27,AE27,AH27,AJ27,AL27),SUM(LARGE((W27,AA27,AE27,AH27,AJ27,AL27),{1;2;3;4;5}))))+U27),0)</f>
        <v>0</v>
      </c>
      <c r="Q27" s="797">
        <v>0</v>
      </c>
      <c r="R27" s="132">
        <f t="array" ref="R27">IF(T27="j",((IF(COUNT(V27,X27,AG27,AI27,AK27,AM27)&lt;5,SUM(V27,X27,AG27,AI27,AK27,AM27),SUM(LARGE((V27,X27,AG27,AI27,AK27,AM27),{1;2;3;4;5}))))+(IF(COUNT(W27,AB27,AC27,AH27,AJ27,AL27)&lt;5,SUM(W27,AB27,AC27,AH27,AJ27,AL27),SUM(LARGE((W27,AB27,AC27,AH27,AJ27,AL27),{1;2;3;4;5}))))+U27),0)</f>
        <v>0</v>
      </c>
      <c r="S27" s="676"/>
      <c r="T27" s="676"/>
      <c r="U27" s="915">
        <v>1</v>
      </c>
      <c r="V27" s="315">
        <v>74</v>
      </c>
      <c r="W27" s="315">
        <v>47</v>
      </c>
      <c r="X27" s="315">
        <v>43</v>
      </c>
      <c r="Y27" s="315">
        <v>56</v>
      </c>
      <c r="Z27" s="960">
        <v>56</v>
      </c>
      <c r="AA27" s="961"/>
      <c r="AB27" s="962"/>
      <c r="AC27" s="315">
        <v>18</v>
      </c>
      <c r="AD27" s="960">
        <v>18</v>
      </c>
      <c r="AE27" s="961"/>
      <c r="AF27" s="732"/>
      <c r="AG27" s="137">
        <v>16</v>
      </c>
      <c r="AH27" s="137">
        <v>51</v>
      </c>
      <c r="AI27" s="281">
        <v>79</v>
      </c>
      <c r="AJ27" s="316" t="s">
        <v>156</v>
      </c>
      <c r="AK27" s="316" t="s">
        <v>156</v>
      </c>
      <c r="AL27" s="137">
        <v>158</v>
      </c>
      <c r="AM27" s="137">
        <v>40</v>
      </c>
      <c r="AN27" s="30">
        <f t="shared" si="9"/>
        <v>10</v>
      </c>
      <c r="AO27" s="312">
        <f t="shared" si="10"/>
        <v>1</v>
      </c>
      <c r="AP27" s="291">
        <f t="shared" si="11"/>
        <v>0</v>
      </c>
      <c r="AQ27" s="31">
        <f t="shared" si="12"/>
        <v>0</v>
      </c>
      <c r="AR27" s="4" t="e">
        <f>COUNTIF(V27:W27,"=  ")+COUNTIF(X27:AH27,"=  ")+COUNTIF(AJ27,"=  ")+COUNTIF(AL27,"=  ")+COUNTIF(#REF!,"=  ")+COUNTIF(#REF!,"=  ")+COUNTIF(#REF!,"=  ")</f>
        <v>#REF!</v>
      </c>
      <c r="AS27" s="101" t="e">
        <f>COUNTIF(Y27,"=  ")+COUNTIF(AI27,"=  ")+COUNTIF(AK27,"=  ")+COUNTIF(AM27,"=  ")+COUNTIF(AC27,"=  ")+COUNTIF(#REF!,"=  ")</f>
        <v>#REF!</v>
      </c>
    </row>
    <row r="28" spans="1:45" x14ac:dyDescent="0.2">
      <c r="A28" s="47">
        <v>14</v>
      </c>
      <c r="B28" s="141">
        <f t="shared" si="2"/>
        <v>14</v>
      </c>
      <c r="C28" s="139">
        <f t="shared" si="3"/>
        <v>10579.5</v>
      </c>
      <c r="D28" s="49" t="s">
        <v>151</v>
      </c>
      <c r="E28" s="141" t="str">
        <f t="shared" si="4"/>
        <v/>
      </c>
      <c r="F28" s="138">
        <f t="shared" si="5"/>
        <v>0</v>
      </c>
      <c r="G28" s="383" t="s">
        <v>151</v>
      </c>
      <c r="H28" s="141" t="str">
        <f t="shared" si="6"/>
        <v/>
      </c>
      <c r="I28" s="221">
        <f t="shared" si="7"/>
        <v>0</v>
      </c>
      <c r="J28" s="71">
        <f t="shared" si="8"/>
        <v>20</v>
      </c>
      <c r="K28" s="70">
        <v>20</v>
      </c>
      <c r="L28" s="53" t="s">
        <v>172</v>
      </c>
      <c r="M28" s="302">
        <v>579.5</v>
      </c>
      <c r="N28" s="141">
        <f t="array" ref="N28">(IF(COUNT(V28,X28,AG28,AI28,AK28,AM28)&lt;5,SUM(V28,X28,AG28,AI28,AK28,AM28),SUM(LARGE((V28,X28,AG28,AI28,AK28,AM28),{1;2;3;4;5}))))+(IF(COUNT(W28,Y28,AC28,AH28,AJ28,AL28)&lt;5,SUM(W28,Y28,AC28,AH28,AJ28,AL28),SUM(LARGE((W28,Y28,AC28,AH28,AJ28,AL28),{1;2;3;4;5}))))+U28</f>
        <v>579.5</v>
      </c>
      <c r="O28" s="796">
        <v>0</v>
      </c>
      <c r="P28" s="132">
        <f t="array" ref="P28">IF(S28="n",((IF(COUNT(V28,X28,AG28,AI28,AK28,AM28)&lt;5,SUM(V28,X28,AG28,AI28,AK28,AM28),SUM(LARGE((V28,X28,AG28,AI28,AK28,AM28),{1;2;3;4;5}))))+(IF(COUNT(W28,AA28,AE28,AH28,AJ28,AL28)&lt;5,SUM(W28,AA28,AE28,AH28,AJ28,AL28),SUM(LARGE((W28,AA28,AE28,AH28,AJ28,AL28),{1;2;3;4;5}))))+U28),0)</f>
        <v>0</v>
      </c>
      <c r="Q28" s="797">
        <v>0</v>
      </c>
      <c r="R28" s="132">
        <f t="array" ref="R28">IF(T28="j",((IF(COUNT(V28,X28,AG28,AI28,AK28,AM28)&lt;5,SUM(V28,X28,AG28,AI28,AK28,AM28),SUM(LARGE((V28,X28,AG28,AI28,AK28,AM28),{1;2;3;4;5}))))+(IF(COUNT(W28,AB28,AC28,AH28,AJ28,AL28)&lt;5,SUM(W28,AB28,AC28,AH28,AJ28,AL28),SUM(LARGE((W28,AB28,AC28,AH28,AJ28,AL28),{1;2;3;4;5}))))+U28),0)</f>
        <v>0</v>
      </c>
      <c r="S28" s="676"/>
      <c r="T28" s="676"/>
      <c r="U28" s="915">
        <v>1</v>
      </c>
      <c r="V28" s="316" t="s">
        <v>156</v>
      </c>
      <c r="W28" s="315">
        <v>56</v>
      </c>
      <c r="X28" s="315">
        <v>105</v>
      </c>
      <c r="Y28" s="315">
        <v>78</v>
      </c>
      <c r="Z28" s="960">
        <v>78</v>
      </c>
      <c r="AA28" s="961"/>
      <c r="AB28" s="962"/>
      <c r="AC28" s="315">
        <v>26.5</v>
      </c>
      <c r="AD28" s="960">
        <v>26.5</v>
      </c>
      <c r="AE28" s="961"/>
      <c r="AF28" s="732"/>
      <c r="AG28" s="137"/>
      <c r="AH28" s="137">
        <v>74</v>
      </c>
      <c r="AI28" s="137">
        <v>105</v>
      </c>
      <c r="AJ28" s="316" t="s">
        <v>156</v>
      </c>
      <c r="AK28" s="137">
        <v>74</v>
      </c>
      <c r="AL28" s="137">
        <v>60</v>
      </c>
      <c r="AM28" s="137"/>
      <c r="AN28" s="30">
        <f t="shared" si="9"/>
        <v>8</v>
      </c>
      <c r="AO28" s="312">
        <f t="shared" si="10"/>
        <v>2</v>
      </c>
      <c r="AP28" s="291">
        <f t="shared" si="11"/>
        <v>0</v>
      </c>
      <c r="AQ28" s="31">
        <f t="shared" si="12"/>
        <v>0</v>
      </c>
      <c r="AR28" s="4" t="e">
        <f>COUNTIF(V28:W28,"=  ")+COUNTIF(X28:AH28,"=  ")+COUNTIF(AJ28,"=  ")+COUNTIF(AL28,"=  ")+COUNTIF(#REF!,"=  ")+COUNTIF(#REF!,"=  ")+COUNTIF(#REF!,"=  ")</f>
        <v>#REF!</v>
      </c>
      <c r="AS28" s="101" t="e">
        <f>COUNTIF(Y28,"=  ")+COUNTIF(AI28,"=  ")+COUNTIF(AK28,"=  ")+COUNTIF(AM28,"=  ")+COUNTIF(AC28,"=  ")+COUNTIF(#REF!,"=  ")</f>
        <v>#REF!</v>
      </c>
    </row>
    <row r="29" spans="1:45" x14ac:dyDescent="0.2">
      <c r="A29" s="47">
        <v>15</v>
      </c>
      <c r="B29" s="141">
        <f t="shared" si="2"/>
        <v>15</v>
      </c>
      <c r="C29" s="139">
        <f t="shared" si="3"/>
        <v>10574</v>
      </c>
      <c r="D29" s="49" t="s">
        <v>151</v>
      </c>
      <c r="E29" s="141" t="str">
        <f t="shared" si="4"/>
        <v/>
      </c>
      <c r="F29" s="138">
        <f t="shared" si="5"/>
        <v>0</v>
      </c>
      <c r="G29" s="383" t="s">
        <v>151</v>
      </c>
      <c r="H29" s="141" t="str">
        <f t="shared" si="6"/>
        <v/>
      </c>
      <c r="I29" s="221">
        <f t="shared" si="7"/>
        <v>0</v>
      </c>
      <c r="J29" s="71">
        <f t="shared" si="8"/>
        <v>21</v>
      </c>
      <c r="K29" s="70">
        <v>21</v>
      </c>
      <c r="L29" s="53" t="s">
        <v>60</v>
      </c>
      <c r="M29" s="302">
        <v>574</v>
      </c>
      <c r="N29" s="141">
        <f t="array" ref="N29">(IF(COUNT(V29,X29,AG29,AI29,AK29,AM29)&lt;5,SUM(V29,X29,AG29,AI29,AK29,AM29),SUM(LARGE((V29,X29,AG29,AI29,AK29,AM29),{1;2;3;4;5}))))+(IF(COUNT(W29,Y29,AC29,AH29,AJ29,AL29)&lt;5,SUM(W29,Y29,AC29,AH29,AJ29,AL29),SUM(LARGE((W29,Y29,AC29,AH29,AJ29,AL29),{1;2;3;4;5}))))+U29</f>
        <v>574</v>
      </c>
      <c r="O29" s="796">
        <v>0</v>
      </c>
      <c r="P29" s="132">
        <f t="array" ref="P29">IF(S29="n",((IF(COUNT(V29,X29,AG29,AI29,AK29,AM29)&lt;5,SUM(V29,X29,AG29,AI29,AK29,AM29),SUM(LARGE((V29,X29,AG29,AI29,AK29,AM29),{1;2;3;4;5}))))+(IF(COUNT(W29,AA29,AE29,AH29,AJ29,AL29)&lt;5,SUM(W29,AA29,AE29,AH29,AJ29,AL29),SUM(LARGE((W29,AA29,AE29,AH29,AJ29,AL29),{1;2;3;4;5}))))+U29),0)</f>
        <v>0</v>
      </c>
      <c r="Q29" s="797">
        <v>0</v>
      </c>
      <c r="R29" s="132">
        <f t="array" ref="R29">IF(T29="j",((IF(COUNT(V29,X29,AG29,AI29,AK29,AM29)&lt;5,SUM(V29,X29,AG29,AI29,AK29,AM29),SUM(LARGE((V29,X29,AG29,AI29,AK29,AM29),{1;2;3;4;5}))))+(IF(COUNT(W29,AB29,AC29,AH29,AJ29,AL29)&lt;5,SUM(W29,AB29,AC29,AH29,AJ29,AL29),SUM(LARGE((W29,AB29,AC29,AH29,AJ29,AL29),{1;2;3;4;5}))))+U29),0)</f>
        <v>0</v>
      </c>
      <c r="S29" s="676"/>
      <c r="T29" s="676"/>
      <c r="U29" s="915">
        <v>1</v>
      </c>
      <c r="V29" s="316" t="s">
        <v>156</v>
      </c>
      <c r="W29" s="316" t="s">
        <v>156</v>
      </c>
      <c r="X29" s="137"/>
      <c r="Y29" s="315">
        <v>111</v>
      </c>
      <c r="Z29" s="960">
        <v>111</v>
      </c>
      <c r="AA29" s="961"/>
      <c r="AB29" s="962"/>
      <c r="AC29" s="315">
        <v>90</v>
      </c>
      <c r="AD29" s="960">
        <v>90</v>
      </c>
      <c r="AE29" s="961"/>
      <c r="AF29" s="732"/>
      <c r="AG29" s="137"/>
      <c r="AH29" s="137">
        <v>78</v>
      </c>
      <c r="AI29" s="137"/>
      <c r="AJ29" s="137">
        <v>96</v>
      </c>
      <c r="AK29" s="137">
        <v>52</v>
      </c>
      <c r="AL29" s="137">
        <v>146</v>
      </c>
      <c r="AM29" s="137"/>
      <c r="AN29" s="30">
        <f t="shared" si="9"/>
        <v>6</v>
      </c>
      <c r="AO29" s="312">
        <f t="shared" si="10"/>
        <v>1</v>
      </c>
      <c r="AP29" s="291">
        <f t="shared" si="11"/>
        <v>0</v>
      </c>
      <c r="AQ29" s="31">
        <f t="shared" si="12"/>
        <v>0</v>
      </c>
      <c r="AR29" s="4" t="e">
        <f>COUNTIF(V29:W29,"=  ")+COUNTIF(X29:AH29,"=  ")+COUNTIF(AJ29,"=  ")+COUNTIF(AL29,"=  ")+COUNTIF(#REF!,"=  ")+COUNTIF(#REF!,"=  ")+COUNTIF(#REF!,"=  ")</f>
        <v>#REF!</v>
      </c>
      <c r="AS29" s="101" t="e">
        <f>COUNTIF(Y29,"=  ")+COUNTIF(AI29,"=  ")+COUNTIF(AK29,"=  ")+COUNTIF(AM29,"=  ")+COUNTIF(AC29,"=  ")+COUNTIF(#REF!,"=  ")</f>
        <v>#REF!</v>
      </c>
    </row>
    <row r="30" spans="1:45" x14ac:dyDescent="0.2">
      <c r="A30" s="47">
        <v>16</v>
      </c>
      <c r="B30" s="141">
        <f t="shared" si="2"/>
        <v>16</v>
      </c>
      <c r="C30" s="139">
        <f t="shared" si="3"/>
        <v>10571</v>
      </c>
      <c r="D30" s="49" t="s">
        <v>151</v>
      </c>
      <c r="E30" s="141" t="str">
        <f t="shared" si="4"/>
        <v/>
      </c>
      <c r="F30" s="138">
        <f t="shared" si="5"/>
        <v>0</v>
      </c>
      <c r="G30" s="383" t="s">
        <v>151</v>
      </c>
      <c r="H30" s="141" t="str">
        <f t="shared" si="6"/>
        <v/>
      </c>
      <c r="I30" s="221">
        <f t="shared" si="7"/>
        <v>0</v>
      </c>
      <c r="J30" s="71">
        <f t="shared" si="8"/>
        <v>22</v>
      </c>
      <c r="K30" s="70">
        <v>22</v>
      </c>
      <c r="L30" s="211" t="s">
        <v>51</v>
      </c>
      <c r="M30" s="70">
        <v>571</v>
      </c>
      <c r="N30" s="141">
        <f t="array" ref="N30">(IF(COUNT(V30,X30,AG30,AI30,AK30,AM30)&lt;5,SUM(V30,X30,AG30,AI30,AK30,AM30),SUM(LARGE((V30,X30,AG30,AI30,AK30,AM30),{1;2;3;4;5}))))+(IF(COUNT(W30,Y30,AC30,AH30,AJ30,AL30)&lt;5,SUM(W30,Y30,AC30,AH30,AJ30,AL30),SUM(LARGE((W30,Y30,AC30,AH30,AJ30,AL30),{1;2;3;4;5}))))+U30</f>
        <v>571</v>
      </c>
      <c r="O30" s="796">
        <v>0</v>
      </c>
      <c r="P30" s="132">
        <f t="array" ref="P30">IF(S30="n",((IF(COUNT(V30,X30,AG30,AI30,AK30,AM30)&lt;5,SUM(V30,X30,AG30,AI30,AK30,AM30),SUM(LARGE((V30,X30,AG30,AI30,AK30,AM30),{1;2;3;4;5}))))+(IF(COUNT(W30,AA30,AE30,AH30,AJ30,AL30)&lt;5,SUM(W30,AA30,AE30,AH30,AJ30,AL30),SUM(LARGE((W30,AA30,AE30,AH30,AJ30,AL30),{1;2;3;4;5}))))+U30),0)</f>
        <v>0</v>
      </c>
      <c r="Q30" s="797">
        <v>0</v>
      </c>
      <c r="R30" s="132">
        <f t="array" ref="R30">IF(T30="j",((IF(COUNT(V30,X30,AG30,AI30,AK30,AM30)&lt;5,SUM(V30,X30,AG30,AI30,AK30,AM30),SUM(LARGE((V30,X30,AG30,AI30,AK30,AM30),{1;2;3;4;5}))))+(IF(COUNT(W30,AB30,AC30,AH30,AJ30,AL30)&lt;5,SUM(W30,AB30,AC30,AH30,AJ30,AL30),SUM(LARGE((W30,AB30,AC30,AH30,AJ30,AL30),{1;2;3;4;5}))))+U30),0)</f>
        <v>0</v>
      </c>
      <c r="S30" s="676"/>
      <c r="T30" s="676"/>
      <c r="U30" s="915">
        <v>25</v>
      </c>
      <c r="V30" s="315">
        <v>69</v>
      </c>
      <c r="W30" s="316" t="s">
        <v>156</v>
      </c>
      <c r="X30" s="315">
        <v>69</v>
      </c>
      <c r="Y30" s="315">
        <v>51</v>
      </c>
      <c r="Z30" s="960">
        <v>51</v>
      </c>
      <c r="AA30" s="961"/>
      <c r="AB30" s="962"/>
      <c r="AC30" s="315">
        <v>56</v>
      </c>
      <c r="AD30" s="960">
        <v>56</v>
      </c>
      <c r="AE30" s="961"/>
      <c r="AF30" s="732"/>
      <c r="AG30" s="316" t="s">
        <v>156</v>
      </c>
      <c r="AH30" s="137">
        <v>90</v>
      </c>
      <c r="AI30" s="137">
        <v>90</v>
      </c>
      <c r="AJ30" s="137"/>
      <c r="AK30" s="137"/>
      <c r="AL30" s="137">
        <v>84</v>
      </c>
      <c r="AM30" s="137">
        <v>37</v>
      </c>
      <c r="AN30" s="30">
        <f t="shared" si="9"/>
        <v>8</v>
      </c>
      <c r="AO30" s="312">
        <f t="shared" si="10"/>
        <v>0</v>
      </c>
      <c r="AP30" s="291">
        <f t="shared" si="11"/>
        <v>0</v>
      </c>
      <c r="AQ30" s="31">
        <f t="shared" si="12"/>
        <v>0</v>
      </c>
      <c r="AR30" s="4" t="e">
        <f>COUNTIF(V30:W30,"=  ")+COUNTIF(X30:AH30,"=  ")+COUNTIF(AJ30,"=  ")+COUNTIF(AL30,"=  ")+COUNTIF(#REF!,"=  ")+COUNTIF(#REF!,"=  ")+COUNTIF(#REF!,"=  ")</f>
        <v>#REF!</v>
      </c>
      <c r="AS30" s="101" t="e">
        <f>COUNTIF(Y30,"=  ")+COUNTIF(AI30,"=  ")+COUNTIF(AK30,"=  ")+COUNTIF(AM30,"=  ")+COUNTIF(AC30,"=  ")+COUNTIF(#REF!,"=  ")</f>
        <v>#REF!</v>
      </c>
    </row>
    <row r="31" spans="1:45" x14ac:dyDescent="0.2">
      <c r="A31" s="48">
        <v>17</v>
      </c>
      <c r="B31" s="141">
        <f t="shared" si="2"/>
        <v>17</v>
      </c>
      <c r="C31" s="139">
        <f t="shared" si="3"/>
        <v>10566</v>
      </c>
      <c r="D31" s="49" t="s">
        <v>151</v>
      </c>
      <c r="E31" s="141" t="str">
        <f t="shared" si="4"/>
        <v/>
      </c>
      <c r="F31" s="138">
        <f t="shared" si="5"/>
        <v>0</v>
      </c>
      <c r="G31" s="383" t="s">
        <v>151</v>
      </c>
      <c r="H31" s="141" t="str">
        <f t="shared" si="6"/>
        <v/>
      </c>
      <c r="I31" s="221">
        <f t="shared" si="7"/>
        <v>0</v>
      </c>
      <c r="J31" s="71">
        <f t="shared" si="8"/>
        <v>23</v>
      </c>
      <c r="K31" s="70">
        <v>23</v>
      </c>
      <c r="L31" s="25" t="s">
        <v>44</v>
      </c>
      <c r="M31" s="70">
        <v>566</v>
      </c>
      <c r="N31" s="141">
        <f t="array" ref="N31">(IF(COUNT(V31,X31,AG31,AI31,AK31,AM31)&lt;5,SUM(V31,X31,AG31,AI31,AK31,AM31),SUM(LARGE((V31,X31,AG31,AI31,AK31,AM31),{1;2;3;4;5}))))+(IF(COUNT(W31,Y31,AC31,AH31,AJ31,AL31)&lt;5,SUM(W31,Y31,AC31,AH31,AJ31,AL31),SUM(LARGE((W31,Y31,AC31,AH31,AJ31,AL31),{1;2;3;4;5}))))+U31</f>
        <v>566</v>
      </c>
      <c r="O31" s="796">
        <v>0</v>
      </c>
      <c r="P31" s="132">
        <f t="array" ref="P31">IF(S31="n",((IF(COUNT(V31,X31,AG31,AI31,AK31,AM31)&lt;5,SUM(V31,X31,AG31,AI31,AK31,AM31),SUM(LARGE((V31,X31,AG31,AI31,AK31,AM31),{1;2;3;4;5}))))+(IF(COUNT(W31,AA31,AE31,AH31,AJ31,AL31)&lt;5,SUM(W31,AA31,AE31,AH31,AJ31,AL31),SUM(LARGE((W31,AA31,AE31,AH31,AJ31,AL31),{1;2;3;4;5}))))+U31),0)</f>
        <v>0</v>
      </c>
      <c r="Q31" s="797">
        <v>0</v>
      </c>
      <c r="R31" s="132">
        <f t="array" ref="R31">IF(T31="j",((IF(COUNT(V31,X31,AG31,AI31,AK31,AM31)&lt;5,SUM(V31,X31,AG31,AI31,AK31,AM31),SUM(LARGE((V31,X31,AG31,AI31,AK31,AM31),{1;2;3;4;5}))))+(IF(COUNT(W31,AB31,AC31,AH31,AJ31,AL31)&lt;5,SUM(W31,AB31,AC31,AH31,AJ31,AL31),SUM(LARGE((W31,AB31,AC31,AH31,AJ31,AL31),{1;2;3;4;5}))))+U31),0)</f>
        <v>0</v>
      </c>
      <c r="S31" s="676"/>
      <c r="T31" s="676"/>
      <c r="U31" s="915">
        <v>34</v>
      </c>
      <c r="V31" s="315">
        <v>56</v>
      </c>
      <c r="W31" s="315">
        <v>146</v>
      </c>
      <c r="X31" s="315">
        <v>90</v>
      </c>
      <c r="Y31" s="316" t="s">
        <v>156</v>
      </c>
      <c r="Z31" s="960"/>
      <c r="AA31" s="961"/>
      <c r="AB31" s="962"/>
      <c r="AC31" s="137"/>
      <c r="AD31" s="960"/>
      <c r="AE31" s="961"/>
      <c r="AF31" s="732"/>
      <c r="AG31" s="137">
        <v>31</v>
      </c>
      <c r="AH31" s="137">
        <v>135</v>
      </c>
      <c r="AI31" s="137">
        <v>74</v>
      </c>
      <c r="AJ31" s="137"/>
      <c r="AK31" s="316" t="s">
        <v>156</v>
      </c>
      <c r="AL31" s="137"/>
      <c r="AM31" s="137"/>
      <c r="AN31" s="30">
        <f t="shared" si="9"/>
        <v>6</v>
      </c>
      <c r="AO31" s="312">
        <f t="shared" si="10"/>
        <v>1</v>
      </c>
      <c r="AP31" s="291">
        <f t="shared" si="11"/>
        <v>0</v>
      </c>
      <c r="AQ31" s="31">
        <f t="shared" si="12"/>
        <v>0</v>
      </c>
      <c r="AR31" s="4" t="e">
        <f>COUNTIF(V31:W31,"=  ")+COUNTIF(X31:AH31,"=  ")+COUNTIF(AJ31,"=  ")+COUNTIF(AL31,"=  ")+COUNTIF(#REF!,"=  ")+COUNTIF(#REF!,"=  ")+COUNTIF(#REF!,"=  ")</f>
        <v>#REF!</v>
      </c>
      <c r="AS31" s="101" t="e">
        <f>COUNTIF(Y31,"=  ")+COUNTIF(AI31,"=  ")+COUNTIF(AK31,"=  ")+COUNTIF(AM31,"=  ")+COUNTIF(AC31,"=  ")+COUNTIF(#REF!,"=  ")</f>
        <v>#REF!</v>
      </c>
    </row>
    <row r="32" spans="1:45" x14ac:dyDescent="0.2">
      <c r="A32" s="47">
        <v>18</v>
      </c>
      <c r="B32" s="141">
        <f t="shared" si="2"/>
        <v>18</v>
      </c>
      <c r="C32" s="139">
        <f t="shared" si="3"/>
        <v>10554</v>
      </c>
      <c r="D32" s="49" t="s">
        <v>151</v>
      </c>
      <c r="E32" s="141" t="str">
        <f t="shared" si="4"/>
        <v/>
      </c>
      <c r="F32" s="138">
        <f t="shared" si="5"/>
        <v>0</v>
      </c>
      <c r="G32" s="383" t="s">
        <v>151</v>
      </c>
      <c r="H32" s="141" t="str">
        <f t="shared" si="6"/>
        <v/>
      </c>
      <c r="I32" s="221">
        <f t="shared" si="7"/>
        <v>0</v>
      </c>
      <c r="J32" s="71">
        <f t="shared" si="8"/>
        <v>24</v>
      </c>
      <c r="K32" s="70">
        <v>24</v>
      </c>
      <c r="L32" s="263" t="s">
        <v>209</v>
      </c>
      <c r="M32" s="70">
        <v>554</v>
      </c>
      <c r="N32" s="141">
        <f t="array" ref="N32">(IF(COUNT(V32,X32,AG32,AI32,AK32,AM32)&lt;5,SUM(V32,X32,AG32,AI32,AK32,AM32),SUM(LARGE((V32,X32,AG32,AI32,AK32,AM32),{1;2;3;4;5}))))+(IF(COUNT(W32,Y32,AC32,AH32,AJ32,AL32)&lt;5,SUM(W32,Y32,AC32,AH32,AJ32,AL32),SUM(LARGE((W32,Y32,AC32,AH32,AJ32,AL32),{1;2;3;4;5}))))+U32</f>
        <v>554</v>
      </c>
      <c r="O32" s="796">
        <v>0</v>
      </c>
      <c r="P32" s="132">
        <f t="array" ref="P32">IF(S32="n",((IF(COUNT(V32,X32,AG32,AI32,AK32,AM32)&lt;5,SUM(V32,X32,AG32,AI32,AK32,AM32),SUM(LARGE((V32,X32,AG32,AI32,AK32,AM32),{1;2;3;4;5}))))+(IF(COUNT(W32,AA32,AE32,AH32,AJ32,AL32)&lt;5,SUM(W32,AA32,AE32,AH32,AJ32,AL32),SUM(LARGE((W32,AA32,AE32,AH32,AJ32,AL32),{1;2;3;4;5}))))+U32),0)</f>
        <v>0</v>
      </c>
      <c r="Q32" s="797">
        <v>0</v>
      </c>
      <c r="R32" s="132">
        <f t="array" ref="R32">IF(T32="j",((IF(COUNT(V32,X32,AG32,AI32,AK32,AM32)&lt;5,SUM(V32,X32,AG32,AI32,AK32,AM32),SUM(LARGE((V32,X32,AG32,AI32,AK32,AM32),{1;2;3;4;5}))))+(IF(COUNT(W32,AB32,AC32,AH32,AJ32,AL32)&lt;5,SUM(W32,AB32,AC32,AH32,AJ32,AL32),SUM(LARGE((W32,AB32,AC32,AH32,AJ32,AL32),{1;2;3;4;5}))))+U32),0)</f>
        <v>0</v>
      </c>
      <c r="S32" s="676"/>
      <c r="T32" s="676"/>
      <c r="U32" s="915">
        <v>1</v>
      </c>
      <c r="V32" s="316" t="s">
        <v>156</v>
      </c>
      <c r="W32" s="315">
        <v>78</v>
      </c>
      <c r="X32" s="137"/>
      <c r="Y32" s="315">
        <v>135</v>
      </c>
      <c r="Z32" s="960">
        <v>135</v>
      </c>
      <c r="AA32" s="961"/>
      <c r="AB32" s="962"/>
      <c r="AC32" s="315">
        <v>51</v>
      </c>
      <c r="AD32" s="960">
        <v>51</v>
      </c>
      <c r="AE32" s="961"/>
      <c r="AF32" s="732"/>
      <c r="AG32" s="137">
        <v>22</v>
      </c>
      <c r="AH32" s="316" t="s">
        <v>156</v>
      </c>
      <c r="AI32" s="137"/>
      <c r="AJ32" s="137">
        <v>119</v>
      </c>
      <c r="AK32" s="137"/>
      <c r="AL32" s="137">
        <v>96</v>
      </c>
      <c r="AM32" s="137">
        <v>52</v>
      </c>
      <c r="AN32" s="30">
        <f t="shared" si="9"/>
        <v>7</v>
      </c>
      <c r="AO32" s="312">
        <f t="shared" si="10"/>
        <v>0</v>
      </c>
      <c r="AP32" s="291">
        <f t="shared" si="11"/>
        <v>0</v>
      </c>
      <c r="AQ32" s="31">
        <f t="shared" si="12"/>
        <v>0</v>
      </c>
      <c r="AR32" s="4" t="e">
        <f>COUNTIF(V32:W32,"=  ")+COUNTIF(X32:AH32,"=  ")+COUNTIF(AJ32,"=  ")+COUNTIF(AL32,"=  ")+COUNTIF(#REF!,"=  ")+COUNTIF(#REF!,"=  ")+COUNTIF(#REF!,"=  ")</f>
        <v>#REF!</v>
      </c>
      <c r="AS32" s="101" t="e">
        <f>COUNTIF(Y32,"=  ")+COUNTIF(AI32,"=  ")+COUNTIF(AK32,"=  ")+COUNTIF(AM32,"=  ")+COUNTIF(AC32,"=  ")+COUNTIF(#REF!,"=  ")</f>
        <v>#REF!</v>
      </c>
    </row>
    <row r="33" spans="1:45" x14ac:dyDescent="0.2">
      <c r="A33" s="47">
        <v>19</v>
      </c>
      <c r="B33" s="141">
        <f t="shared" si="2"/>
        <v>19</v>
      </c>
      <c r="C33" s="139">
        <f t="shared" si="3"/>
        <v>10522</v>
      </c>
      <c r="D33" s="49" t="s">
        <v>151</v>
      </c>
      <c r="E33" s="141" t="str">
        <f t="shared" si="4"/>
        <v/>
      </c>
      <c r="F33" s="138">
        <f t="shared" si="5"/>
        <v>0</v>
      </c>
      <c r="G33" s="383" t="s">
        <v>151</v>
      </c>
      <c r="H33" s="141" t="str">
        <f t="shared" si="6"/>
        <v/>
      </c>
      <c r="I33" s="221">
        <f t="shared" si="7"/>
        <v>0</v>
      </c>
      <c r="J33" s="71">
        <f t="shared" si="8"/>
        <v>25</v>
      </c>
      <c r="K33" s="70">
        <v>25</v>
      </c>
      <c r="L33" s="211" t="s">
        <v>54</v>
      </c>
      <c r="M33" s="70">
        <v>522</v>
      </c>
      <c r="N33" s="141">
        <f t="array" ref="N33">(IF(COUNT(V33,X33,AG33,AI33,AK33,AM33)&lt;5,SUM(V33,X33,AG33,AI33,AK33,AM33),SUM(LARGE((V33,X33,AG33,AI33,AK33,AM33),{1;2;3;4;5}))))+(IF(COUNT(W33,Y33,AC33,AH33,AJ33,AL33)&lt;5,SUM(W33,Y33,AC33,AH33,AJ33,AL33),SUM(LARGE((W33,Y33,AC33,AH33,AJ33,AL33),{1;2;3;4;5}))))+U33</f>
        <v>522</v>
      </c>
      <c r="O33" s="796">
        <v>0</v>
      </c>
      <c r="P33" s="132">
        <f t="array" ref="P33">IF(S33="n",((IF(COUNT(V33,X33,AG33,AI33,AK33,AM33)&lt;5,SUM(V33,X33,AG33,AI33,AK33,AM33),SUM(LARGE((V33,X33,AG33,AI33,AK33,AM33),{1;2;3;4;5}))))+(IF(COUNT(W33,AA33,AE33,AH33,AJ33,AL33)&lt;5,SUM(W33,AA33,AE33,AH33,AJ33,AL33),SUM(LARGE((W33,AA33,AE33,AH33,AJ33,AL33),{1;2;3;4;5}))))+U33),0)</f>
        <v>0</v>
      </c>
      <c r="Q33" s="797">
        <v>0</v>
      </c>
      <c r="R33" s="132">
        <f t="array" ref="R33">IF(T33="j",((IF(COUNT(V33,X33,AG33,AI33,AK33,AM33)&lt;5,SUM(V33,X33,AG33,AI33,AK33,AM33),SUM(LARGE((V33,X33,AG33,AI33,AK33,AM33),{1;2;3;4;5}))))+(IF(COUNT(W33,AB33,AC33,AH33,AJ33,AL33)&lt;5,SUM(W33,AB33,AC33,AH33,AJ33,AL33),SUM(LARGE((W33,AB33,AC33,AH33,AJ33,AL33),{1;2;3;4;5}))))+U33),0)</f>
        <v>0</v>
      </c>
      <c r="S33" s="676"/>
      <c r="T33" s="676"/>
      <c r="U33" s="915">
        <v>37</v>
      </c>
      <c r="V33" s="316" t="s">
        <v>156</v>
      </c>
      <c r="W33" s="315">
        <v>90</v>
      </c>
      <c r="X33" s="315">
        <v>79</v>
      </c>
      <c r="Y33" s="316" t="s">
        <v>156</v>
      </c>
      <c r="Z33" s="960"/>
      <c r="AA33" s="961"/>
      <c r="AB33" s="962"/>
      <c r="AC33" s="137"/>
      <c r="AD33" s="960"/>
      <c r="AE33" s="961"/>
      <c r="AF33" s="732"/>
      <c r="AG33" s="137"/>
      <c r="AH33" s="137"/>
      <c r="AI33" s="137"/>
      <c r="AJ33" s="137">
        <v>126</v>
      </c>
      <c r="AK33" s="137">
        <v>64</v>
      </c>
      <c r="AL33" s="137">
        <v>126</v>
      </c>
      <c r="AM33" s="137"/>
      <c r="AN33" s="30">
        <f t="shared" si="9"/>
        <v>5</v>
      </c>
      <c r="AO33" s="312">
        <f t="shared" si="10"/>
        <v>0</v>
      </c>
      <c r="AP33" s="291">
        <f t="shared" si="11"/>
        <v>0</v>
      </c>
      <c r="AQ33" s="31">
        <f t="shared" si="12"/>
        <v>0</v>
      </c>
      <c r="AR33" s="210" t="e">
        <f>COUNTIF(V33:W33,"=  ")+COUNTIF(X33:AH33,"=  ")+COUNTIF(AJ33,"=  ")+COUNTIF(AL33,"=  ")+COUNTIF(#REF!,"=  ")+COUNTIF(#REF!,"=  ")+COUNTIF(#REF!,"=  ")</f>
        <v>#REF!</v>
      </c>
      <c r="AS33" s="209" t="e">
        <f>COUNTIF(Y33,"=  ")+COUNTIF(AI33,"=  ")+COUNTIF(AK33,"=  ")+COUNTIF(AM33,"=  ")+COUNTIF(AC33,"=  ")+COUNTIF(#REF!,"=  ")</f>
        <v>#REF!</v>
      </c>
    </row>
    <row r="34" spans="1:45" x14ac:dyDescent="0.2">
      <c r="A34" s="47">
        <v>20</v>
      </c>
      <c r="B34" s="141">
        <f t="shared" si="2"/>
        <v>20</v>
      </c>
      <c r="C34" s="139">
        <f t="shared" si="3"/>
        <v>10515</v>
      </c>
      <c r="D34" s="49" t="s">
        <v>151</v>
      </c>
      <c r="E34" s="141" t="str">
        <f t="shared" si="4"/>
        <v/>
      </c>
      <c r="F34" s="138">
        <f t="shared" si="5"/>
        <v>0</v>
      </c>
      <c r="G34" s="383" t="s">
        <v>151</v>
      </c>
      <c r="H34" s="141" t="str">
        <f t="shared" si="6"/>
        <v/>
      </c>
      <c r="I34" s="221">
        <f t="shared" si="7"/>
        <v>0</v>
      </c>
      <c r="J34" s="71">
        <f t="shared" si="8"/>
        <v>26</v>
      </c>
      <c r="K34" s="70">
        <v>26</v>
      </c>
      <c r="L34" s="263" t="s">
        <v>177</v>
      </c>
      <c r="M34" s="70">
        <v>515</v>
      </c>
      <c r="N34" s="141">
        <f t="array" ref="N34">(IF(COUNT(V34,X34,AG34,AI34,AK34,AM34)&lt;5,SUM(V34,X34,AG34,AI34,AK34,AM34),SUM(LARGE((V34,X34,AG34,AI34,AK34,AM34),{1;2;3;4;5}))))+(IF(COUNT(W34,Y34,AC34,AH34,AJ34,AL34)&lt;5,SUM(W34,Y34,AC34,AH34,AJ34,AL34),SUM(LARGE((W34,Y34,AC34,AH34,AJ34,AL34),{1;2;3;4;5}))))+U34</f>
        <v>515</v>
      </c>
      <c r="O34" s="796">
        <v>0</v>
      </c>
      <c r="P34" s="132">
        <f t="array" ref="P34">IF(S34="n",((IF(COUNT(V34,X34,AG34,AI34,AK34,AM34)&lt;5,SUM(V34,X34,AG34,AI34,AK34,AM34),SUM(LARGE((V34,X34,AG34,AI34,AK34,AM34),{1;2;3;4;5}))))+(IF(COUNT(W34,AA34,AE34,AH34,AJ34,AL34)&lt;5,SUM(W34,AA34,AE34,AH34,AJ34,AL34),SUM(LARGE((W34,AA34,AE34,AH34,AJ34,AL34),{1;2;3;4;5}))))+U34),0)</f>
        <v>0</v>
      </c>
      <c r="Q34" s="797">
        <v>0</v>
      </c>
      <c r="R34" s="132">
        <f t="array" ref="R34">IF(T34="j",((IF(COUNT(V34,X34,AG34,AI34,AK34,AM34)&lt;5,SUM(V34,X34,AG34,AI34,AK34,AM34),SUM(LARGE((V34,X34,AG34,AI34,AK34,AM34),{1;2;3;4;5}))))+(IF(COUNT(W34,AB34,AC34,AH34,AJ34,AL34)&lt;5,SUM(W34,AB34,AC34,AH34,AJ34,AL34),SUM(LARGE((W34,AB34,AC34,AH34,AJ34,AL34),{1;2;3;4;5}))))+U34),0)</f>
        <v>0</v>
      </c>
      <c r="S34" s="676"/>
      <c r="T34" s="676"/>
      <c r="U34" s="915">
        <v>1</v>
      </c>
      <c r="V34" s="316" t="s">
        <v>156</v>
      </c>
      <c r="W34" s="316" t="s">
        <v>156</v>
      </c>
      <c r="X34" s="137"/>
      <c r="Y34" s="315">
        <v>65</v>
      </c>
      <c r="Z34" s="960">
        <v>65</v>
      </c>
      <c r="AA34" s="961"/>
      <c r="AB34" s="962"/>
      <c r="AC34" s="315">
        <v>104</v>
      </c>
      <c r="AD34" s="960">
        <v>104</v>
      </c>
      <c r="AE34" s="961"/>
      <c r="AF34" s="732"/>
      <c r="AG34" s="137">
        <v>97</v>
      </c>
      <c r="AH34" s="137"/>
      <c r="AI34" s="137">
        <v>115</v>
      </c>
      <c r="AJ34" s="137"/>
      <c r="AK34" s="137"/>
      <c r="AL34" s="137">
        <v>69</v>
      </c>
      <c r="AM34" s="137">
        <v>64</v>
      </c>
      <c r="AN34" s="30">
        <f t="shared" si="9"/>
        <v>6</v>
      </c>
      <c r="AO34" s="312">
        <f t="shared" si="10"/>
        <v>2</v>
      </c>
      <c r="AP34" s="291">
        <f t="shared" si="11"/>
        <v>1</v>
      </c>
      <c r="AQ34" s="31">
        <f t="shared" si="12"/>
        <v>0</v>
      </c>
      <c r="AR34" s="4" t="e">
        <f>COUNTIF(V34:W34,"=  ")+COUNTIF(X34:AH34,"=  ")+COUNTIF(AJ34,"=  ")+COUNTIF(AL34,"=  ")+COUNTIF(#REF!,"=  ")+COUNTIF(#REF!,"=  ")+COUNTIF(#REF!,"=  ")</f>
        <v>#REF!</v>
      </c>
      <c r="AS34" s="101" t="e">
        <f>COUNTIF(Y34,"=  ")+COUNTIF(AI34,"=  ")+COUNTIF(AK34,"=  ")+COUNTIF(AM34,"=  ")+COUNTIF(AC34,"=  ")+COUNTIF(#REF!,"=  ")</f>
        <v>#REF!</v>
      </c>
    </row>
    <row r="35" spans="1:45" x14ac:dyDescent="0.2">
      <c r="A35" s="47">
        <v>21</v>
      </c>
      <c r="B35" s="141">
        <f t="shared" si="2"/>
        <v>21</v>
      </c>
      <c r="C35" s="139">
        <f t="shared" si="3"/>
        <v>10508</v>
      </c>
      <c r="D35" s="49" t="s">
        <v>151</v>
      </c>
      <c r="E35" s="141" t="str">
        <f t="shared" si="4"/>
        <v/>
      </c>
      <c r="F35" s="138">
        <f t="shared" si="5"/>
        <v>0</v>
      </c>
      <c r="G35" s="383" t="s">
        <v>151</v>
      </c>
      <c r="H35" s="141" t="str">
        <f t="shared" si="6"/>
        <v/>
      </c>
      <c r="I35" s="221">
        <f t="shared" si="7"/>
        <v>0</v>
      </c>
      <c r="J35" s="71">
        <f t="shared" si="8"/>
        <v>27</v>
      </c>
      <c r="K35" s="70">
        <v>27</v>
      </c>
      <c r="L35" s="295" t="s">
        <v>174</v>
      </c>
      <c r="M35" s="70">
        <v>508</v>
      </c>
      <c r="N35" s="141">
        <f t="array" ref="N35">(IF(COUNT(V35,X35,AG35,AI35,AK35,AM35)&lt;5,SUM(V35,X35,AG35,AI35,AK35,AM35),SUM(LARGE((V35,X35,AG35,AI35,AK35,AM35),{1;2;3;4;5}))))+(IF(COUNT(W35,Y35,AC35,AH35,AJ35,AL35)&lt;5,SUM(W35,Y35,AC35,AH35,AJ35,AL35),SUM(LARGE((W35,Y35,AC35,AH35,AJ35,AL35),{1;2;3;4;5}))))+U35</f>
        <v>508</v>
      </c>
      <c r="O35" s="796">
        <v>0</v>
      </c>
      <c r="P35" s="132">
        <f t="array" ref="P35">IF(S35="n",((IF(COUNT(V35,X35,AG35,AI35,AK35,AM35)&lt;5,SUM(V35,X35,AG35,AI35,AK35,AM35),SUM(LARGE((V35,X35,AG35,AI35,AK35,AM35),{1;2;3;4;5}))))+(IF(COUNT(W35,AA35,AE35,AH35,AJ35,AL35)&lt;5,SUM(W35,AA35,AE35,AH35,AJ35,AL35),SUM(LARGE((W35,AA35,AE35,AH35,AJ35,AL35),{1;2;3;4;5}))))+U35),0)</f>
        <v>0</v>
      </c>
      <c r="Q35" s="797">
        <v>0</v>
      </c>
      <c r="R35" s="132">
        <f t="array" ref="R35">IF(T35="j",((IF(COUNT(V35,X35,AG35,AI35,AK35,AM35)&lt;5,SUM(V35,X35,AG35,AI35,AK35,AM35),SUM(LARGE((V35,X35,AG35,AI35,AK35,AM35),{1;2;3;4;5}))))+(IF(COUNT(W35,AB35,AC35,AH35,AJ35,AL35)&lt;5,SUM(W35,AB35,AC35,AH35,AJ35,AL35),SUM(LARGE((W35,AB35,AC35,AH35,AJ35,AL35),{1;2;3;4;5}))))+U35),0)</f>
        <v>0</v>
      </c>
      <c r="S35" s="676"/>
      <c r="T35" s="676"/>
      <c r="U35" s="915">
        <v>1</v>
      </c>
      <c r="V35" s="315">
        <v>97</v>
      </c>
      <c r="W35" s="315">
        <v>96</v>
      </c>
      <c r="X35" s="316" t="s">
        <v>156</v>
      </c>
      <c r="Y35" s="316" t="s">
        <v>156</v>
      </c>
      <c r="Z35" s="960"/>
      <c r="AA35" s="961"/>
      <c r="AB35" s="962"/>
      <c r="AC35" s="137"/>
      <c r="AD35" s="960"/>
      <c r="AE35" s="961"/>
      <c r="AF35" s="732"/>
      <c r="AG35" s="137"/>
      <c r="AH35" s="137"/>
      <c r="AI35" s="281"/>
      <c r="AJ35" s="137">
        <v>135</v>
      </c>
      <c r="AK35" s="137"/>
      <c r="AL35" s="137">
        <v>74</v>
      </c>
      <c r="AM35" s="137">
        <v>105</v>
      </c>
      <c r="AN35" s="30">
        <f t="shared" si="9"/>
        <v>5</v>
      </c>
      <c r="AO35" s="312">
        <f t="shared" si="10"/>
        <v>2</v>
      </c>
      <c r="AP35" s="291">
        <f t="shared" si="11"/>
        <v>0</v>
      </c>
      <c r="AQ35" s="31">
        <f t="shared" si="12"/>
        <v>0</v>
      </c>
      <c r="AR35" s="4" t="e">
        <f>COUNTIF(V35:W35,"=  ")+COUNTIF(X35:AH35,"=  ")+COUNTIF(AJ35,"=  ")+COUNTIF(AL35,"=  ")+COUNTIF(#REF!,"=  ")+COUNTIF(#REF!,"=  ")+COUNTIF(#REF!,"=  ")</f>
        <v>#REF!</v>
      </c>
      <c r="AS35" s="101" t="e">
        <f>COUNTIF(Y35,"=  ")+COUNTIF(AI35,"=  ")+COUNTIF(AK35,"=  ")+COUNTIF(AM35,"=  ")+COUNTIF(AC35,"=  ")+COUNTIF(#REF!,"=  ")</f>
        <v>#REF!</v>
      </c>
    </row>
    <row r="36" spans="1:45" x14ac:dyDescent="0.2">
      <c r="A36" s="47" t="s">
        <v>151</v>
      </c>
      <c r="B36" s="141" t="str">
        <f t="shared" si="2"/>
        <v/>
      </c>
      <c r="C36" s="139">
        <f t="shared" si="3"/>
        <v>0</v>
      </c>
      <c r="D36" s="49">
        <v>8</v>
      </c>
      <c r="E36" s="141">
        <f t="shared" si="4"/>
        <v>8</v>
      </c>
      <c r="F36" s="138">
        <f t="shared" si="5"/>
        <v>10489</v>
      </c>
      <c r="G36" s="383" t="s">
        <v>151</v>
      </c>
      <c r="H36" s="141" t="str">
        <f t="shared" si="6"/>
        <v/>
      </c>
      <c r="I36" s="221">
        <f t="shared" si="7"/>
        <v>0</v>
      </c>
      <c r="J36" s="71">
        <f t="shared" si="8"/>
        <v>28</v>
      </c>
      <c r="K36" s="70">
        <v>28</v>
      </c>
      <c r="L36" s="51" t="s">
        <v>55</v>
      </c>
      <c r="M36" s="70">
        <v>489</v>
      </c>
      <c r="N36" s="141">
        <f t="array" ref="N36">(IF(COUNT(V36,X36,AG36,AI36,AK36,AM36)&lt;5,SUM(V36,X36,AG36,AI36,AK36,AM36),SUM(LARGE((V36,X36,AG36,AI36,AK36,AM36),{1;2;3;4;5}))))+(IF(COUNT(W36,Y36,AC36,AH36,AJ36,AL36)&lt;5,SUM(W36,Y36,AC36,AH36,AJ36,AL36),SUM(LARGE((W36,Y36,AC36,AH36,AJ36,AL36),{1;2;3;4;5}))))+U36</f>
        <v>489</v>
      </c>
      <c r="O36" s="796">
        <v>489</v>
      </c>
      <c r="P36" s="132">
        <f t="array" ref="P36">IF(S36="n",((IF(COUNT(V36,X36,AG36,AI36,AK36,AM36)&lt;5,SUM(V36,X36,AG36,AI36,AK36,AM36),SUM(LARGE((V36,X36,AG36,AI36,AK36,AM36),{1;2;3;4;5}))))+(IF(COUNT(W36,AA36,AE36,AH36,AJ36,AL36)&lt;5,SUM(W36,AA36,AE36,AH36,AJ36,AL36),SUM(LARGE((W36,AA36,AE36,AH36,AJ36,AL36),{1;2;3;4;5}))))+U36),0)</f>
        <v>489</v>
      </c>
      <c r="Q36" s="797">
        <v>0</v>
      </c>
      <c r="R36" s="132">
        <f t="array" ref="R36">IF(T36="j",((IF(COUNT(V36,X36,AG36,AI36,AK36,AM36)&lt;5,SUM(V36,X36,AG36,AI36,AK36,AM36),SUM(LARGE((V36,X36,AG36,AI36,AK36,AM36),{1;2;3;4;5}))))+(IF(COUNT(W36,AB36,AC36,AH36,AJ36,AL36)&lt;5,SUM(W36,AB36,AC36,AH36,AJ36,AL36),SUM(LARGE((W36,AB36,AC36,AH36,AJ36,AL36),{1;2;3;4;5}))))+U36),0)</f>
        <v>0</v>
      </c>
      <c r="S36" s="676" t="s">
        <v>33</v>
      </c>
      <c r="T36" s="676"/>
      <c r="U36" s="915">
        <v>1</v>
      </c>
      <c r="V36" s="316" t="s">
        <v>156</v>
      </c>
      <c r="W36" s="315">
        <v>84</v>
      </c>
      <c r="X36" s="315">
        <v>49</v>
      </c>
      <c r="Y36" s="316" t="s">
        <v>156</v>
      </c>
      <c r="Z36" s="960"/>
      <c r="AA36" s="961"/>
      <c r="AB36" s="962"/>
      <c r="AC36" s="137"/>
      <c r="AD36" s="960"/>
      <c r="AE36" s="961"/>
      <c r="AF36" s="732"/>
      <c r="AG36" s="137">
        <v>74</v>
      </c>
      <c r="AH36" s="137">
        <v>146</v>
      </c>
      <c r="AI36" s="137"/>
      <c r="AJ36" s="137"/>
      <c r="AK36" s="137"/>
      <c r="AL36" s="137">
        <v>135</v>
      </c>
      <c r="AM36" s="137"/>
      <c r="AN36" s="30">
        <f t="shared" si="9"/>
        <v>5</v>
      </c>
      <c r="AO36" s="312">
        <f t="shared" si="10"/>
        <v>1</v>
      </c>
      <c r="AP36" s="291">
        <f t="shared" si="11"/>
        <v>0</v>
      </c>
      <c r="AQ36" s="31">
        <f t="shared" si="12"/>
        <v>0</v>
      </c>
      <c r="AR36" s="4" t="e">
        <f>COUNTIF(V36:W36,"=  ")+COUNTIF(X36:AH36,"=  ")+COUNTIF(AJ36,"=  ")+COUNTIF(AL36,"=  ")+COUNTIF(#REF!,"=  ")+COUNTIF(#REF!,"=  ")+COUNTIF(#REF!,"=  ")</f>
        <v>#REF!</v>
      </c>
      <c r="AS36" s="101" t="e">
        <f>COUNTIF(Y36,"=  ")+COUNTIF(AI36,"=  ")+COUNTIF(AK36,"=  ")+COUNTIF(AM36,"=  ")+COUNTIF(AC36,"=  ")+COUNTIF(#REF!,"=  ")</f>
        <v>#REF!</v>
      </c>
    </row>
    <row r="37" spans="1:45" x14ac:dyDescent="0.2">
      <c r="A37" s="47" t="s">
        <v>151</v>
      </c>
      <c r="B37" s="141" t="str">
        <f t="shared" si="2"/>
        <v/>
      </c>
      <c r="C37" s="139">
        <f t="shared" si="3"/>
        <v>0</v>
      </c>
      <c r="D37" s="49">
        <v>9</v>
      </c>
      <c r="E37" s="141">
        <f t="shared" si="4"/>
        <v>9</v>
      </c>
      <c r="F37" s="138">
        <f t="shared" si="5"/>
        <v>10475</v>
      </c>
      <c r="G37" s="383" t="s">
        <v>151</v>
      </c>
      <c r="H37" s="141" t="str">
        <f t="shared" si="6"/>
        <v/>
      </c>
      <c r="I37" s="221">
        <f t="shared" si="7"/>
        <v>0</v>
      </c>
      <c r="J37" s="71">
        <f t="shared" si="8"/>
        <v>29</v>
      </c>
      <c r="K37" s="70">
        <v>29</v>
      </c>
      <c r="L37" s="54" t="s">
        <v>171</v>
      </c>
      <c r="M37" s="302">
        <v>475</v>
      </c>
      <c r="N37" s="141">
        <f t="array" ref="N37">(IF(COUNT(V37,X37,AG37,AI37,AK37,AM37)&lt;5,SUM(V37,X37,AG37,AI37,AK37,AM37),SUM(LARGE((V37,X37,AG37,AI37,AK37,AM37),{1;2;3;4;5}))))+(IF(COUNT(W37,Y37,AC37,AH37,AJ37,AL37)&lt;5,SUM(W37,Y37,AC37,AH37,AJ37,AL37),SUM(LARGE((W37,Y37,AC37,AH37,AJ37,AL37),{1;2;3;4;5}))))+U37</f>
        <v>475</v>
      </c>
      <c r="O37" s="796">
        <v>475</v>
      </c>
      <c r="P37" s="132">
        <f t="array" ref="P37">IF(S37="n",((IF(COUNT(V37,X37,AG37,AI37,AK37,AM37)&lt;5,SUM(V37,X37,AG37,AI37,AK37,AM37),SUM(LARGE((V37,X37,AG37,AI37,AK37,AM37),{1;2;3;4;5}))))+(IF(COUNT(W37,AA37,AE37,AH37,AJ37,AL37)&lt;5,SUM(W37,AA37,AE37,AH37,AJ37,AL37),SUM(LARGE((W37,AA37,AE37,AH37,AJ37,AL37),{1;2;3;4;5}))))+U37),0)</f>
        <v>475</v>
      </c>
      <c r="Q37" s="797">
        <v>0</v>
      </c>
      <c r="R37" s="132">
        <f t="array" ref="R37">IF(T37="j",((IF(COUNT(V37,X37,AG37,AI37,AK37,AM37)&lt;5,SUM(V37,X37,AG37,AI37,AK37,AM37),SUM(LARGE((V37,X37,AG37,AI37,AK37,AM37),{1;2;3;4;5}))))+(IF(COUNT(W37,AB37,AC37,AH37,AJ37,AL37)&lt;5,SUM(W37,AB37,AC37,AH37,AJ37,AL37),SUM(LARGE((W37,AB37,AC37,AH37,AJ37,AL37),{1;2;3;4;5}))))+U37),0)</f>
        <v>0</v>
      </c>
      <c r="S37" s="676" t="s">
        <v>33</v>
      </c>
      <c r="T37" s="676"/>
      <c r="U37" s="915">
        <v>1</v>
      </c>
      <c r="V37" s="316" t="s">
        <v>156</v>
      </c>
      <c r="W37" s="315">
        <v>56</v>
      </c>
      <c r="X37" s="315">
        <v>105</v>
      </c>
      <c r="Y37" s="316" t="s">
        <v>156</v>
      </c>
      <c r="Z37" s="960"/>
      <c r="AA37" s="961"/>
      <c r="AB37" s="962"/>
      <c r="AC37" s="315"/>
      <c r="AD37" s="960"/>
      <c r="AE37" s="961"/>
      <c r="AF37" s="732"/>
      <c r="AG37" s="137"/>
      <c r="AH37" s="137">
        <v>74</v>
      </c>
      <c r="AI37" s="137">
        <v>105</v>
      </c>
      <c r="AJ37" s="137">
        <v>74</v>
      </c>
      <c r="AK37" s="137"/>
      <c r="AL37" s="137">
        <v>60</v>
      </c>
      <c r="AM37" s="137"/>
      <c r="AN37" s="30">
        <f t="shared" si="9"/>
        <v>6</v>
      </c>
      <c r="AO37" s="312">
        <f t="shared" si="10"/>
        <v>2</v>
      </c>
      <c r="AP37" s="291">
        <f t="shared" si="11"/>
        <v>0</v>
      </c>
      <c r="AQ37" s="31">
        <f t="shared" si="12"/>
        <v>0</v>
      </c>
      <c r="AR37" s="4" t="e">
        <f>COUNTIF(V37:W37,"=  ")+COUNTIF(X37:AH37,"=  ")+COUNTIF(AJ37,"=  ")+COUNTIF(AL37,"=  ")+COUNTIF(#REF!,"=  ")+COUNTIF(#REF!,"=  ")+COUNTIF(#REF!,"=  ")</f>
        <v>#REF!</v>
      </c>
      <c r="AS37" s="101" t="e">
        <f>COUNTIF(Y37,"=  ")+COUNTIF(AI37,"=  ")+COUNTIF(AK37,"=  ")+COUNTIF(AM37,"=  ")+COUNTIF(AC37,"=  ")+COUNTIF(#REF!,"=  ")</f>
        <v>#REF!</v>
      </c>
    </row>
    <row r="38" spans="1:45" x14ac:dyDescent="0.2">
      <c r="A38" s="47" t="s">
        <v>151</v>
      </c>
      <c r="B38" s="141" t="str">
        <f t="shared" si="2"/>
        <v/>
      </c>
      <c r="C38" s="139">
        <f t="shared" si="3"/>
        <v>0</v>
      </c>
      <c r="D38" s="49">
        <v>10</v>
      </c>
      <c r="E38" s="141">
        <f t="shared" si="4"/>
        <v>10</v>
      </c>
      <c r="F38" s="138">
        <f t="shared" si="5"/>
        <v>10459</v>
      </c>
      <c r="G38" s="383" t="s">
        <v>151</v>
      </c>
      <c r="H38" s="141" t="str">
        <f t="shared" si="6"/>
        <v/>
      </c>
      <c r="I38" s="221">
        <f t="shared" si="7"/>
        <v>0</v>
      </c>
      <c r="J38" s="71">
        <f t="shared" si="8"/>
        <v>30</v>
      </c>
      <c r="K38" s="70">
        <v>30</v>
      </c>
      <c r="L38" s="292" t="s">
        <v>324</v>
      </c>
      <c r="M38" s="70">
        <v>459</v>
      </c>
      <c r="N38" s="141">
        <f t="array" ref="N38">(IF(COUNT(V38,X38,AG38,AI38,AK38,AM38)&lt;5,SUM(V38,X38,AG38,AI38,AK38,AM38),SUM(LARGE((V38,X38,AG38,AI38,AK38,AM38),{1;2;3;4;5}))))+(IF(COUNT(W38,Y38,AC38,AH38,AJ38,AL38)&lt;5,SUM(W38,Y38,AC38,AH38,AJ38,AL38),SUM(LARGE((W38,Y38,AC38,AH38,AJ38,AL38),{1;2;3;4;5}))))+U38</f>
        <v>459</v>
      </c>
      <c r="O38" s="796">
        <v>459</v>
      </c>
      <c r="P38" s="132">
        <f t="array" ref="P38">IF(S38="n",((IF(COUNT(V38,X38,AG38,AI38,AK38,AM38)&lt;5,SUM(V38,X38,AG38,AI38,AK38,AM38),SUM(LARGE((V38,X38,AG38,AI38,AK38,AM38),{1;2;3;4;5}))))+(IF(COUNT(W38,AA38,AE38,AH38,AJ38,AL38)&lt;5,SUM(W38,AA38,AE38,AH38,AJ38,AL38),SUM(LARGE((W38,AA38,AE38,AH38,AJ38,AL38),{1;2;3;4;5}))))+U38),0)</f>
        <v>459</v>
      </c>
      <c r="Q38" s="797">
        <v>0</v>
      </c>
      <c r="R38" s="132">
        <f t="array" ref="R38">IF(T38="j",((IF(COUNT(V38,X38,AG38,AI38,AK38,AM38)&lt;5,SUM(V38,X38,AG38,AI38,AK38,AM38),SUM(LARGE((V38,X38,AG38,AI38,AK38,AM38),{1;2;3;4;5}))))+(IF(COUNT(W38,AB38,AC38,AH38,AJ38,AL38)&lt;5,SUM(W38,AB38,AC38,AH38,AJ38,AL38),SUM(LARGE((W38,AB38,AC38,AH38,AJ38,AL38),{1;2;3;4;5}))))+U38),0)</f>
        <v>0</v>
      </c>
      <c r="S38" s="676" t="s">
        <v>33</v>
      </c>
      <c r="T38" s="676"/>
      <c r="U38" s="915">
        <v>1</v>
      </c>
      <c r="V38" s="316" t="s">
        <v>156</v>
      </c>
      <c r="W38" s="316" t="s">
        <v>156</v>
      </c>
      <c r="X38" s="315">
        <v>74</v>
      </c>
      <c r="Y38" s="137"/>
      <c r="Z38" s="960"/>
      <c r="AA38" s="961"/>
      <c r="AB38" s="962"/>
      <c r="AC38" s="137"/>
      <c r="AD38" s="960"/>
      <c r="AE38" s="961"/>
      <c r="AF38" s="732"/>
      <c r="AG38" s="137"/>
      <c r="AH38" s="137">
        <v>119</v>
      </c>
      <c r="AI38" s="137"/>
      <c r="AJ38" s="137">
        <v>146</v>
      </c>
      <c r="AK38" s="137"/>
      <c r="AL38" s="137">
        <v>119</v>
      </c>
      <c r="AM38" s="137"/>
      <c r="AN38" s="30">
        <f t="shared" si="9"/>
        <v>4</v>
      </c>
      <c r="AO38" s="312">
        <f t="shared" si="10"/>
        <v>1</v>
      </c>
      <c r="AP38" s="291">
        <f t="shared" si="11"/>
        <v>0</v>
      </c>
      <c r="AQ38" s="31">
        <f t="shared" si="12"/>
        <v>0</v>
      </c>
      <c r="AR38" s="4" t="e">
        <f>COUNTIF(V38:W38,"=  ")+COUNTIF(X38:AH38,"=  ")+COUNTIF(AJ38,"=  ")+COUNTIF(AL38,"=  ")+COUNTIF(#REF!,"=  ")+COUNTIF(#REF!,"=  ")+COUNTIF(#REF!,"=  ")</f>
        <v>#REF!</v>
      </c>
      <c r="AS38" s="101" t="e">
        <f>COUNTIF(Y38,"=  ")+COUNTIF(AI38,"=  ")+COUNTIF(AK38,"=  ")+COUNTIF(AM38,"=  ")+COUNTIF(AC38,"=  ")+COUNTIF(#REF!,"=  ")</f>
        <v>#REF!</v>
      </c>
    </row>
    <row r="39" spans="1:45" x14ac:dyDescent="0.2">
      <c r="A39" s="47">
        <v>22</v>
      </c>
      <c r="B39" s="141">
        <f t="shared" si="2"/>
        <v>22</v>
      </c>
      <c r="C39" s="139">
        <f t="shared" si="3"/>
        <v>10429</v>
      </c>
      <c r="D39" s="49" t="s">
        <v>151</v>
      </c>
      <c r="E39" s="141" t="str">
        <f t="shared" si="4"/>
        <v/>
      </c>
      <c r="F39" s="138">
        <f t="shared" si="5"/>
        <v>0</v>
      </c>
      <c r="G39" s="383" t="s">
        <v>151</v>
      </c>
      <c r="H39" s="141" t="str">
        <f t="shared" si="6"/>
        <v/>
      </c>
      <c r="I39" s="221">
        <f t="shared" si="7"/>
        <v>0</v>
      </c>
      <c r="J39" s="71">
        <f t="shared" si="8"/>
        <v>31</v>
      </c>
      <c r="K39" s="70">
        <v>31</v>
      </c>
      <c r="L39" s="53" t="s">
        <v>64</v>
      </c>
      <c r="M39" s="302">
        <v>429</v>
      </c>
      <c r="N39" s="141">
        <f t="array" ref="N39">(IF(COUNT(V39,X39,AG39,AI39,AK39,AM39)&lt;5,SUM(V39,X39,AG39,AI39,AK39,AM39),SUM(LARGE((V39,X39,AG39,AI39,AK39,AM39),{1;2;3;4;5}))))+(IF(COUNT(W39,Y39,AC39,AH39,AJ39,AL39)&lt;5,SUM(W39,Y39,AC39,AH39,AJ39,AL39),SUM(LARGE((W39,Y39,AC39,AH39,AJ39,AL39),{1;2;3;4;5}))))+U39</f>
        <v>429</v>
      </c>
      <c r="O39" s="796">
        <v>0</v>
      </c>
      <c r="P39" s="132">
        <f t="array" ref="P39">IF(S39="n",((IF(COUNT(V39,X39,AG39,AI39,AK39,AM39)&lt;5,SUM(V39,X39,AG39,AI39,AK39,AM39),SUM(LARGE((V39,X39,AG39,AI39,AK39,AM39),{1;2;3;4;5}))))+(IF(COUNT(W39,AA39,AE39,AH39,AJ39,AL39)&lt;5,SUM(W39,AA39,AE39,AH39,AJ39,AL39),SUM(LARGE((W39,AA39,AE39,AH39,AJ39,AL39),{1;2;3;4;5}))))+U39),0)</f>
        <v>0</v>
      </c>
      <c r="Q39" s="797">
        <v>0</v>
      </c>
      <c r="R39" s="132">
        <f t="array" ref="R39">IF(T39="j",((IF(COUNT(V39,X39,AG39,AI39,AK39,AM39)&lt;5,SUM(V39,X39,AG39,AI39,AK39,AM39),SUM(LARGE((V39,X39,AG39,AI39,AK39,AM39),{1;2;3;4;5}))))+(IF(COUNT(W39,AB39,AC39,AH39,AJ39,AL39)&lt;5,SUM(W39,AB39,AC39,AH39,AJ39,AL39),SUM(LARGE((W39,AB39,AC39,AH39,AJ39,AL39),{1;2;3;4;5}))))+U39),0)</f>
        <v>0</v>
      </c>
      <c r="S39" s="676"/>
      <c r="T39" s="676"/>
      <c r="U39" s="915">
        <v>43</v>
      </c>
      <c r="V39" s="315">
        <v>84</v>
      </c>
      <c r="W39" s="316" t="s">
        <v>156</v>
      </c>
      <c r="X39" s="316" t="s">
        <v>156</v>
      </c>
      <c r="Y39" s="315">
        <v>119</v>
      </c>
      <c r="Z39" s="960">
        <v>119</v>
      </c>
      <c r="AA39" s="961"/>
      <c r="AB39" s="962"/>
      <c r="AC39" s="315">
        <v>119</v>
      </c>
      <c r="AD39" s="960">
        <v>119</v>
      </c>
      <c r="AE39" s="961"/>
      <c r="AF39" s="732"/>
      <c r="AG39" s="137">
        <v>64</v>
      </c>
      <c r="AH39" s="137"/>
      <c r="AI39" s="137"/>
      <c r="AJ39" s="137"/>
      <c r="AK39" s="137"/>
      <c r="AL39" s="137"/>
      <c r="AM39" s="137"/>
      <c r="AN39" s="30">
        <f t="shared" si="9"/>
        <v>4</v>
      </c>
      <c r="AO39" s="312">
        <f t="shared" si="10"/>
        <v>0</v>
      </c>
      <c r="AP39" s="291">
        <f t="shared" si="11"/>
        <v>0</v>
      </c>
      <c r="AQ39" s="31">
        <f t="shared" si="12"/>
        <v>0</v>
      </c>
      <c r="AR39" s="4" t="e">
        <f>COUNTIF(V39:W39,"=  ")+COUNTIF(X39:AH39,"=  ")+COUNTIF(AJ39,"=  ")+COUNTIF(AL39,"=  ")+COUNTIF(#REF!,"=  ")+COUNTIF(#REF!,"=  ")+COUNTIF(#REF!,"=  ")</f>
        <v>#REF!</v>
      </c>
      <c r="AS39" s="101" t="e">
        <f>COUNTIF(Y39,"=  ")+COUNTIF(AI39,"=  ")+COUNTIF(AK39,"=  ")+COUNTIF(AM39,"=  ")+COUNTIF(AC39,"=  ")+COUNTIF(#REF!,"=  ")</f>
        <v>#REF!</v>
      </c>
    </row>
    <row r="40" spans="1:45" x14ac:dyDescent="0.2">
      <c r="A40" s="47">
        <v>23</v>
      </c>
      <c r="B40" s="141">
        <f t="shared" si="2"/>
        <v>23</v>
      </c>
      <c r="C40" s="139">
        <f t="shared" si="3"/>
        <v>10427</v>
      </c>
      <c r="D40" s="49" t="s">
        <v>151</v>
      </c>
      <c r="E40" s="141" t="str">
        <f t="shared" si="4"/>
        <v/>
      </c>
      <c r="F40" s="138">
        <f t="shared" si="5"/>
        <v>0</v>
      </c>
      <c r="G40" s="383" t="s">
        <v>151</v>
      </c>
      <c r="H40" s="141" t="str">
        <f t="shared" si="6"/>
        <v/>
      </c>
      <c r="I40" s="221">
        <f t="shared" si="7"/>
        <v>0</v>
      </c>
      <c r="J40" s="71">
        <f t="shared" si="8"/>
        <v>32</v>
      </c>
      <c r="K40" s="70">
        <v>32</v>
      </c>
      <c r="L40" s="131" t="s">
        <v>87</v>
      </c>
      <c r="M40" s="70">
        <v>427</v>
      </c>
      <c r="N40" s="141">
        <f t="array" ref="N40">(IF(COUNT(V40,X40,AG40,AI40,AK40,AM40)&lt;5,SUM(V40,X40,AG40,AI40,AK40,AM40),SUM(LARGE((V40,X40,AG40,AI40,AK40,AM40),{1;2;3;4;5}))))+(IF(COUNT(W40,Y40,AC40,AH40,AJ40,AL40)&lt;5,SUM(W40,Y40,AC40,AH40,AJ40,AL40),SUM(LARGE((W40,Y40,AC40,AH40,AJ40,AL40),{1;2;3;4;5}))))+U40</f>
        <v>427</v>
      </c>
      <c r="O40" s="796">
        <v>0</v>
      </c>
      <c r="P40" s="132">
        <f t="array" ref="P40">IF(S40="n",((IF(COUNT(V40,X40,AG40,AI40,AK40,AM40)&lt;5,SUM(V40,X40,AG40,AI40,AK40,AM40),SUM(LARGE((V40,X40,AG40,AI40,AK40,AM40),{1;2;3;4;5}))))+(IF(COUNT(W40,AA40,AE40,AH40,AJ40,AL40)&lt;5,SUM(W40,AA40,AE40,AH40,AJ40,AL40),SUM(LARGE((W40,AA40,AE40,AH40,AJ40,AL40),{1;2;3;4;5}))))+U40),0)</f>
        <v>0</v>
      </c>
      <c r="Q40" s="797">
        <v>0</v>
      </c>
      <c r="R40" s="132">
        <f t="array" ref="R40">IF(T40="j",((IF(COUNT(V40,X40,AG40,AI40,AK40,AM40)&lt;5,SUM(V40,X40,AG40,AI40,AK40,AM40),SUM(LARGE((V40,X40,AG40,AI40,AK40,AM40),{1;2;3;4;5}))))+(IF(COUNT(W40,AB40,AC40,AH40,AJ40,AL40)&lt;5,SUM(W40,AB40,AC40,AH40,AJ40,AL40),SUM(LARGE((W40,AB40,AC40,AH40,AJ40,AL40),{1;2;3;4;5}))))+U40),0)</f>
        <v>0</v>
      </c>
      <c r="S40" s="676"/>
      <c r="T40" s="676"/>
      <c r="U40" s="915">
        <v>1</v>
      </c>
      <c r="V40" s="315">
        <v>74</v>
      </c>
      <c r="W40" s="316" t="s">
        <v>156</v>
      </c>
      <c r="X40" s="315">
        <v>52</v>
      </c>
      <c r="Y40" s="137"/>
      <c r="Z40" s="960"/>
      <c r="AA40" s="961"/>
      <c r="AB40" s="962"/>
      <c r="AC40" s="137"/>
      <c r="AD40" s="960"/>
      <c r="AE40" s="961"/>
      <c r="AF40" s="732"/>
      <c r="AG40" s="316" t="s">
        <v>156</v>
      </c>
      <c r="AH40" s="137">
        <v>69</v>
      </c>
      <c r="AI40" s="137">
        <v>90</v>
      </c>
      <c r="AJ40" s="137"/>
      <c r="AK40" s="137"/>
      <c r="AL40" s="137">
        <v>104</v>
      </c>
      <c r="AM40" s="137">
        <v>37</v>
      </c>
      <c r="AN40" s="30">
        <f t="shared" si="9"/>
        <v>6</v>
      </c>
      <c r="AO40" s="312">
        <f t="shared" si="10"/>
        <v>0</v>
      </c>
      <c r="AP40" s="291">
        <f t="shared" si="11"/>
        <v>0</v>
      </c>
      <c r="AQ40" s="31">
        <f t="shared" si="12"/>
        <v>0</v>
      </c>
      <c r="AR40" s="4" t="e">
        <f>COUNTIF(V40:W40,"=  ")+COUNTIF(X40:AH40,"=  ")+COUNTIF(AJ40,"=  ")+COUNTIF(AL40,"=  ")+COUNTIF(#REF!,"=  ")+COUNTIF(#REF!,"=  ")+COUNTIF(#REF!,"=  ")</f>
        <v>#REF!</v>
      </c>
      <c r="AS40" s="101" t="e">
        <f>COUNTIF(Y40,"=  ")+COUNTIF(AI40,"=  ")+COUNTIF(AK40,"=  ")+COUNTIF(AM40,"=  ")+COUNTIF(AC40,"=  ")+COUNTIF(#REF!,"=  ")</f>
        <v>#REF!</v>
      </c>
    </row>
    <row r="41" spans="1:45" x14ac:dyDescent="0.2">
      <c r="A41" s="47" t="s">
        <v>151</v>
      </c>
      <c r="B41" s="141" t="str">
        <f t="shared" ref="B41:B72" si="13">IF(N41=0,"",IF(S41="n","",RANK(C41,C$9:C$161,0)))</f>
        <v/>
      </c>
      <c r="C41" s="139">
        <f t="shared" ref="C41:C72" si="14">IF(S41="n",0,N41+10000)</f>
        <v>0</v>
      </c>
      <c r="D41" s="49">
        <v>7</v>
      </c>
      <c r="E41" s="141">
        <f t="shared" ref="E41:E72" si="15">IF(S41="n",RANK(F41,F$9:F$161,0),"")</f>
        <v>7</v>
      </c>
      <c r="F41" s="138">
        <f t="shared" ref="F41:F72" si="16">IF(AND((T41="j"),(S41="n")),N41+10000,IF((S41="n"),P41+10000,0))</f>
        <v>10494</v>
      </c>
      <c r="G41" s="383" t="s">
        <v>151</v>
      </c>
      <c r="H41" s="141" t="str">
        <f t="shared" ref="H41:H72" si="17">IF(T41="j",RANK(I41,I$9:I$161,0),"")</f>
        <v/>
      </c>
      <c r="I41" s="221">
        <f t="shared" ref="I41:I72" si="18">IF((T41="j"),R41+10000,0)</f>
        <v>0</v>
      </c>
      <c r="J41" s="71">
        <f t="shared" ref="J41:J72" si="19">RANK(N41,$N$9:$N$161,0)</f>
        <v>33</v>
      </c>
      <c r="K41" s="70">
        <v>33</v>
      </c>
      <c r="L41" s="51" t="s">
        <v>424</v>
      </c>
      <c r="M41" s="70">
        <v>426</v>
      </c>
      <c r="N41" s="141">
        <f t="array" ref="N41">(IF(COUNT(V41,X41,AG41,AI41,AK41,AM41)&lt;5,SUM(V41,X41,AG41,AI41,AK41,AM41),SUM(LARGE((V41,X41,AG41,AI41,AK41,AM41),{1;2;3;4;5}))))+(IF(COUNT(W41,Y41,AC41,AH41,AJ41,AL41)&lt;5,SUM(W41,Y41,AC41,AH41,AJ41,AL41),SUM(LARGE((W41,Y41,AC41,AH41,AJ41,AL41),{1;2;3;4;5}))))+U41</f>
        <v>426</v>
      </c>
      <c r="O41" s="796">
        <v>494</v>
      </c>
      <c r="P41" s="132">
        <f t="array" ref="P41">IF(S41="n",((IF(COUNT(V41,X41,AG41,AI41,AK41,AM41)&lt;5,SUM(V41,X41,AG41,AI41,AK41,AM41),SUM(LARGE((V41,X41,AG41,AI41,AK41,AM41),{1;2;3;4;5}))))+(IF(COUNT(W41,AA41,AE41,AH41,AJ41,AL41)&lt;5,SUM(W41,AA41,AE41,AH41,AJ41,AL41),SUM(LARGE((W41,AA41,AE41,AH41,AJ41,AL41),{1;2;3;4;5}))))+U41),0)</f>
        <v>494</v>
      </c>
      <c r="Q41" s="797">
        <v>0</v>
      </c>
      <c r="R41" s="132">
        <f t="array" ref="R41">IF(T41="j",((IF(COUNT(V41,X41,AG41,AI41,AK41,AM41)&lt;5,SUM(V41,X41,AG41,AI41,AK41,AM41),SUM(LARGE((V41,X41,AG41,AI41,AK41,AM41),{1;2;3;4;5}))))+(IF(COUNT(W41,AB41,AC41,AH41,AJ41,AL41)&lt;5,SUM(W41,AB41,AC41,AH41,AJ41,AL41),SUM(LARGE((W41,AB41,AC41,AH41,AJ41,AL41),{1;2;3;4;5}))))+U41),0)</f>
        <v>0</v>
      </c>
      <c r="S41" s="676" t="s">
        <v>33</v>
      </c>
      <c r="T41" s="676"/>
      <c r="U41" s="915"/>
      <c r="V41" s="315">
        <v>79</v>
      </c>
      <c r="W41" s="315">
        <v>69</v>
      </c>
      <c r="X41" s="315">
        <v>52</v>
      </c>
      <c r="Y41" s="315">
        <v>105</v>
      </c>
      <c r="Z41" s="960"/>
      <c r="AA41" s="961">
        <v>173</v>
      </c>
      <c r="AB41" s="962"/>
      <c r="AC41" s="316" t="s">
        <v>156</v>
      </c>
      <c r="AD41" s="960"/>
      <c r="AE41" s="961"/>
      <c r="AF41" s="732"/>
      <c r="AG41" s="316" t="s">
        <v>156</v>
      </c>
      <c r="AH41" s="137"/>
      <c r="AI41" s="137"/>
      <c r="AJ41" s="137"/>
      <c r="AK41" s="137"/>
      <c r="AL41" s="137">
        <v>65</v>
      </c>
      <c r="AM41" s="137">
        <v>56</v>
      </c>
      <c r="AN41" s="30">
        <f t="shared" ref="AN41:AN72" si="20">COUNTIF(V41:Y41,"&gt;=0")+COUNTIF(AC41,"&gt;=0")+COUNTIF(AG41:AM41,"&gt;=0")</f>
        <v>6</v>
      </c>
      <c r="AO41" s="312">
        <f t="shared" ref="AO41:AO72" si="21">COUNTIF(V41,"&gt;=97")+COUNTIF(X41,"&gt;=97")+COUNTIF(AG41,"&gt;=97")+COUNTIF(AI41,"&gt;=97")+COUNTIF(AK41,"&gt;=97")+COUNTIF(AM41,"&gt;=97")+COUNTIF(W41,"&gt;=146")+COUNTIF(Y41,"&gt;=146")+COUNTIF(AC41,"&gt;=146")+COUNTIF(AH41,"&gt;=146")+COUNTIF(AJ41,"&gt;=146")+COUNTIF(AL41,"&gt;=146")+IF((S41="n"),(COUNTIF(Y41,"=83")+COUNTIF(Y41,"=93")+COUNTIF(Y41,"=105")+COUNTIF(AC41,"=83")+COUNTIF(AC41,"=93")+COUNTIF(AC41,"=105")))+IF((T41="j"),(COUNTIF(Y41,"=33")+COUNTIF(Y41,"=42")+COUNTIF(Y41,"=53")+COUNTIF(AC41,"=33")+COUNTIF(AC41,"=42")+COUNTIF(AC41,"=53")))</f>
        <v>1</v>
      </c>
      <c r="AP41" s="291">
        <f t="shared" ref="AP41:AP72" si="22">COUNTIF(V41,"=115")+COUNTIF(X41,"=115")+COUNTIF(AG41,"=115")+COUNTIF(AI41,"=115")+COUNTIF(AK41,"=115")+COUNTIF(AM41,"=115")+COUNTIF(V41:AM41,"=173")</f>
        <v>1</v>
      </c>
      <c r="AQ41" s="31">
        <f t="shared" ref="AQ41:AQ72" si="23">COUNTIF(V41:X41,"=173")+COUNTIF(Z41:AB41,"=173")+COUNTIF(AD41:AM41,"=173")</f>
        <v>1</v>
      </c>
      <c r="AR41" s="4" t="e">
        <f>COUNTIF(V41:W41,"=  ")+COUNTIF(X41:AH41,"=  ")+COUNTIF(AJ41,"=  ")+COUNTIF(AL41,"=  ")+COUNTIF(#REF!,"=  ")+COUNTIF(#REF!,"=  ")+COUNTIF(#REF!,"=  ")</f>
        <v>#REF!</v>
      </c>
      <c r="AS41" s="101" t="e">
        <f>COUNTIF(Y41,"=  ")+COUNTIF(AI41,"=  ")+COUNTIF(AK41,"=  ")+COUNTIF(AM41,"=  ")+COUNTIF(AC41,"=  ")+COUNTIF(#REF!,"=  ")</f>
        <v>#REF!</v>
      </c>
    </row>
    <row r="42" spans="1:45" x14ac:dyDescent="0.2">
      <c r="A42" s="47" t="s">
        <v>151</v>
      </c>
      <c r="B42" s="141" t="str">
        <f t="shared" si="13"/>
        <v/>
      </c>
      <c r="C42" s="139">
        <f t="shared" si="14"/>
        <v>0</v>
      </c>
      <c r="D42" s="49">
        <v>11</v>
      </c>
      <c r="E42" s="141">
        <f t="shared" si="15"/>
        <v>11</v>
      </c>
      <c r="F42" s="138">
        <f t="shared" si="16"/>
        <v>10424</v>
      </c>
      <c r="G42" s="383" t="s">
        <v>151</v>
      </c>
      <c r="H42" s="141" t="str">
        <f t="shared" si="17"/>
        <v/>
      </c>
      <c r="I42" s="221">
        <f t="shared" si="18"/>
        <v>0</v>
      </c>
      <c r="J42" s="71">
        <f t="shared" si="19"/>
        <v>34</v>
      </c>
      <c r="K42" s="70">
        <v>34</v>
      </c>
      <c r="L42" s="51" t="s">
        <v>40</v>
      </c>
      <c r="M42" s="70">
        <v>424</v>
      </c>
      <c r="N42" s="141">
        <f t="array" ref="N42">(IF(COUNT(V42,X42,AG42,AI42,AK42,AM42)&lt;5,SUM(V42,X42,AG42,AI42,AK42,AM42),SUM(LARGE((V42,X42,AG42,AI42,AK42,AM42),{1;2;3;4;5}))))+(IF(COUNT(W42,Y42,AC42,AH42,AJ42,AL42)&lt;5,SUM(W42,Y42,AC42,AH42,AJ42,AL42),SUM(LARGE((W42,Y42,AC42,AH42,AJ42,AL42),{1;2;3;4;5}))))+U42</f>
        <v>424</v>
      </c>
      <c r="O42" s="796">
        <v>424</v>
      </c>
      <c r="P42" s="132">
        <f t="array" ref="P42">IF(S42="n",((IF(COUNT(V42,X42,AG42,AI42,AK42,AM42)&lt;5,SUM(V42,X42,AG42,AI42,AK42,AM42),SUM(LARGE((V42,X42,AG42,AI42,AK42,AM42),{1;2;3;4;5}))))+(IF(COUNT(W42,AA42,AE42,AH42,AJ42,AL42)&lt;5,SUM(W42,AA42,AE42,AH42,AJ42,AL42),SUM(LARGE((W42,AA42,AE42,AH42,AJ42,AL42),{1;2;3;4;5}))))+U42),0)</f>
        <v>424</v>
      </c>
      <c r="Q42" s="797">
        <v>0</v>
      </c>
      <c r="R42" s="132">
        <f t="array" ref="R42">IF(T42="j",((IF(COUNT(V42,X42,AG42,AI42,AK42,AM42)&lt;5,SUM(V42,X42,AG42,AI42,AK42,AM42),SUM(LARGE((V42,X42,AG42,AI42,AK42,AM42),{1;2;3;4;5}))))+(IF(COUNT(W42,AB42,AC42,AH42,AJ42,AL42)&lt;5,SUM(W42,AB42,AC42,AH42,AJ42,AL42),SUM(LARGE((W42,AB42,AC42,AH42,AJ42,AL42),{1;2;3;4;5}))))+U42),0)</f>
        <v>0</v>
      </c>
      <c r="S42" s="676" t="s">
        <v>33</v>
      </c>
      <c r="T42" s="676"/>
      <c r="U42" s="915">
        <v>1</v>
      </c>
      <c r="V42" s="316" t="s">
        <v>156</v>
      </c>
      <c r="W42" s="316" t="s">
        <v>156</v>
      </c>
      <c r="X42" s="315">
        <v>74</v>
      </c>
      <c r="Y42" s="137"/>
      <c r="Z42" s="960"/>
      <c r="AA42" s="961"/>
      <c r="AB42" s="962"/>
      <c r="AC42" s="137"/>
      <c r="AD42" s="960"/>
      <c r="AE42" s="961"/>
      <c r="AF42" s="732"/>
      <c r="AG42" s="137"/>
      <c r="AH42" s="137">
        <v>119</v>
      </c>
      <c r="AI42" s="137"/>
      <c r="AJ42" s="137">
        <v>111</v>
      </c>
      <c r="AK42" s="137"/>
      <c r="AL42" s="137">
        <v>119</v>
      </c>
      <c r="AM42" s="137"/>
      <c r="AN42" s="30">
        <f t="shared" si="20"/>
        <v>4</v>
      </c>
      <c r="AO42" s="312">
        <f t="shared" si="21"/>
        <v>0</v>
      </c>
      <c r="AP42" s="291">
        <f t="shared" si="22"/>
        <v>0</v>
      </c>
      <c r="AQ42" s="31">
        <f t="shared" si="23"/>
        <v>0</v>
      </c>
      <c r="AR42" s="4" t="e">
        <f>COUNTIF(V42:W42,"=  ")+COUNTIF(X42:AH42,"=  ")+COUNTIF(AJ42,"=  ")+COUNTIF(AL42,"=  ")+COUNTIF(#REF!,"=  ")+COUNTIF(#REF!,"=  ")+COUNTIF(#REF!,"=  ")</f>
        <v>#REF!</v>
      </c>
      <c r="AS42" s="101" t="e">
        <f>COUNTIF(Y42,"=  ")+COUNTIF(AI42,"=  ")+COUNTIF(AK42,"=  ")+COUNTIF(AM42,"=  ")+COUNTIF(AC42,"=  ")+COUNTIF(#REF!,"=  ")</f>
        <v>#REF!</v>
      </c>
    </row>
    <row r="43" spans="1:45" x14ac:dyDescent="0.2">
      <c r="A43" s="47">
        <v>24</v>
      </c>
      <c r="B43" s="141">
        <f t="shared" si="13"/>
        <v>24</v>
      </c>
      <c r="C43" s="139">
        <f t="shared" si="14"/>
        <v>10415</v>
      </c>
      <c r="D43" s="49" t="s">
        <v>151</v>
      </c>
      <c r="E43" s="141" t="str">
        <f t="shared" si="15"/>
        <v/>
      </c>
      <c r="F43" s="138">
        <f t="shared" si="16"/>
        <v>0</v>
      </c>
      <c r="G43" s="383" t="s">
        <v>151</v>
      </c>
      <c r="H43" s="141" t="str">
        <f t="shared" si="17"/>
        <v/>
      </c>
      <c r="I43" s="221">
        <f t="shared" si="18"/>
        <v>0</v>
      </c>
      <c r="J43" s="71">
        <f t="shared" si="19"/>
        <v>35</v>
      </c>
      <c r="K43" s="70">
        <v>35</v>
      </c>
      <c r="L43" s="211" t="s">
        <v>225</v>
      </c>
      <c r="M43" s="70">
        <v>415</v>
      </c>
      <c r="N43" s="141">
        <f t="array" ref="N43">(IF(COUNT(V43,X43,AG43,AI43,AK43,AM43)&lt;5,SUM(V43,X43,AG43,AI43,AK43,AM43),SUM(LARGE((V43,X43,AG43,AI43,AK43,AM43),{1;2;3;4;5}))))+(IF(COUNT(W43,Y43,AC43,AH43,AJ43,AL43)&lt;5,SUM(W43,Y43,AC43,AH43,AJ43,AL43),SUM(LARGE((W43,Y43,AC43,AH43,AJ43,AL43),{1;2;3;4;5}))))+U43</f>
        <v>415</v>
      </c>
      <c r="O43" s="796">
        <v>0</v>
      </c>
      <c r="P43" s="132">
        <f t="array" ref="P43">IF(S43="n",((IF(COUNT(V43,X43,AG43,AI43,AK43,AM43)&lt;5,SUM(V43,X43,AG43,AI43,AK43,AM43),SUM(LARGE((V43,X43,AG43,AI43,AK43,AM43),{1;2;3;4;5}))))+(IF(COUNT(W43,AA43,AE43,AH43,AJ43,AL43)&lt;5,SUM(W43,AA43,AE43,AH43,AJ43,AL43),SUM(LARGE((W43,AA43,AE43,AH43,AJ43,AL43),{1;2;3;4;5}))))+U43),0)</f>
        <v>0</v>
      </c>
      <c r="Q43" s="797">
        <v>0</v>
      </c>
      <c r="R43" s="132">
        <f t="array" ref="R43">IF(T43="j",((IF(COUNT(V43,X43,AG43,AI43,AK43,AM43)&lt;5,SUM(V43,X43,AG43,AI43,AK43,AM43),SUM(LARGE((V43,X43,AG43,AI43,AK43,AM43),{1;2;3;4;5}))))+(IF(COUNT(W43,AB43,AC43,AH43,AJ43,AL43)&lt;5,SUM(W43,AB43,AC43,AH43,AJ43,AL43),SUM(LARGE((W43,AB43,AC43,AH43,AJ43,AL43),{1;2;3;4;5}))))+U43),0)</f>
        <v>0</v>
      </c>
      <c r="S43" s="676"/>
      <c r="T43" s="676"/>
      <c r="U43" s="915">
        <v>69</v>
      </c>
      <c r="V43" s="316" t="s">
        <v>156</v>
      </c>
      <c r="W43" s="316" t="s">
        <v>156</v>
      </c>
      <c r="X43" s="137"/>
      <c r="Y43" s="137"/>
      <c r="Z43" s="960"/>
      <c r="AA43" s="961"/>
      <c r="AB43" s="962"/>
      <c r="AC43" s="137"/>
      <c r="AD43" s="960"/>
      <c r="AE43" s="961"/>
      <c r="AF43" s="732"/>
      <c r="AG43" s="137"/>
      <c r="AH43" s="137">
        <v>173</v>
      </c>
      <c r="AI43" s="281"/>
      <c r="AJ43" s="137"/>
      <c r="AK43" s="137"/>
      <c r="AL43" s="137">
        <v>173</v>
      </c>
      <c r="AM43" s="137"/>
      <c r="AN43" s="30">
        <f t="shared" si="20"/>
        <v>2</v>
      </c>
      <c r="AO43" s="312">
        <f t="shared" si="21"/>
        <v>2</v>
      </c>
      <c r="AP43" s="291">
        <f t="shared" si="22"/>
        <v>2</v>
      </c>
      <c r="AQ43" s="31">
        <f t="shared" si="23"/>
        <v>2</v>
      </c>
      <c r="AR43" s="210" t="e">
        <f>COUNTIF(V43:W43,"=  ")+COUNTIF(X43:AH43,"=  ")+COUNTIF(AJ43,"=  ")+COUNTIF(AL43,"=  ")+COUNTIF(#REF!,"=  ")+COUNTIF(#REF!,"=  ")+COUNTIF(#REF!,"=  ")</f>
        <v>#REF!</v>
      </c>
      <c r="AS43" s="101" t="e">
        <f>COUNTIF(Y43,"=  ")+COUNTIF(AI43,"=  ")+COUNTIF(AK43,"=  ")+COUNTIF(AM43,"=  ")+COUNTIF(AC43,"=  ")+COUNTIF(#REF!,"=  ")</f>
        <v>#REF!</v>
      </c>
    </row>
    <row r="44" spans="1:45" x14ac:dyDescent="0.2">
      <c r="A44" s="47">
        <v>25</v>
      </c>
      <c r="B44" s="141">
        <f t="shared" si="13"/>
        <v>24</v>
      </c>
      <c r="C44" s="139">
        <f t="shared" si="14"/>
        <v>10415</v>
      </c>
      <c r="D44" s="49" t="s">
        <v>151</v>
      </c>
      <c r="E44" s="141" t="str">
        <f t="shared" si="15"/>
        <v/>
      </c>
      <c r="F44" s="138">
        <f t="shared" si="16"/>
        <v>0</v>
      </c>
      <c r="G44" s="383" t="s">
        <v>151</v>
      </c>
      <c r="H44" s="141" t="str">
        <f t="shared" si="17"/>
        <v/>
      </c>
      <c r="I44" s="221">
        <f t="shared" si="18"/>
        <v>0</v>
      </c>
      <c r="J44" s="71">
        <f t="shared" si="19"/>
        <v>35</v>
      </c>
      <c r="K44" s="70">
        <v>36</v>
      </c>
      <c r="L44" s="211" t="s">
        <v>71</v>
      </c>
      <c r="M44" s="70">
        <v>415</v>
      </c>
      <c r="N44" s="141">
        <f t="array" ref="N44">(IF(COUNT(V44,X44,AG44,AI44,AK44,AM44)&lt;5,SUM(V44,X44,AG44,AI44,AK44,AM44),SUM(LARGE((V44,X44,AG44,AI44,AK44,AM44),{1;2;3;4;5}))))+(IF(COUNT(W44,Y44,AC44,AH44,AJ44,AL44)&lt;5,SUM(W44,Y44,AC44,AH44,AJ44,AL44),SUM(LARGE((W44,Y44,AC44,AH44,AJ44,AL44),{1;2;3;4;5}))))+U44</f>
        <v>415</v>
      </c>
      <c r="O44" s="796">
        <v>0</v>
      </c>
      <c r="P44" s="132">
        <f t="array" ref="P44">IF(S44="n",((IF(COUNT(V44,X44,AG44,AI44,AK44,AM44)&lt;5,SUM(V44,X44,AG44,AI44,AK44,AM44),SUM(LARGE((V44,X44,AG44,AI44,AK44,AM44),{1;2;3;4;5}))))+(IF(COUNT(W44,AA44,AE44,AH44,AJ44,AL44)&lt;5,SUM(W44,AA44,AE44,AH44,AJ44,AL44),SUM(LARGE((W44,AA44,AE44,AH44,AJ44,AL44),{1;2;3;4;5}))))+U44),0)</f>
        <v>0</v>
      </c>
      <c r="Q44" s="797">
        <v>0</v>
      </c>
      <c r="R44" s="132">
        <f t="array" ref="R44">IF(T44="j",((IF(COUNT(V44,X44,AG44,AI44,AK44,AM44)&lt;5,SUM(V44,X44,AG44,AI44,AK44,AM44),SUM(LARGE((V44,X44,AG44,AI44,AK44,AM44),{1;2;3;4;5}))))+(IF(COUNT(W44,AB44,AC44,AH44,AJ44,AL44)&lt;5,SUM(W44,AB44,AC44,AH44,AJ44,AL44),SUM(LARGE((W44,AB44,AC44,AH44,AJ44,AL44),{1;2;3;4;5}))))+U44),0)</f>
        <v>0</v>
      </c>
      <c r="S44" s="676"/>
      <c r="T44" s="676"/>
      <c r="U44" s="915">
        <v>8</v>
      </c>
      <c r="V44" s="315">
        <v>56</v>
      </c>
      <c r="W44" s="315">
        <v>126</v>
      </c>
      <c r="X44" s="315">
        <v>90</v>
      </c>
      <c r="Y44" s="316" t="s">
        <v>156</v>
      </c>
      <c r="Z44" s="960"/>
      <c r="AA44" s="961"/>
      <c r="AB44" s="962"/>
      <c r="AC44" s="137"/>
      <c r="AD44" s="960"/>
      <c r="AE44" s="961"/>
      <c r="AF44" s="732"/>
      <c r="AG44" s="316" t="s">
        <v>156</v>
      </c>
      <c r="AH44" s="137"/>
      <c r="AI44" s="137"/>
      <c r="AJ44" s="137"/>
      <c r="AK44" s="137"/>
      <c r="AL44" s="137">
        <v>135</v>
      </c>
      <c r="AM44" s="137"/>
      <c r="AN44" s="30">
        <f t="shared" si="20"/>
        <v>4</v>
      </c>
      <c r="AO44" s="312">
        <f t="shared" si="21"/>
        <v>0</v>
      </c>
      <c r="AP44" s="291">
        <f t="shared" si="22"/>
        <v>0</v>
      </c>
      <c r="AQ44" s="31">
        <f t="shared" si="23"/>
        <v>0</v>
      </c>
      <c r="AR44" s="4" t="e">
        <f>COUNTIF(V44:W44,"=  ")+COUNTIF(X44:AH44,"=  ")+COUNTIF(AJ44,"=  ")+COUNTIF(AL44,"=  ")+COUNTIF(#REF!,"=  ")+COUNTIF(#REF!,"=  ")+COUNTIF(#REF!,"=  ")</f>
        <v>#REF!</v>
      </c>
      <c r="AS44" s="101" t="e">
        <f>COUNTIF(Y44,"=  ")+COUNTIF(AI44,"=  ")+COUNTIF(AK44,"=  ")+COUNTIF(AM44,"=  ")+COUNTIF(AC44,"=  ")+COUNTIF(#REF!,"=  ")</f>
        <v>#REF!</v>
      </c>
    </row>
    <row r="45" spans="1:45" x14ac:dyDescent="0.2">
      <c r="A45" s="47">
        <v>26</v>
      </c>
      <c r="B45" s="141">
        <f t="shared" si="13"/>
        <v>26</v>
      </c>
      <c r="C45" s="139">
        <f t="shared" si="14"/>
        <v>10405</v>
      </c>
      <c r="D45" s="49" t="s">
        <v>151</v>
      </c>
      <c r="E45" s="141" t="str">
        <f t="shared" si="15"/>
        <v/>
      </c>
      <c r="F45" s="138">
        <f t="shared" si="16"/>
        <v>0</v>
      </c>
      <c r="G45" s="383" t="s">
        <v>151</v>
      </c>
      <c r="H45" s="141" t="str">
        <f t="shared" si="17"/>
        <v/>
      </c>
      <c r="I45" s="221">
        <f t="shared" si="18"/>
        <v>0</v>
      </c>
      <c r="J45" s="71">
        <f t="shared" si="19"/>
        <v>37</v>
      </c>
      <c r="K45" s="70">
        <v>37</v>
      </c>
      <c r="L45" s="44" t="s">
        <v>322</v>
      </c>
      <c r="M45" s="377">
        <v>405</v>
      </c>
      <c r="N45" s="141">
        <f t="array" ref="N45">(IF(COUNT(V45,X45,AG45,AI45,AK45,AM45)&lt;5,SUM(V45,X45,AG45,AI45,AK45,AM45),SUM(LARGE((V45,X45,AG45,AI45,AK45,AM45),{1;2;3;4;5}))))+(IF(COUNT(W45,Y45,AC45,AH45,AJ45,AL45)&lt;5,SUM(W45,Y45,AC45,AH45,AJ45,AL45),SUM(LARGE((W45,Y45,AC45,AH45,AJ45,AL45),{1;2;3;4;5}))))+U45</f>
        <v>405</v>
      </c>
      <c r="O45" s="796">
        <v>0</v>
      </c>
      <c r="P45" s="132">
        <f t="array" ref="P45">IF(S45="n",((IF(COUNT(V45,X45,AG45,AI45,AK45,AM45)&lt;5,SUM(V45,X45,AG45,AI45,AK45,AM45),SUM(LARGE((V45,X45,AG45,AI45,AK45,AM45),{1;2;3;4;5}))))+(IF(COUNT(W45,AA45,AE45,AH45,AJ45,AL45)&lt;5,SUM(W45,AA45,AE45,AH45,AJ45,AL45),SUM(LARGE((W45,AA45,AE45,AH45,AJ45,AL45),{1;2;3;4;5}))))+U45),0)</f>
        <v>0</v>
      </c>
      <c r="Q45" s="797">
        <v>0</v>
      </c>
      <c r="R45" s="132">
        <f t="array" ref="R45">IF(T45="j",((IF(COUNT(V45,X45,AG45,AI45,AK45,AM45)&lt;5,SUM(V45,X45,AG45,AI45,AK45,AM45),SUM(LARGE((V45,X45,AG45,AI45,AK45,AM45),{1;2;3;4;5}))))+(IF(COUNT(W45,AB45,AC45,AH45,AJ45,AL45)&lt;5,SUM(W45,AB45,AC45,AH45,AJ45,AL45),SUM(LARGE((W45,AB45,AC45,AH45,AJ45,AL45),{1;2;3;4;5}))))+U45),0)</f>
        <v>0</v>
      </c>
      <c r="S45" s="676"/>
      <c r="T45" s="676"/>
      <c r="U45" s="915">
        <v>115</v>
      </c>
      <c r="V45" s="316" t="s">
        <v>156</v>
      </c>
      <c r="W45" s="316" t="s">
        <v>156</v>
      </c>
      <c r="X45" s="137"/>
      <c r="Y45" s="137"/>
      <c r="Z45" s="960"/>
      <c r="AA45" s="961"/>
      <c r="AB45" s="962"/>
      <c r="AC45" s="137"/>
      <c r="AD45" s="960"/>
      <c r="AE45" s="961"/>
      <c r="AF45" s="732"/>
      <c r="AG45" s="137"/>
      <c r="AH45" s="137"/>
      <c r="AI45" s="281"/>
      <c r="AJ45" s="137">
        <v>146</v>
      </c>
      <c r="AK45" s="137">
        <v>60</v>
      </c>
      <c r="AL45" s="137"/>
      <c r="AM45" s="137">
        <v>84</v>
      </c>
      <c r="AN45" s="30">
        <f t="shared" si="20"/>
        <v>3</v>
      </c>
      <c r="AO45" s="312">
        <f t="shared" si="21"/>
        <v>1</v>
      </c>
      <c r="AP45" s="291">
        <f t="shared" si="22"/>
        <v>0</v>
      </c>
      <c r="AQ45" s="31">
        <f t="shared" si="23"/>
        <v>0</v>
      </c>
      <c r="AR45" s="4" t="e">
        <f>COUNTIF(V45:W45,"=  ")+COUNTIF(X45:AH45,"=  ")+COUNTIF(AJ45,"=  ")+COUNTIF(AL45,"=  ")+COUNTIF(#REF!,"=  ")+COUNTIF(#REF!,"=  ")+COUNTIF(#REF!,"=  ")</f>
        <v>#REF!</v>
      </c>
      <c r="AS45" s="209" t="e">
        <f>COUNTIF(Y45,"=  ")+COUNTIF(AI45,"=  ")+COUNTIF(AK45,"=  ")+COUNTIF(AM45,"=  ")+COUNTIF(AC45,"=  ")+COUNTIF(#REF!,"=  ")</f>
        <v>#REF!</v>
      </c>
    </row>
    <row r="46" spans="1:45" x14ac:dyDescent="0.2">
      <c r="A46" s="47" t="s">
        <v>151</v>
      </c>
      <c r="B46" s="141" t="str">
        <f t="shared" si="13"/>
        <v/>
      </c>
      <c r="C46" s="139">
        <f t="shared" si="14"/>
        <v>0</v>
      </c>
      <c r="D46" s="49">
        <v>12</v>
      </c>
      <c r="E46" s="141">
        <f t="shared" si="15"/>
        <v>12</v>
      </c>
      <c r="F46" s="138">
        <f t="shared" si="16"/>
        <v>10393</v>
      </c>
      <c r="G46" s="383" t="s">
        <v>151</v>
      </c>
      <c r="H46" s="141" t="str">
        <f t="shared" si="17"/>
        <v/>
      </c>
      <c r="I46" s="221">
        <f t="shared" si="18"/>
        <v>0</v>
      </c>
      <c r="J46" s="71">
        <f t="shared" si="19"/>
        <v>38</v>
      </c>
      <c r="K46" s="70">
        <v>38</v>
      </c>
      <c r="L46" s="51" t="s">
        <v>422</v>
      </c>
      <c r="M46" s="70">
        <v>393</v>
      </c>
      <c r="N46" s="141">
        <f t="array" ref="N46">(IF(COUNT(V46,X46,AG46,AI46,AK46,AM46)&lt;5,SUM(V46,X46,AG46,AI46,AK46,AM46),SUM(LARGE((V46,X46,AG46,AI46,AK46,AM46),{1;2;3;4;5}))))+(IF(COUNT(W46,Y46,AC46,AH46,AJ46,AL46)&lt;5,SUM(W46,Y46,AC46,AH46,AJ46,AL46),SUM(LARGE((W46,Y46,AC46,AH46,AJ46,AL46),{1;2;3;4;5}))))+U46</f>
        <v>393</v>
      </c>
      <c r="O46" s="796">
        <v>393</v>
      </c>
      <c r="P46" s="132">
        <f t="array" ref="P46">IF(S46="n",((IF(COUNT(V46,X46,AG46,AI46,AK46,AM46)&lt;5,SUM(V46,X46,AG46,AI46,AK46,AM46),SUM(LARGE((V46,X46,AG46,AI46,AK46,AM46),{1;2;3;4;5}))))+(IF(COUNT(W46,AA46,AE46,AH46,AJ46,AL46)&lt;5,SUM(W46,AA46,AE46,AH46,AJ46,AL46),SUM(LARGE((W46,AA46,AE46,AH46,AJ46,AL46),{1;2;3;4;5}))))+U46),0)</f>
        <v>393</v>
      </c>
      <c r="Q46" s="797">
        <v>0</v>
      </c>
      <c r="R46" s="132">
        <f t="array" ref="R46">IF(T46="j",((IF(COUNT(V46,X46,AG46,AI46,AK46,AM46)&lt;5,SUM(V46,X46,AG46,AI46,AK46,AM46),SUM(LARGE((V46,X46,AG46,AI46,AK46,AM46),{1;2;3;4;5}))))+(IF(COUNT(W46,AB46,AC46,AH46,AJ46,AL46)&lt;5,SUM(W46,AB46,AC46,AH46,AJ46,AL46),SUM(LARGE((W46,AB46,AC46,AH46,AJ46,AL46),{1;2;3;4;5}))))+U46),0)</f>
        <v>0</v>
      </c>
      <c r="S46" s="676" t="s">
        <v>33</v>
      </c>
      <c r="T46" s="676"/>
      <c r="U46" s="915"/>
      <c r="V46" s="315">
        <v>97</v>
      </c>
      <c r="W46" s="315">
        <v>96</v>
      </c>
      <c r="X46" s="316" t="s">
        <v>156</v>
      </c>
      <c r="Y46" s="316" t="s">
        <v>156</v>
      </c>
      <c r="Z46" s="960"/>
      <c r="AA46" s="961"/>
      <c r="AB46" s="962"/>
      <c r="AC46" s="137"/>
      <c r="AD46" s="960"/>
      <c r="AE46" s="961"/>
      <c r="AF46" s="732"/>
      <c r="AG46" s="137"/>
      <c r="AH46" s="137"/>
      <c r="AI46" s="137"/>
      <c r="AJ46" s="137">
        <v>135</v>
      </c>
      <c r="AK46" s="137"/>
      <c r="AL46" s="137">
        <v>65</v>
      </c>
      <c r="AM46" s="137"/>
      <c r="AN46" s="30">
        <f t="shared" si="20"/>
        <v>4</v>
      </c>
      <c r="AO46" s="312">
        <f t="shared" si="21"/>
        <v>1</v>
      </c>
      <c r="AP46" s="291">
        <f t="shared" si="22"/>
        <v>0</v>
      </c>
      <c r="AQ46" s="31">
        <f t="shared" si="23"/>
        <v>0</v>
      </c>
      <c r="AR46" s="4" t="e">
        <f>COUNTIF(V46:W46,"=  ")+COUNTIF(X46:AH46,"=  ")+COUNTIF(AJ46,"=  ")+COUNTIF(AL46,"=  ")+COUNTIF(#REF!,"=  ")+COUNTIF(#REF!,"=  ")+COUNTIF(#REF!,"=  ")</f>
        <v>#REF!</v>
      </c>
      <c r="AS46" s="101" t="e">
        <f>COUNTIF(Y46,"=  ")+COUNTIF(AI46,"=  ")+COUNTIF(AK46,"=  ")+COUNTIF(AM46,"=  ")+COUNTIF(AC46,"=  ")+COUNTIF(#REF!,"=  ")</f>
        <v>#REF!</v>
      </c>
    </row>
    <row r="47" spans="1:45" x14ac:dyDescent="0.2">
      <c r="A47" s="47" t="s">
        <v>151</v>
      </c>
      <c r="B47" s="141" t="str">
        <f t="shared" si="13"/>
        <v/>
      </c>
      <c r="C47" s="139">
        <f t="shared" si="14"/>
        <v>0</v>
      </c>
      <c r="D47" s="49">
        <v>13</v>
      </c>
      <c r="E47" s="141">
        <f t="shared" si="15"/>
        <v>13</v>
      </c>
      <c r="F47" s="138">
        <f t="shared" si="16"/>
        <v>10391</v>
      </c>
      <c r="G47" s="383" t="s">
        <v>151</v>
      </c>
      <c r="H47" s="141" t="str">
        <f t="shared" si="17"/>
        <v/>
      </c>
      <c r="I47" s="221">
        <f t="shared" si="18"/>
        <v>0</v>
      </c>
      <c r="J47" s="71">
        <f t="shared" si="19"/>
        <v>39</v>
      </c>
      <c r="K47" s="70">
        <v>39</v>
      </c>
      <c r="L47" s="51" t="s">
        <v>63</v>
      </c>
      <c r="M47" s="70">
        <v>391</v>
      </c>
      <c r="N47" s="141">
        <f t="array" ref="N47">(IF(COUNT(V47,X47,AG47,AI47,AK47,AM47)&lt;5,SUM(V47,X47,AG47,AI47,AK47,AM47),SUM(LARGE((V47,X47,AG47,AI47,AK47,AM47),{1;2;3;4;5}))))+(IF(COUNT(W47,Y47,AC47,AH47,AJ47,AL47)&lt;5,SUM(W47,Y47,AC47,AH47,AJ47,AL47),SUM(LARGE((W47,Y47,AC47,AH47,AJ47,AL47),{1;2;3;4;5}))))+U47</f>
        <v>391</v>
      </c>
      <c r="O47" s="796">
        <v>391</v>
      </c>
      <c r="P47" s="132">
        <f t="array" ref="P47">IF(S47="n",((IF(COUNT(V47,X47,AG47,AI47,AK47,AM47)&lt;5,SUM(V47,X47,AG47,AI47,AK47,AM47),SUM(LARGE((V47,X47,AG47,AI47,AK47,AM47),{1;2;3;4;5}))))+(IF(COUNT(W47,AA47,AE47,AH47,AJ47,AL47)&lt;5,SUM(W47,AA47,AE47,AH47,AJ47,AL47),SUM(LARGE((W47,AA47,AE47,AH47,AJ47,AL47),{1;2;3;4;5}))))+U47),0)</f>
        <v>391</v>
      </c>
      <c r="Q47" s="797">
        <v>0</v>
      </c>
      <c r="R47" s="132">
        <f t="array" ref="R47">IF(T47="j",((IF(COUNT(V47,X47,AG47,AI47,AK47,AM47)&lt;5,SUM(V47,X47,AG47,AI47,AK47,AM47),SUM(LARGE((V47,X47,AG47,AI47,AK47,AM47),{1;2;3;4;5}))))+(IF(COUNT(W47,AB47,AC47,AH47,AJ47,AL47)&lt;5,SUM(W47,AB47,AC47,AH47,AJ47,AL47),SUM(LARGE((W47,AB47,AC47,AH47,AJ47,AL47),{1;2;3;4;5}))))+U47),0)</f>
        <v>0</v>
      </c>
      <c r="S47" s="676" t="s">
        <v>33</v>
      </c>
      <c r="T47" s="676"/>
      <c r="U47" s="915">
        <v>19</v>
      </c>
      <c r="V47" s="316" t="s">
        <v>156</v>
      </c>
      <c r="W47" s="315">
        <v>42</v>
      </c>
      <c r="X47" s="315">
        <v>49</v>
      </c>
      <c r="Y47" s="316" t="s">
        <v>156</v>
      </c>
      <c r="Z47" s="960"/>
      <c r="AA47" s="961"/>
      <c r="AB47" s="962"/>
      <c r="AC47" s="137"/>
      <c r="AD47" s="960"/>
      <c r="AE47" s="961"/>
      <c r="AF47" s="732"/>
      <c r="AG47" s="137"/>
      <c r="AH47" s="137">
        <v>146</v>
      </c>
      <c r="AI47" s="137"/>
      <c r="AJ47" s="137"/>
      <c r="AK47" s="137"/>
      <c r="AL47" s="137">
        <v>135</v>
      </c>
      <c r="AM47" s="137"/>
      <c r="AN47" s="30">
        <f t="shared" si="20"/>
        <v>4</v>
      </c>
      <c r="AO47" s="312">
        <f t="shared" si="21"/>
        <v>1</v>
      </c>
      <c r="AP47" s="291">
        <f t="shared" si="22"/>
        <v>0</v>
      </c>
      <c r="AQ47" s="31">
        <f t="shared" si="23"/>
        <v>0</v>
      </c>
      <c r="AR47" s="4" t="e">
        <f>COUNTIF(V47:W47,"=  ")+COUNTIF(X47:AH47,"=  ")+COUNTIF(AJ47,"=  ")+COUNTIF(AL47,"=  ")+COUNTIF(#REF!,"=  ")+COUNTIF(#REF!,"=  ")+COUNTIF(#REF!,"=  ")</f>
        <v>#REF!</v>
      </c>
      <c r="AS47" s="101" t="e">
        <f>COUNTIF(Y47,"=  ")+COUNTIF(AI47,"=  ")+COUNTIF(AK47,"=  ")+COUNTIF(AM47,"=  ")+COUNTIF(AC47,"=  ")+COUNTIF(#REF!,"=  ")</f>
        <v>#REF!</v>
      </c>
    </row>
    <row r="48" spans="1:45" x14ac:dyDescent="0.2">
      <c r="A48" s="47">
        <v>27</v>
      </c>
      <c r="B48" s="141">
        <f t="shared" si="13"/>
        <v>27</v>
      </c>
      <c r="C48" s="139">
        <f t="shared" si="14"/>
        <v>10381</v>
      </c>
      <c r="D48" s="49" t="s">
        <v>151</v>
      </c>
      <c r="E48" s="141" t="str">
        <f t="shared" si="15"/>
        <v/>
      </c>
      <c r="F48" s="138">
        <f t="shared" si="16"/>
        <v>0</v>
      </c>
      <c r="G48" s="383" t="s">
        <v>151</v>
      </c>
      <c r="H48" s="141" t="str">
        <f t="shared" si="17"/>
        <v/>
      </c>
      <c r="I48" s="221">
        <f t="shared" si="18"/>
        <v>0</v>
      </c>
      <c r="J48" s="71">
        <f t="shared" si="19"/>
        <v>40</v>
      </c>
      <c r="K48" s="70">
        <v>40</v>
      </c>
      <c r="L48" s="211" t="s">
        <v>423</v>
      </c>
      <c r="M48" s="70">
        <v>381</v>
      </c>
      <c r="N48" s="141">
        <f t="array" ref="N48">(IF(COUNT(V48,X48,AG48,AI48,AK48,AM48)&lt;5,SUM(V48,X48,AG48,AI48,AK48,AM48),SUM(LARGE((V48,X48,AG48,AI48,AK48,AM48),{1;2;3;4;5}))))+(IF(COUNT(W48,Y48,AC48,AH48,AJ48,AL48)&lt;5,SUM(W48,Y48,AC48,AH48,AJ48,AL48),SUM(LARGE((W48,Y48,AC48,AH48,AJ48,AL48),{1;2;3;4;5}))))+U48</f>
        <v>381</v>
      </c>
      <c r="O48" s="796">
        <v>0</v>
      </c>
      <c r="P48" s="132">
        <f t="array" ref="P48">IF(S48="n",((IF(COUNT(V48,X48,AG48,AI48,AK48,AM48)&lt;5,SUM(V48,X48,AG48,AI48,AK48,AM48),SUM(LARGE((V48,X48,AG48,AI48,AK48,AM48),{1;2;3;4;5}))))+(IF(COUNT(W48,AA48,AE48,AH48,AJ48,AL48)&lt;5,SUM(W48,AA48,AE48,AH48,AJ48,AL48),SUM(LARGE((W48,AA48,AE48,AH48,AJ48,AL48),{1;2;3;4;5}))))+U48),0)</f>
        <v>0</v>
      </c>
      <c r="Q48" s="797">
        <v>0</v>
      </c>
      <c r="R48" s="132">
        <f t="array" ref="R48">IF(T48="j",((IF(COUNT(V48,X48,AG48,AI48,AK48,AM48)&lt;5,SUM(V48,X48,AG48,AI48,AK48,AM48),SUM(LARGE((V48,X48,AG48,AI48,AK48,AM48),{1;2;3;4;5}))))+(IF(COUNT(W48,AB48,AC48,AH48,AJ48,AL48)&lt;5,SUM(W48,AB48,AC48,AH48,AJ48,AL48),SUM(LARGE((W48,AB48,AC48,AH48,AJ48,AL48),{1;2;3;4;5}))))+U48),0)</f>
        <v>0</v>
      </c>
      <c r="S48" s="676"/>
      <c r="T48" s="676"/>
      <c r="U48" s="915"/>
      <c r="V48" s="315">
        <v>115</v>
      </c>
      <c r="W48" s="316" t="s">
        <v>156</v>
      </c>
      <c r="X48" s="316" t="s">
        <v>156</v>
      </c>
      <c r="Y48" s="137"/>
      <c r="Z48" s="960"/>
      <c r="AA48" s="961"/>
      <c r="AB48" s="962"/>
      <c r="AC48" s="137"/>
      <c r="AD48" s="960"/>
      <c r="AE48" s="961"/>
      <c r="AF48" s="732"/>
      <c r="AG48" s="137"/>
      <c r="AH48" s="137">
        <v>65</v>
      </c>
      <c r="AI48" s="137"/>
      <c r="AJ48" s="137"/>
      <c r="AK48" s="137"/>
      <c r="AL48" s="137">
        <v>104</v>
      </c>
      <c r="AM48" s="137">
        <v>97</v>
      </c>
      <c r="AN48" s="30">
        <f t="shared" si="20"/>
        <v>4</v>
      </c>
      <c r="AO48" s="312">
        <f t="shared" si="21"/>
        <v>2</v>
      </c>
      <c r="AP48" s="291">
        <f t="shared" si="22"/>
        <v>1</v>
      </c>
      <c r="AQ48" s="31">
        <f t="shared" si="23"/>
        <v>0</v>
      </c>
      <c r="AR48" s="4" t="e">
        <f>COUNTIF(V48:W48,"=  ")+COUNTIF(X48:AH48,"=  ")+COUNTIF(AJ48,"=  ")+COUNTIF(AL48,"=  ")+COUNTIF(#REF!,"=  ")+COUNTIF(#REF!,"=  ")+COUNTIF(#REF!,"=  ")</f>
        <v>#REF!</v>
      </c>
      <c r="AS48" s="101" t="e">
        <f>COUNTIF(Y48,"=  ")+COUNTIF(AI48,"=  ")+COUNTIF(AK48,"=  ")+COUNTIF(AM48,"=  ")+COUNTIF(AC48,"=  ")+COUNTIF(#REF!,"=  ")</f>
        <v>#REF!</v>
      </c>
    </row>
    <row r="49" spans="1:45" x14ac:dyDescent="0.2">
      <c r="A49" s="47">
        <v>28</v>
      </c>
      <c r="B49" s="141">
        <f t="shared" si="13"/>
        <v>28</v>
      </c>
      <c r="C49" s="139">
        <f t="shared" si="14"/>
        <v>10375</v>
      </c>
      <c r="D49" s="49" t="s">
        <v>151</v>
      </c>
      <c r="E49" s="141" t="str">
        <f t="shared" si="15"/>
        <v/>
      </c>
      <c r="F49" s="138">
        <f t="shared" si="16"/>
        <v>0</v>
      </c>
      <c r="G49" s="383" t="s">
        <v>151</v>
      </c>
      <c r="H49" s="141" t="str">
        <f t="shared" si="17"/>
        <v/>
      </c>
      <c r="I49" s="221">
        <f t="shared" si="18"/>
        <v>0</v>
      </c>
      <c r="J49" s="71">
        <f t="shared" si="19"/>
        <v>41</v>
      </c>
      <c r="K49" s="70">
        <v>41</v>
      </c>
      <c r="L49" s="211" t="s">
        <v>68</v>
      </c>
      <c r="M49" s="70">
        <v>375</v>
      </c>
      <c r="N49" s="141">
        <f t="array" ref="N49">(IF(COUNT(V49,X49,AG49,AI49,AK49,AM49)&lt;5,SUM(V49,X49,AG49,AI49,AK49,AM49),SUM(LARGE((V49,X49,AG49,AI49,AK49,AM49),{1;2;3;4;5}))))+(IF(COUNT(W49,Y49,AC49,AH49,AJ49,AL49)&lt;5,SUM(W49,Y49,AC49,AH49,AJ49,AL49),SUM(LARGE((W49,Y49,AC49,AH49,AJ49,AL49),{1;2;3;4;5}))))+U49</f>
        <v>375</v>
      </c>
      <c r="O49" s="796">
        <v>0</v>
      </c>
      <c r="P49" s="132">
        <f t="array" ref="P49">IF(S49="n",((IF(COUNT(V49,X49,AG49,AI49,AK49,AM49)&lt;5,SUM(V49,X49,AG49,AI49,AK49,AM49),SUM(LARGE((V49,X49,AG49,AI49,AK49,AM49),{1;2;3;4;5}))))+(IF(COUNT(W49,AA49,AE49,AH49,AJ49,AL49)&lt;5,SUM(W49,AA49,AE49,AH49,AJ49,AL49),SUM(LARGE((W49,AA49,AE49,AH49,AJ49,AL49),{1;2;3;4;5}))))+U49),0)</f>
        <v>0</v>
      </c>
      <c r="Q49" s="797">
        <v>0</v>
      </c>
      <c r="R49" s="132">
        <f t="array" ref="R49">IF(T49="j",((IF(COUNT(V49,X49,AG49,AI49,AK49,AM49)&lt;5,SUM(V49,X49,AG49,AI49,AK49,AM49),SUM(LARGE((V49,X49,AG49,AI49,AK49,AM49),{1;2;3;4;5}))))+(IF(COUNT(W49,AB49,AC49,AH49,AJ49,AL49)&lt;5,SUM(W49,AB49,AC49,AH49,AJ49,AL49),SUM(LARGE((W49,AB49,AC49,AH49,AJ49,AL49),{1;2;3;4;5}))))+U49),0)</f>
        <v>0</v>
      </c>
      <c r="S49" s="676"/>
      <c r="T49" s="676"/>
      <c r="U49" s="915">
        <v>1</v>
      </c>
      <c r="V49" s="316" t="s">
        <v>156</v>
      </c>
      <c r="W49" s="315">
        <v>84</v>
      </c>
      <c r="X49" s="315">
        <v>49</v>
      </c>
      <c r="Y49" s="316" t="s">
        <v>156</v>
      </c>
      <c r="Z49" s="960"/>
      <c r="AA49" s="961"/>
      <c r="AB49" s="962"/>
      <c r="AC49" s="137"/>
      <c r="AD49" s="960"/>
      <c r="AE49" s="961"/>
      <c r="AF49" s="732"/>
      <c r="AG49" s="137">
        <v>115</v>
      </c>
      <c r="AH49" s="137">
        <v>126</v>
      </c>
      <c r="AI49" s="137"/>
      <c r="AJ49" s="137"/>
      <c r="AK49" s="137"/>
      <c r="AL49" s="137"/>
      <c r="AM49" s="137"/>
      <c r="AN49" s="30">
        <f t="shared" si="20"/>
        <v>4</v>
      </c>
      <c r="AO49" s="312">
        <f t="shared" si="21"/>
        <v>1</v>
      </c>
      <c r="AP49" s="291">
        <f t="shared" si="22"/>
        <v>1</v>
      </c>
      <c r="AQ49" s="31">
        <f t="shared" si="23"/>
        <v>0</v>
      </c>
      <c r="AR49" s="4" t="e">
        <f>COUNTIF(V49:W49,"=  ")+COUNTIF(X49:AH49,"=  ")+COUNTIF(AJ49,"=  ")+COUNTIF(AL49,"=  ")+COUNTIF(#REF!,"=  ")+COUNTIF(#REF!,"=  ")+COUNTIF(#REF!,"=  ")</f>
        <v>#REF!</v>
      </c>
      <c r="AS49" s="101" t="e">
        <f>COUNTIF(Y49,"=  ")+COUNTIF(AI49,"=  ")+COUNTIF(AK49,"=  ")+COUNTIF(AM49,"=  ")+COUNTIF(AC49,"=  ")+COUNTIF(#REF!,"=  ")</f>
        <v>#REF!</v>
      </c>
    </row>
    <row r="50" spans="1:45" x14ac:dyDescent="0.2">
      <c r="A50" s="48">
        <v>29</v>
      </c>
      <c r="B50" s="141">
        <f t="shared" si="13"/>
        <v>29</v>
      </c>
      <c r="C50" s="139">
        <f t="shared" si="14"/>
        <v>10368</v>
      </c>
      <c r="D50" s="49" t="s">
        <v>151</v>
      </c>
      <c r="E50" s="141" t="str">
        <f t="shared" si="15"/>
        <v/>
      </c>
      <c r="F50" s="138">
        <f t="shared" si="16"/>
        <v>0</v>
      </c>
      <c r="G50" s="383" t="s">
        <v>151</v>
      </c>
      <c r="H50" s="141" t="str">
        <f t="shared" si="17"/>
        <v/>
      </c>
      <c r="I50" s="221">
        <f t="shared" si="18"/>
        <v>0</v>
      </c>
      <c r="J50" s="71">
        <f t="shared" si="19"/>
        <v>42</v>
      </c>
      <c r="K50" s="70">
        <v>42</v>
      </c>
      <c r="L50" s="211" t="s">
        <v>328</v>
      </c>
      <c r="M50" s="70">
        <v>368</v>
      </c>
      <c r="N50" s="141">
        <f t="array" ref="N50">(IF(COUNT(V50,X50,AG50,AI50,AK50,AM50)&lt;5,SUM(V50,X50,AG50,AI50,AK50,AM50),SUM(LARGE((V50,X50,AG50,AI50,AK50,AM50),{1;2;3;4;5}))))+(IF(COUNT(W50,Y50,AC50,AH50,AJ50,AL50)&lt;5,SUM(W50,Y50,AC50,AH50,AJ50,AL50),SUM(LARGE((W50,Y50,AC50,AH50,AJ50,AL50),{1;2;3;4;5}))))+U50</f>
        <v>368</v>
      </c>
      <c r="O50" s="796">
        <v>0</v>
      </c>
      <c r="P50" s="132">
        <f t="array" ref="P50">IF(S50="n",((IF(COUNT(V50,X50,AG50,AI50,AK50,AM50)&lt;5,SUM(V50,X50,AG50,AI50,AK50,AM50),SUM(LARGE((V50,X50,AG50,AI50,AK50,AM50),{1;2;3;4;5}))))+(IF(COUNT(W50,AA50,AE50,AH50,AJ50,AL50)&lt;5,SUM(W50,AA50,AE50,AH50,AJ50,AL50),SUM(LARGE((W50,AA50,AE50,AH50,AJ50,AL50),{1;2;3;4;5}))))+U50),0)</f>
        <v>0</v>
      </c>
      <c r="Q50" s="797">
        <v>0</v>
      </c>
      <c r="R50" s="132">
        <f t="array" ref="R50">IF(T50="j",((IF(COUNT(V50,X50,AG50,AI50,AK50,AM50)&lt;5,SUM(V50,X50,AG50,AI50,AK50,AM50),SUM(LARGE((V50,X50,AG50,AI50,AK50,AM50),{1;2;3;4;5}))))+(IF(COUNT(W50,AB50,AC50,AH50,AJ50,AL50)&lt;5,SUM(W50,AB50,AC50,AH50,AJ50,AL50),SUM(LARGE((W50,AB50,AC50,AH50,AJ50,AL50),{1;2;3;4;5}))))+U50),0)</f>
        <v>0</v>
      </c>
      <c r="S50" s="676"/>
      <c r="T50" s="676"/>
      <c r="U50" s="915">
        <v>1</v>
      </c>
      <c r="V50" s="315">
        <v>79</v>
      </c>
      <c r="W50" s="316" t="s">
        <v>156</v>
      </c>
      <c r="X50" s="316" t="s">
        <v>156</v>
      </c>
      <c r="Y50" s="137"/>
      <c r="Z50" s="960"/>
      <c r="AA50" s="961"/>
      <c r="AB50" s="962"/>
      <c r="AC50" s="137"/>
      <c r="AD50" s="960"/>
      <c r="AE50" s="961"/>
      <c r="AF50" s="732"/>
      <c r="AG50" s="137"/>
      <c r="AH50" s="137">
        <v>51</v>
      </c>
      <c r="AI50" s="137">
        <v>79</v>
      </c>
      <c r="AJ50" s="137"/>
      <c r="AK50" s="137"/>
      <c r="AL50" s="137">
        <v>158</v>
      </c>
      <c r="AM50" s="137"/>
      <c r="AN50" s="30">
        <f t="shared" si="20"/>
        <v>4</v>
      </c>
      <c r="AO50" s="312">
        <f t="shared" si="21"/>
        <v>1</v>
      </c>
      <c r="AP50" s="291">
        <f t="shared" si="22"/>
        <v>0</v>
      </c>
      <c r="AQ50" s="31">
        <f t="shared" si="23"/>
        <v>0</v>
      </c>
      <c r="AR50" s="4" t="e">
        <f>COUNTIF(V50:W50,"=  ")+COUNTIF(X50:AH50,"=  ")+COUNTIF(AJ50,"=  ")+COUNTIF(AL50,"=  ")+COUNTIF(#REF!,"=  ")+COUNTIF(#REF!,"=  ")+COUNTIF(#REF!,"=  ")</f>
        <v>#REF!</v>
      </c>
      <c r="AS50" s="101" t="e">
        <f>COUNTIF(Y50,"=  ")+COUNTIF(AI50,"=  ")+COUNTIF(AK50,"=  ")+COUNTIF(AM50,"=  ")+COUNTIF(AC50,"=  ")+COUNTIF(#REF!,"=  ")</f>
        <v>#REF!</v>
      </c>
    </row>
    <row r="51" spans="1:45" x14ac:dyDescent="0.2">
      <c r="A51" s="47">
        <v>30</v>
      </c>
      <c r="B51" s="141">
        <f t="shared" si="13"/>
        <v>30</v>
      </c>
      <c r="C51" s="139">
        <f t="shared" si="14"/>
        <v>10360</v>
      </c>
      <c r="D51" s="49" t="s">
        <v>151</v>
      </c>
      <c r="E51" s="141" t="str">
        <f t="shared" si="15"/>
        <v/>
      </c>
      <c r="F51" s="138">
        <f t="shared" si="16"/>
        <v>0</v>
      </c>
      <c r="G51" s="383" t="s">
        <v>151</v>
      </c>
      <c r="H51" s="141" t="str">
        <f t="shared" si="17"/>
        <v/>
      </c>
      <c r="I51" s="221">
        <f t="shared" si="18"/>
        <v>0</v>
      </c>
      <c r="J51" s="71">
        <f t="shared" si="19"/>
        <v>43</v>
      </c>
      <c r="K51" s="70">
        <v>43</v>
      </c>
      <c r="L51" s="53" t="s">
        <v>80</v>
      </c>
      <c r="M51" s="302">
        <v>360</v>
      </c>
      <c r="N51" s="141">
        <f t="array" ref="N51">(IF(COUNT(V51,X51,AG51,AI51,AK51,AM51)&lt;5,SUM(V51,X51,AG51,AI51,AK51,AM51),SUM(LARGE((V51,X51,AG51,AI51,AK51,AM51),{1;2;3;4;5}))))+(IF(COUNT(W51,Y51,AC51,AH51,AJ51,AL51)&lt;5,SUM(W51,Y51,AC51,AH51,AJ51,AL51),SUM(LARGE((W51,Y51,AC51,AH51,AJ51,AL51),{1;2;3;4;5}))))+U51</f>
        <v>360</v>
      </c>
      <c r="O51" s="796">
        <v>0</v>
      </c>
      <c r="P51" s="132">
        <f t="array" ref="P51">IF(S51="n",((IF(COUNT(V51,X51,AG51,AI51,AK51,AM51)&lt;5,SUM(V51,X51,AG51,AI51,AK51,AM51),SUM(LARGE((V51,X51,AG51,AI51,AK51,AM51),{1;2;3;4;5}))))+(IF(COUNT(W51,AA51,AE51,AH51,AJ51,AL51)&lt;5,SUM(W51,AA51,AE51,AH51,AJ51,AL51),SUM(LARGE((W51,AA51,AE51,AH51,AJ51,AL51),{1;2;3;4;5}))))+U51),0)</f>
        <v>0</v>
      </c>
      <c r="Q51" s="797">
        <v>0</v>
      </c>
      <c r="R51" s="132">
        <f t="array" ref="R51">IF(T51="j",((IF(COUNT(V51,X51,AG51,AI51,AK51,AM51)&lt;5,SUM(V51,X51,AG51,AI51,AK51,AM51),SUM(LARGE((V51,X51,AG51,AI51,AK51,AM51),{1;2;3;4;5}))))+(IF(COUNT(W51,AB51,AC51,AH51,AJ51,AL51)&lt;5,SUM(W51,AB51,AC51,AH51,AJ51,AL51),SUM(LARGE((W51,AB51,AC51,AH51,AJ51,AL51),{1;2;3;4;5}))))+U51),0)</f>
        <v>0</v>
      </c>
      <c r="S51" s="676"/>
      <c r="T51" s="676"/>
      <c r="U51" s="915">
        <v>1</v>
      </c>
      <c r="V51" s="316" t="s">
        <v>156</v>
      </c>
      <c r="W51" s="316" t="s">
        <v>156</v>
      </c>
      <c r="X51" s="137"/>
      <c r="Y51" s="315">
        <v>29</v>
      </c>
      <c r="Z51" s="960">
        <v>29</v>
      </c>
      <c r="AA51" s="961"/>
      <c r="AB51" s="962"/>
      <c r="AC51" s="315">
        <v>96</v>
      </c>
      <c r="AD51" s="960">
        <v>96</v>
      </c>
      <c r="AE51" s="961"/>
      <c r="AF51" s="732"/>
      <c r="AG51" s="137"/>
      <c r="AH51" s="137">
        <v>78</v>
      </c>
      <c r="AI51" s="137"/>
      <c r="AJ51" s="137">
        <v>104</v>
      </c>
      <c r="AK51" s="137">
        <v>52</v>
      </c>
      <c r="AL51" s="137"/>
      <c r="AM51" s="137"/>
      <c r="AN51" s="30">
        <f t="shared" si="20"/>
        <v>5</v>
      </c>
      <c r="AO51" s="312">
        <f t="shared" si="21"/>
        <v>0</v>
      </c>
      <c r="AP51" s="291">
        <f t="shared" si="22"/>
        <v>0</v>
      </c>
      <c r="AQ51" s="31">
        <f t="shared" si="23"/>
        <v>0</v>
      </c>
      <c r="AR51" s="4" t="e">
        <f>COUNTIF(V51:W51,"=  ")+COUNTIF(X51:AH51,"=  ")+COUNTIF(AJ51,"=  ")+COUNTIF(AL51,"=  ")+COUNTIF(#REF!,"=  ")+COUNTIF(#REF!,"=  ")+COUNTIF(#REF!,"=  ")</f>
        <v>#REF!</v>
      </c>
      <c r="AS51" s="101" t="e">
        <f>COUNTIF(Y51,"=  ")+COUNTIF(AI51,"=  ")+COUNTIF(AK51,"=  ")+COUNTIF(AM51,"=  ")+COUNTIF(AC51,"=  ")+COUNTIF(#REF!,"=  ")</f>
        <v>#REF!</v>
      </c>
    </row>
    <row r="52" spans="1:45" x14ac:dyDescent="0.2">
      <c r="A52" s="47">
        <v>31</v>
      </c>
      <c r="B52" s="141">
        <f t="shared" si="13"/>
        <v>31</v>
      </c>
      <c r="C52" s="139">
        <f t="shared" si="14"/>
        <v>10359</v>
      </c>
      <c r="D52" s="49" t="s">
        <v>151</v>
      </c>
      <c r="E52" s="141" t="str">
        <f t="shared" si="15"/>
        <v/>
      </c>
      <c r="F52" s="138">
        <f t="shared" si="16"/>
        <v>0</v>
      </c>
      <c r="G52" s="383" t="s">
        <v>151</v>
      </c>
      <c r="H52" s="141" t="str">
        <f t="shared" si="17"/>
        <v/>
      </c>
      <c r="I52" s="221">
        <f t="shared" si="18"/>
        <v>0</v>
      </c>
      <c r="J52" s="71">
        <f t="shared" si="19"/>
        <v>44</v>
      </c>
      <c r="K52" s="70">
        <v>44</v>
      </c>
      <c r="L52" s="263" t="s">
        <v>164</v>
      </c>
      <c r="M52" s="70">
        <v>359</v>
      </c>
      <c r="N52" s="141">
        <f t="array" ref="N52">(IF(COUNT(V52,X52,AG52,AI52,AK52,AM52)&lt;5,SUM(V52,X52,AG52,AI52,AK52,AM52),SUM(LARGE((V52,X52,AG52,AI52,AK52,AM52),{1;2;3;4;5}))))+(IF(COUNT(W52,Y52,AC52,AH52,AJ52,AL52)&lt;5,SUM(W52,Y52,AC52,AH52,AJ52,AL52),SUM(LARGE((W52,Y52,AC52,AH52,AJ52,AL52),{1;2;3;4;5}))))+U52</f>
        <v>359</v>
      </c>
      <c r="O52" s="796">
        <v>0</v>
      </c>
      <c r="P52" s="132">
        <f t="array" ref="P52">IF(S52="n",((IF(COUNT(V52,X52,AG52,AI52,AK52,AM52)&lt;5,SUM(V52,X52,AG52,AI52,AK52,AM52),SUM(LARGE((V52,X52,AG52,AI52,AK52,AM52),{1;2;3;4;5}))))+(IF(COUNT(W52,AA52,AE52,AH52,AJ52,AL52)&lt;5,SUM(W52,AA52,AE52,AH52,AJ52,AL52),SUM(LARGE((W52,AA52,AE52,AH52,AJ52,AL52),{1;2;3;4;5}))))+U52),0)</f>
        <v>0</v>
      </c>
      <c r="Q52" s="797">
        <v>0</v>
      </c>
      <c r="R52" s="132">
        <f t="array" ref="R52">IF(T52="j",((IF(COUNT(V52,X52,AG52,AI52,AK52,AM52)&lt;5,SUM(V52,X52,AG52,AI52,AK52,AM52),SUM(LARGE((V52,X52,AG52,AI52,AK52,AM52),{1;2;3;4;5}))))+(IF(COUNT(W52,AB52,AC52,AH52,AJ52,AL52)&lt;5,SUM(W52,AB52,AC52,AH52,AJ52,AL52),SUM(LARGE((W52,AB52,AC52,AH52,AJ52,AL52),{1;2;3;4;5}))))+U52),0)</f>
        <v>0</v>
      </c>
      <c r="S52" s="676"/>
      <c r="T52" s="676"/>
      <c r="U52" s="915">
        <v>22</v>
      </c>
      <c r="V52" s="316" t="s">
        <v>156</v>
      </c>
      <c r="W52" s="315">
        <v>111</v>
      </c>
      <c r="X52" s="137"/>
      <c r="Y52" s="315">
        <v>90</v>
      </c>
      <c r="Z52" s="960">
        <v>90</v>
      </c>
      <c r="AA52" s="961"/>
      <c r="AB52" s="962"/>
      <c r="AC52" s="315">
        <v>40</v>
      </c>
      <c r="AD52" s="960">
        <v>40</v>
      </c>
      <c r="AE52" s="961"/>
      <c r="AF52" s="732"/>
      <c r="AG52" s="137"/>
      <c r="AH52" s="137">
        <v>96</v>
      </c>
      <c r="AI52" s="281"/>
      <c r="AJ52" s="316" t="s">
        <v>156</v>
      </c>
      <c r="AK52" s="137"/>
      <c r="AL52" s="137"/>
      <c r="AM52" s="137"/>
      <c r="AN52" s="30">
        <f t="shared" si="20"/>
        <v>4</v>
      </c>
      <c r="AO52" s="312">
        <f t="shared" si="21"/>
        <v>0</v>
      </c>
      <c r="AP52" s="291">
        <f t="shared" si="22"/>
        <v>0</v>
      </c>
      <c r="AQ52" s="31">
        <f t="shared" si="23"/>
        <v>0</v>
      </c>
      <c r="AR52" s="4" t="e">
        <f>COUNTIF(V52:W52,"=  ")+COUNTIF(X52:AH52,"=  ")+COUNTIF(AJ52,"=  ")+COUNTIF(AL52,"=  ")+COUNTIF(#REF!,"=  ")+COUNTIF(#REF!,"=  ")+COUNTIF(#REF!,"=  ")</f>
        <v>#REF!</v>
      </c>
      <c r="AS52" s="101" t="e">
        <f>COUNTIF(Y52,"=  ")+COUNTIF(AI52,"=  ")+COUNTIF(AK52,"=  ")+COUNTIF(AM52,"=  ")+COUNTIF(AC52,"=  ")+COUNTIF(#REF!,"=  ")</f>
        <v>#REF!</v>
      </c>
    </row>
    <row r="53" spans="1:45" x14ac:dyDescent="0.2">
      <c r="A53" s="47">
        <v>32</v>
      </c>
      <c r="B53" s="141">
        <f t="shared" si="13"/>
        <v>32</v>
      </c>
      <c r="C53" s="139">
        <f t="shared" si="14"/>
        <v>10357</v>
      </c>
      <c r="D53" s="49" t="s">
        <v>151</v>
      </c>
      <c r="E53" s="141" t="str">
        <f t="shared" si="15"/>
        <v/>
      </c>
      <c r="F53" s="138">
        <f t="shared" si="16"/>
        <v>0</v>
      </c>
      <c r="G53" s="383" t="s">
        <v>151</v>
      </c>
      <c r="H53" s="141" t="str">
        <f t="shared" si="17"/>
        <v/>
      </c>
      <c r="I53" s="221">
        <f t="shared" si="18"/>
        <v>0</v>
      </c>
      <c r="J53" s="71">
        <f t="shared" si="19"/>
        <v>45</v>
      </c>
      <c r="K53" s="70">
        <v>45</v>
      </c>
      <c r="L53" s="211" t="s">
        <v>65</v>
      </c>
      <c r="M53" s="70">
        <v>357</v>
      </c>
      <c r="N53" s="141">
        <f t="array" ref="N53">(IF(COUNT(V53,X53,AG53,AI53,AK53,AM53)&lt;5,SUM(V53,X53,AG53,AI53,AK53,AM53),SUM(LARGE((V53,X53,AG53,AI53,AK53,AM53),{1;2;3;4;5}))))+(IF(COUNT(W53,Y53,AC53,AH53,AJ53,AL53)&lt;5,SUM(W53,Y53,AC53,AH53,AJ53,AL53),SUM(LARGE((W53,Y53,AC53,AH53,AJ53,AL53),{1;2;3;4;5}))))+U53</f>
        <v>357</v>
      </c>
      <c r="O53" s="796">
        <v>0</v>
      </c>
      <c r="P53" s="132">
        <f t="array" ref="P53">IF(S53="n",((IF(COUNT(V53,X53,AG53,AI53,AK53,AM53)&lt;5,SUM(V53,X53,AG53,AI53,AK53,AM53),SUM(LARGE((V53,X53,AG53,AI53,AK53,AM53),{1;2;3;4;5}))))+(IF(COUNT(W53,AA53,AE53,AH53,AJ53,AL53)&lt;5,SUM(W53,AA53,AE53,AH53,AJ53,AL53),SUM(LARGE((W53,AA53,AE53,AH53,AJ53,AL53),{1;2;3;4;5}))))+U53),0)</f>
        <v>0</v>
      </c>
      <c r="Q53" s="797">
        <v>0</v>
      </c>
      <c r="R53" s="132">
        <f t="array" ref="R53">IF(T53="j",((IF(COUNT(V53,X53,AG53,AI53,AK53,AM53)&lt;5,SUM(V53,X53,AG53,AI53,AK53,AM53),SUM(LARGE((V53,X53,AG53,AI53,AK53,AM53),{1;2;3;4;5}))))+(IF(COUNT(W53,AB53,AC53,AH53,AJ53,AL53)&lt;5,SUM(W53,AB53,AC53,AH53,AJ53,AL53),SUM(LARGE((W53,AB53,AC53,AH53,AJ53,AL53),{1;2;3;4;5}))))+U53),0)</f>
        <v>0</v>
      </c>
      <c r="S53" s="676"/>
      <c r="T53" s="676"/>
      <c r="U53" s="915">
        <v>14</v>
      </c>
      <c r="V53" s="316" t="s">
        <v>156</v>
      </c>
      <c r="W53" s="316" t="s">
        <v>156</v>
      </c>
      <c r="X53" s="315">
        <v>79</v>
      </c>
      <c r="Y53" s="137"/>
      <c r="Z53" s="960"/>
      <c r="AA53" s="961"/>
      <c r="AB53" s="962"/>
      <c r="AC53" s="137"/>
      <c r="AD53" s="960"/>
      <c r="AE53" s="961"/>
      <c r="AF53" s="732"/>
      <c r="AG53" s="137"/>
      <c r="AH53" s="137"/>
      <c r="AI53" s="137"/>
      <c r="AJ53" s="137">
        <v>126</v>
      </c>
      <c r="AK53" s="137">
        <v>64</v>
      </c>
      <c r="AL53" s="137"/>
      <c r="AM53" s="137">
        <v>74</v>
      </c>
      <c r="AN53" s="30">
        <f t="shared" si="20"/>
        <v>4</v>
      </c>
      <c r="AO53" s="312">
        <f t="shared" si="21"/>
        <v>0</v>
      </c>
      <c r="AP53" s="291">
        <f t="shared" si="22"/>
        <v>0</v>
      </c>
      <c r="AQ53" s="31">
        <f t="shared" si="23"/>
        <v>0</v>
      </c>
      <c r="AR53" s="4" t="e">
        <f>COUNTIF(V53:W53,"=  ")+COUNTIF(X53:AH53,"=  ")+COUNTIF(AJ53,"=  ")+COUNTIF(AL53,"=  ")+COUNTIF(#REF!,"=  ")+COUNTIF(#REF!,"=  ")+COUNTIF(#REF!,"=  ")</f>
        <v>#REF!</v>
      </c>
      <c r="AS53" s="101" t="e">
        <f>COUNTIF(Y53,"=  ")+COUNTIF(AI53,"=  ")+COUNTIF(AK53,"=  ")+COUNTIF(AM53,"=  ")+COUNTIF(AC53,"=  ")+COUNTIF(#REF!,"=  ")</f>
        <v>#REF!</v>
      </c>
    </row>
    <row r="54" spans="1:45" x14ac:dyDescent="0.2">
      <c r="A54" s="47" t="s">
        <v>151</v>
      </c>
      <c r="B54" s="141" t="str">
        <f t="shared" si="13"/>
        <v/>
      </c>
      <c r="C54" s="139">
        <f t="shared" si="14"/>
        <v>0</v>
      </c>
      <c r="D54" s="49">
        <v>15</v>
      </c>
      <c r="E54" s="141">
        <f t="shared" si="15"/>
        <v>15</v>
      </c>
      <c r="F54" s="138">
        <f t="shared" si="16"/>
        <v>10352</v>
      </c>
      <c r="G54" s="383" t="s">
        <v>151</v>
      </c>
      <c r="H54" s="141" t="str">
        <f t="shared" si="17"/>
        <v/>
      </c>
      <c r="I54" s="221">
        <f t="shared" si="18"/>
        <v>0</v>
      </c>
      <c r="J54" s="71">
        <f t="shared" si="19"/>
        <v>46</v>
      </c>
      <c r="K54" s="70">
        <v>46</v>
      </c>
      <c r="L54" s="54" t="s">
        <v>86</v>
      </c>
      <c r="M54" s="302">
        <v>352</v>
      </c>
      <c r="N54" s="141">
        <f t="array" ref="N54">(IF(COUNT(V54,X54,AG54,AI54,AK54,AM54)&lt;5,SUM(V54,X54,AG54,AI54,AK54,AM54),SUM(LARGE((V54,X54,AG54,AI54,AK54,AM54),{1;2;3;4;5}))))+(IF(COUNT(W54,Y54,AC54,AH54,AJ54,AL54)&lt;5,SUM(W54,Y54,AC54,AH54,AJ54,AL54),SUM(LARGE((W54,Y54,AC54,AH54,AJ54,AL54),{1;2;3;4;5}))))+U54</f>
        <v>352</v>
      </c>
      <c r="O54" s="796">
        <v>352</v>
      </c>
      <c r="P54" s="132">
        <f t="array" ref="P54">IF(S54="n",((IF(COUNT(V54,X54,AG54,AI54,AK54,AM54)&lt;5,SUM(V54,X54,AG54,AI54,AK54,AM54),SUM(LARGE((V54,X54,AG54,AI54,AK54,AM54),{1;2;3;4;5}))))+(IF(COUNT(W54,AA54,AE54,AH54,AJ54,AL54)&lt;5,SUM(W54,AA54,AE54,AH54,AJ54,AL54),SUM(LARGE((W54,AA54,AE54,AH54,AJ54,AL54),{1;2;3;4;5}))))+U54),0)</f>
        <v>352</v>
      </c>
      <c r="Q54" s="797">
        <v>0</v>
      </c>
      <c r="R54" s="132">
        <f t="array" ref="R54">IF(T54="j",((IF(COUNT(V54,X54,AG54,AI54,AK54,AM54)&lt;5,SUM(V54,X54,AG54,AI54,AK54,AM54),SUM(LARGE((V54,X54,AG54,AI54,AK54,AM54),{1;2;3;4;5}))))+(IF(COUNT(W54,AB54,AC54,AH54,AJ54,AL54)&lt;5,SUM(W54,AB54,AC54,AH54,AJ54,AL54),SUM(LARGE((W54,AB54,AC54,AH54,AJ54,AL54),{1;2;3;4;5}))))+U54),0)</f>
        <v>0</v>
      </c>
      <c r="S54" s="676" t="s">
        <v>33</v>
      </c>
      <c r="T54" s="676"/>
      <c r="U54" s="915">
        <v>5</v>
      </c>
      <c r="V54" s="316" t="s">
        <v>156</v>
      </c>
      <c r="W54" s="315">
        <v>104</v>
      </c>
      <c r="X54" s="137"/>
      <c r="Y54" s="316" t="s">
        <v>156</v>
      </c>
      <c r="Z54" s="960"/>
      <c r="AA54" s="961"/>
      <c r="AB54" s="962"/>
      <c r="AC54" s="137"/>
      <c r="AD54" s="960"/>
      <c r="AE54" s="961"/>
      <c r="AF54" s="732"/>
      <c r="AG54" s="137"/>
      <c r="AH54" s="137">
        <v>104</v>
      </c>
      <c r="AI54" s="137"/>
      <c r="AJ54" s="137">
        <v>96</v>
      </c>
      <c r="AK54" s="137">
        <v>43</v>
      </c>
      <c r="AL54" s="137"/>
      <c r="AM54" s="137"/>
      <c r="AN54" s="30">
        <f t="shared" si="20"/>
        <v>4</v>
      </c>
      <c r="AO54" s="312">
        <f t="shared" si="21"/>
        <v>0</v>
      </c>
      <c r="AP54" s="291">
        <f t="shared" si="22"/>
        <v>0</v>
      </c>
      <c r="AQ54" s="31">
        <f t="shared" si="23"/>
        <v>0</v>
      </c>
      <c r="AR54" s="4" t="e">
        <f>COUNTIF(V54:W54,"=  ")+COUNTIF(X54:AH54,"=  ")+COUNTIF(AJ54,"=  ")+COUNTIF(AL54,"=  ")+COUNTIF(#REF!,"=  ")+COUNTIF(#REF!,"=  ")+COUNTIF(#REF!,"=  ")</f>
        <v>#REF!</v>
      </c>
      <c r="AS54" s="101" t="e">
        <f>COUNTIF(Y54,"=  ")+COUNTIF(AI54,"=  ")+COUNTIF(AK54,"=  ")+COUNTIF(AM54,"=  ")+COUNTIF(AC54,"=  ")+COUNTIF(#REF!,"=  ")</f>
        <v>#REF!</v>
      </c>
    </row>
    <row r="55" spans="1:45" x14ac:dyDescent="0.2">
      <c r="A55" s="47">
        <v>33</v>
      </c>
      <c r="B55" s="141">
        <f t="shared" si="13"/>
        <v>33</v>
      </c>
      <c r="C55" s="139">
        <f t="shared" si="14"/>
        <v>10351</v>
      </c>
      <c r="D55" s="49" t="s">
        <v>151</v>
      </c>
      <c r="E55" s="141" t="str">
        <f t="shared" si="15"/>
        <v/>
      </c>
      <c r="F55" s="138">
        <f t="shared" si="16"/>
        <v>0</v>
      </c>
      <c r="G55" s="383" t="s">
        <v>151</v>
      </c>
      <c r="H55" s="141" t="str">
        <f t="shared" si="17"/>
        <v/>
      </c>
      <c r="I55" s="221">
        <f t="shared" si="18"/>
        <v>0</v>
      </c>
      <c r="J55" s="71">
        <f t="shared" si="19"/>
        <v>47</v>
      </c>
      <c r="K55" s="70">
        <v>47</v>
      </c>
      <c r="L55" s="53" t="s">
        <v>147</v>
      </c>
      <c r="M55" s="302">
        <v>351</v>
      </c>
      <c r="N55" s="141">
        <f t="array" ref="N55">(IF(COUNT(V55,X55,AG55,AI55,AK55,AM55)&lt;5,SUM(V55,X55,AG55,AI55,AK55,AM55),SUM(LARGE((V55,X55,AG55,AI55,AK55,AM55),{1;2;3;4;5}))))+(IF(COUNT(W55,Y55,AC55,AH55,AJ55,AL55)&lt;5,SUM(W55,Y55,AC55,AH55,AJ55,AL55),SUM(LARGE((W55,Y55,AC55,AH55,AJ55,AL55),{1;2;3;4;5}))))+U55</f>
        <v>351</v>
      </c>
      <c r="O55" s="796">
        <v>0</v>
      </c>
      <c r="P55" s="132">
        <f t="array" ref="P55">IF(S55="n",((IF(COUNT(V55,X55,AG55,AI55,AK55,AM55)&lt;5,SUM(V55,X55,AG55,AI55,AK55,AM55),SUM(LARGE((V55,X55,AG55,AI55,AK55,AM55),{1;2;3;4;5}))))+(IF(COUNT(W55,AA55,AE55,AH55,AJ55,AL55)&lt;5,SUM(W55,AA55,AE55,AH55,AJ55,AL55),SUM(LARGE((W55,AA55,AE55,AH55,AJ55,AL55),{1;2;3;4;5}))))+U55),0)</f>
        <v>0</v>
      </c>
      <c r="Q55" s="797">
        <v>0</v>
      </c>
      <c r="R55" s="132">
        <f t="array" ref="R55">IF(T55="j",((IF(COUNT(V55,X55,AG55,AI55,AK55,AM55)&lt;5,SUM(V55,X55,AG55,AI55,AK55,AM55),SUM(LARGE((V55,X55,AG55,AI55,AK55,AM55),{1;2;3;4;5}))))+(IF(COUNT(W55,AB55,AC55,AH55,AJ55,AL55)&lt;5,SUM(W55,AB55,AC55,AH55,AJ55,AL55),SUM(LARGE((W55,AB55,AC55,AH55,AJ55,AL55),{1;2;3;4;5}))))+U55),0)</f>
        <v>0</v>
      </c>
      <c r="S55" s="676"/>
      <c r="T55" s="676"/>
      <c r="U55" s="915">
        <v>4</v>
      </c>
      <c r="V55" s="316" t="s">
        <v>156</v>
      </c>
      <c r="W55" s="315">
        <v>104</v>
      </c>
      <c r="X55" s="137"/>
      <c r="Y55" s="316" t="s">
        <v>156</v>
      </c>
      <c r="Z55" s="960"/>
      <c r="AA55" s="961"/>
      <c r="AB55" s="962"/>
      <c r="AC55" s="137"/>
      <c r="AD55" s="960"/>
      <c r="AE55" s="961"/>
      <c r="AF55" s="732"/>
      <c r="AG55" s="137"/>
      <c r="AH55" s="137">
        <v>104</v>
      </c>
      <c r="AI55" s="137"/>
      <c r="AJ55" s="137">
        <v>96</v>
      </c>
      <c r="AK55" s="137">
        <v>43</v>
      </c>
      <c r="AL55" s="137"/>
      <c r="AM55" s="137"/>
      <c r="AN55" s="30">
        <f t="shared" si="20"/>
        <v>4</v>
      </c>
      <c r="AO55" s="312">
        <f t="shared" si="21"/>
        <v>0</v>
      </c>
      <c r="AP55" s="291">
        <f t="shared" si="22"/>
        <v>0</v>
      </c>
      <c r="AQ55" s="31">
        <f t="shared" si="23"/>
        <v>0</v>
      </c>
      <c r="AR55" s="4" t="e">
        <f>COUNTIF(V55:W55,"=  ")+COUNTIF(X55:AH55,"=  ")+COUNTIF(AJ55,"=  ")+COUNTIF(AL55,"=  ")+COUNTIF(#REF!,"=  ")+COUNTIF(#REF!,"=  ")+COUNTIF(#REF!,"=  ")</f>
        <v>#REF!</v>
      </c>
      <c r="AS55" s="101" t="e">
        <f>COUNTIF(Y55,"=  ")+COUNTIF(AI55,"=  ")+COUNTIF(AK55,"=  ")+COUNTIF(AM55,"=  ")+COUNTIF(AC55,"=  ")+COUNTIF(#REF!,"=  ")</f>
        <v>#REF!</v>
      </c>
    </row>
    <row r="56" spans="1:45" x14ac:dyDescent="0.2">
      <c r="A56" s="47">
        <v>34</v>
      </c>
      <c r="B56" s="141">
        <f t="shared" si="13"/>
        <v>34</v>
      </c>
      <c r="C56" s="139">
        <f t="shared" si="14"/>
        <v>10350</v>
      </c>
      <c r="D56" s="49" t="s">
        <v>151</v>
      </c>
      <c r="E56" s="141" t="str">
        <f t="shared" si="15"/>
        <v/>
      </c>
      <c r="F56" s="138">
        <f t="shared" si="16"/>
        <v>0</v>
      </c>
      <c r="G56" s="383" t="s">
        <v>151</v>
      </c>
      <c r="H56" s="141" t="str">
        <f t="shared" si="17"/>
        <v/>
      </c>
      <c r="I56" s="221">
        <f t="shared" si="18"/>
        <v>0</v>
      </c>
      <c r="J56" s="71">
        <f t="shared" si="19"/>
        <v>48</v>
      </c>
      <c r="K56" s="70">
        <v>48</v>
      </c>
      <c r="L56" s="263" t="s">
        <v>175</v>
      </c>
      <c r="M56" s="70">
        <v>350</v>
      </c>
      <c r="N56" s="141">
        <f t="array" ref="N56">(IF(COUNT(V56,X56,AG56,AI56,AK56,AM56)&lt;5,SUM(V56,X56,AG56,AI56,AK56,AM56),SUM(LARGE((V56,X56,AG56,AI56,AK56,AM56),{1;2;3;4;5}))))+(IF(COUNT(W56,Y56,AC56,AH56,AJ56,AL56)&lt;5,SUM(W56,Y56,AC56,AH56,AJ56,AL56),SUM(LARGE((W56,Y56,AC56,AH56,AJ56,AL56),{1;2;3;4;5}))))+U56</f>
        <v>350</v>
      </c>
      <c r="O56" s="796">
        <v>0</v>
      </c>
      <c r="P56" s="132">
        <f t="array" ref="P56">IF(S56="n",((IF(COUNT(V56,X56,AG56,AI56,AK56,AM56)&lt;5,SUM(V56,X56,AG56,AI56,AK56,AM56),SUM(LARGE((V56,X56,AG56,AI56,AK56,AM56),{1;2;3;4;5}))))+(IF(COUNT(W56,AA56,AE56,AH56,AJ56,AL56)&lt;5,SUM(W56,AA56,AE56,AH56,AJ56,AL56),SUM(LARGE((W56,AA56,AE56,AH56,AJ56,AL56),{1;2;3;4;5}))))+U56),0)</f>
        <v>0</v>
      </c>
      <c r="Q56" s="797">
        <v>0</v>
      </c>
      <c r="R56" s="132">
        <f t="array" ref="R56">IF(T56="j",((IF(COUNT(V56,X56,AG56,AI56,AK56,AM56)&lt;5,SUM(V56,X56,AG56,AI56,AK56,AM56),SUM(LARGE((V56,X56,AG56,AI56,AK56,AM56),{1;2;3;4;5}))))+(IF(COUNT(W56,AB56,AC56,AH56,AJ56,AL56)&lt;5,SUM(W56,AB56,AC56,AH56,AJ56,AL56),SUM(LARGE((W56,AB56,AC56,AH56,AJ56,AL56),{1;2;3;4;5}))))+U56),0)</f>
        <v>0</v>
      </c>
      <c r="S56" s="676"/>
      <c r="T56" s="676"/>
      <c r="U56" s="915">
        <v>1</v>
      </c>
      <c r="V56" s="315">
        <v>90</v>
      </c>
      <c r="W56" s="316" t="s">
        <v>156</v>
      </c>
      <c r="X56" s="315">
        <v>84</v>
      </c>
      <c r="Y56" s="137"/>
      <c r="Z56" s="960"/>
      <c r="AA56" s="961"/>
      <c r="AB56" s="962"/>
      <c r="AC56" s="137"/>
      <c r="AD56" s="960"/>
      <c r="AE56" s="961"/>
      <c r="AF56" s="732"/>
      <c r="AG56" s="137">
        <v>52</v>
      </c>
      <c r="AH56" s="137"/>
      <c r="AI56" s="316" t="s">
        <v>156</v>
      </c>
      <c r="AJ56" s="137"/>
      <c r="AK56" s="137">
        <v>49</v>
      </c>
      <c r="AL56" s="137"/>
      <c r="AM56" s="137">
        <v>74</v>
      </c>
      <c r="AN56" s="30">
        <f t="shared" si="20"/>
        <v>5</v>
      </c>
      <c r="AO56" s="312">
        <f t="shared" si="21"/>
        <v>0</v>
      </c>
      <c r="AP56" s="291">
        <f t="shared" si="22"/>
        <v>0</v>
      </c>
      <c r="AQ56" s="31">
        <f t="shared" si="23"/>
        <v>0</v>
      </c>
      <c r="AR56" s="4" t="e">
        <f>COUNTIF(V56:W56,"=  ")+COUNTIF(X56:AH56,"=  ")+COUNTIF(AJ56,"=  ")+COUNTIF(AL56,"=  ")+COUNTIF(#REF!,"=  ")+COUNTIF(#REF!,"=  ")+COUNTIF(#REF!,"=  ")</f>
        <v>#REF!</v>
      </c>
      <c r="AS56" s="101" t="e">
        <f>COUNTIF(Y56,"=  ")+COUNTIF(AI56,"=  ")+COUNTIF(AK56,"=  ")+COUNTIF(AM56,"=  ")+COUNTIF(AC56,"=  ")+COUNTIF(#REF!,"=  ")</f>
        <v>#REF!</v>
      </c>
    </row>
    <row r="57" spans="1:45" x14ac:dyDescent="0.2">
      <c r="A57" s="47">
        <v>35</v>
      </c>
      <c r="B57" s="141">
        <f t="shared" si="13"/>
        <v>35</v>
      </c>
      <c r="C57" s="139">
        <f t="shared" si="14"/>
        <v>10349</v>
      </c>
      <c r="D57" s="49" t="s">
        <v>151</v>
      </c>
      <c r="E57" s="141" t="str">
        <f t="shared" si="15"/>
        <v/>
      </c>
      <c r="F57" s="138">
        <f t="shared" si="16"/>
        <v>0</v>
      </c>
      <c r="G57" s="383" t="s">
        <v>151</v>
      </c>
      <c r="H57" s="141" t="str">
        <f t="shared" si="17"/>
        <v/>
      </c>
      <c r="I57" s="221">
        <f t="shared" si="18"/>
        <v>0</v>
      </c>
      <c r="J57" s="71">
        <f t="shared" si="19"/>
        <v>49</v>
      </c>
      <c r="K57" s="70">
        <v>49</v>
      </c>
      <c r="L57" s="263" t="s">
        <v>342</v>
      </c>
      <c r="M57" s="70">
        <v>349</v>
      </c>
      <c r="N57" s="141">
        <f t="array" ref="N57">(IF(COUNT(V57,X57,AG57,AI57,AK57,AM57)&lt;5,SUM(V57,X57,AG57,AI57,AK57,AM57),SUM(LARGE((V57,X57,AG57,AI57,AK57,AM57),{1;2;3;4;5}))))+(IF(COUNT(W57,Y57,AC57,AH57,AJ57,AL57)&lt;5,SUM(W57,Y57,AC57,AH57,AJ57,AL57),SUM(LARGE((W57,Y57,AC57,AH57,AJ57,AL57),{1;2;3;4;5}))))+U57</f>
        <v>349</v>
      </c>
      <c r="O57" s="796">
        <v>0</v>
      </c>
      <c r="P57" s="132">
        <f t="array" ref="P57">IF(S57="n",((IF(COUNT(V57,X57,AG57,AI57,AK57,AM57)&lt;5,SUM(V57,X57,AG57,AI57,AK57,AM57),SUM(LARGE((V57,X57,AG57,AI57,AK57,AM57),{1;2;3;4;5}))))+(IF(COUNT(W57,AA57,AE57,AH57,AJ57,AL57)&lt;5,SUM(W57,AA57,AE57,AH57,AJ57,AL57),SUM(LARGE((W57,AA57,AE57,AH57,AJ57,AL57),{1;2;3;4;5}))))+U57),0)</f>
        <v>0</v>
      </c>
      <c r="Q57" s="797">
        <v>0</v>
      </c>
      <c r="R57" s="132">
        <f t="array" ref="R57">IF(T57="j",((IF(COUNT(V57,X57,AG57,AI57,AK57,AM57)&lt;5,SUM(V57,X57,AG57,AI57,AK57,AM57),SUM(LARGE((V57,X57,AG57,AI57,AK57,AM57),{1;2;3;4;5}))))+(IF(COUNT(W57,AB57,AC57,AH57,AJ57,AL57)&lt;5,SUM(W57,AB57,AC57,AH57,AJ57,AL57),SUM(LARGE((W57,AB57,AC57,AH57,AJ57,AL57),{1;2;3;4;5}))))+U57),0)</f>
        <v>0</v>
      </c>
      <c r="S57" s="676"/>
      <c r="T57" s="676"/>
      <c r="U57" s="915">
        <v>1</v>
      </c>
      <c r="V57" s="316" t="s">
        <v>156</v>
      </c>
      <c r="W57" s="316" t="s">
        <v>156</v>
      </c>
      <c r="X57" s="137"/>
      <c r="Y57" s="137"/>
      <c r="Z57" s="960"/>
      <c r="AA57" s="961"/>
      <c r="AB57" s="962"/>
      <c r="AC57" s="137"/>
      <c r="AD57" s="960"/>
      <c r="AE57" s="961"/>
      <c r="AF57" s="732"/>
      <c r="AG57" s="137"/>
      <c r="AH57" s="137"/>
      <c r="AI57" s="137">
        <v>79</v>
      </c>
      <c r="AJ57" s="137">
        <v>111</v>
      </c>
      <c r="AK57" s="137"/>
      <c r="AL57" s="137">
        <v>158</v>
      </c>
      <c r="AM57" s="137"/>
      <c r="AN57" s="30">
        <f t="shared" si="20"/>
        <v>3</v>
      </c>
      <c r="AO57" s="312">
        <f t="shared" si="21"/>
        <v>1</v>
      </c>
      <c r="AP57" s="291">
        <f t="shared" si="22"/>
        <v>0</v>
      </c>
      <c r="AQ57" s="31">
        <f t="shared" si="23"/>
        <v>0</v>
      </c>
      <c r="AR57" s="4" t="e">
        <f>COUNTIF(V57:W57,"=  ")+COUNTIF(X57:AH57,"=  ")+COUNTIF(AJ57,"=  ")+COUNTIF(AL57,"=  ")+COUNTIF(#REF!,"=  ")+COUNTIF(#REF!,"=  ")+COUNTIF(#REF!,"=  ")</f>
        <v>#REF!</v>
      </c>
      <c r="AS57" s="101" t="e">
        <f>COUNTIF(Y57,"=  ")+COUNTIF(AI57,"=  ")+COUNTIF(AK57,"=  ")+COUNTIF(AM57,"=  ")+COUNTIF(AC57,"=  ")+COUNTIF(#REF!,"=  ")</f>
        <v>#REF!</v>
      </c>
    </row>
    <row r="58" spans="1:45" x14ac:dyDescent="0.2">
      <c r="A58" s="47" t="s">
        <v>151</v>
      </c>
      <c r="B58" s="141" t="str">
        <f t="shared" si="13"/>
        <v/>
      </c>
      <c r="C58" s="139">
        <f t="shared" si="14"/>
        <v>0</v>
      </c>
      <c r="D58" s="49">
        <v>16</v>
      </c>
      <c r="E58" s="141">
        <f t="shared" si="15"/>
        <v>16</v>
      </c>
      <c r="F58" s="138">
        <f t="shared" si="16"/>
        <v>10340</v>
      </c>
      <c r="G58" s="383" t="s">
        <v>151</v>
      </c>
      <c r="H58" s="141" t="str">
        <f t="shared" si="17"/>
        <v/>
      </c>
      <c r="I58" s="221">
        <f t="shared" si="18"/>
        <v>0</v>
      </c>
      <c r="J58" s="71">
        <f t="shared" si="19"/>
        <v>50</v>
      </c>
      <c r="K58" s="70">
        <v>50</v>
      </c>
      <c r="L58" s="51" t="s">
        <v>32</v>
      </c>
      <c r="M58" s="70">
        <v>340</v>
      </c>
      <c r="N58" s="141">
        <f t="array" ref="N58">(IF(COUNT(V58,X58,AG58,AI58,AK58,AM58)&lt;5,SUM(V58,X58,AG58,AI58,AK58,AM58),SUM(LARGE((V58,X58,AG58,AI58,AK58,AM58),{1;2;3;4;5}))))+(IF(COUNT(W58,Y58,AC58,AH58,AJ58,AL58)&lt;5,SUM(W58,Y58,AC58,AH58,AJ58,AL58),SUM(LARGE((W58,Y58,AC58,AH58,AJ58,AL58),{1;2;3;4;5}))))+U58</f>
        <v>340</v>
      </c>
      <c r="O58" s="796">
        <v>340</v>
      </c>
      <c r="P58" s="132">
        <f t="array" ref="P58">IF(S58="n",((IF(COUNT(V58,X58,AG58,AI58,AK58,AM58)&lt;5,SUM(V58,X58,AG58,AI58,AK58,AM58),SUM(LARGE((V58,X58,AG58,AI58,AK58,AM58),{1;2;3;4;5}))))+(IF(COUNT(W58,AA58,AE58,AH58,AJ58,AL58)&lt;5,SUM(W58,AA58,AE58,AH58,AJ58,AL58),SUM(LARGE((W58,AA58,AE58,AH58,AJ58,AL58),{1;2;3;4;5}))))+U58),0)</f>
        <v>340</v>
      </c>
      <c r="Q58" s="797">
        <v>0</v>
      </c>
      <c r="R58" s="132">
        <f t="array" ref="R58">IF(T58="j",((IF(COUNT(V58,X58,AG58,AI58,AK58,AM58)&lt;5,SUM(V58,X58,AG58,AI58,AK58,AM58),SUM(LARGE((V58,X58,AG58,AI58,AK58,AM58),{1;2;3;4;5}))))+(IF(COUNT(W58,AB58,AC58,AH58,AJ58,AL58)&lt;5,SUM(W58,AB58,AC58,AH58,AJ58,AL58),SUM(LARGE((W58,AB58,AC58,AH58,AJ58,AL58),{1;2;3;4;5}))))+U58),0)</f>
        <v>0</v>
      </c>
      <c r="S58" s="676" t="s">
        <v>33</v>
      </c>
      <c r="T58" s="676"/>
      <c r="U58" s="915">
        <v>1</v>
      </c>
      <c r="V58" s="316" t="s">
        <v>156</v>
      </c>
      <c r="W58" s="316" t="s">
        <v>156</v>
      </c>
      <c r="X58" s="315">
        <v>74</v>
      </c>
      <c r="Y58" s="137"/>
      <c r="Z58" s="960"/>
      <c r="AA58" s="961"/>
      <c r="AB58" s="962"/>
      <c r="AC58" s="137"/>
      <c r="AD58" s="960"/>
      <c r="AE58" s="961"/>
      <c r="AF58" s="732"/>
      <c r="AG58" s="137"/>
      <c r="AH58" s="137"/>
      <c r="AI58" s="137"/>
      <c r="AJ58" s="137">
        <v>146</v>
      </c>
      <c r="AK58" s="137"/>
      <c r="AL58" s="137">
        <v>119</v>
      </c>
      <c r="AM58" s="137"/>
      <c r="AN58" s="30">
        <f t="shared" si="20"/>
        <v>3</v>
      </c>
      <c r="AO58" s="312">
        <f t="shared" si="21"/>
        <v>1</v>
      </c>
      <c r="AP58" s="291">
        <f t="shared" si="22"/>
        <v>0</v>
      </c>
      <c r="AQ58" s="31">
        <f t="shared" si="23"/>
        <v>0</v>
      </c>
      <c r="AR58" s="4" t="e">
        <f>COUNTIF(V58:W58,"=  ")+COUNTIF(X58:AH58,"=  ")+COUNTIF(AJ58,"=  ")+COUNTIF(AL58,"=  ")+COUNTIF(#REF!,"=  ")+COUNTIF(#REF!,"=  ")+COUNTIF(#REF!,"=  ")</f>
        <v>#REF!</v>
      </c>
      <c r="AS58" s="101" t="e">
        <f>COUNTIF(Y58,"=  ")+COUNTIF(AI58,"=  ")+COUNTIF(AK58,"=  ")+COUNTIF(AM58,"=  ")+COUNTIF(AC58,"=  ")+COUNTIF(#REF!,"=  ")</f>
        <v>#REF!</v>
      </c>
    </row>
    <row r="59" spans="1:45" x14ac:dyDescent="0.2">
      <c r="A59" s="47" t="s">
        <v>151</v>
      </c>
      <c r="B59" s="141" t="str">
        <f t="shared" si="13"/>
        <v/>
      </c>
      <c r="C59" s="139">
        <f t="shared" si="14"/>
        <v>0</v>
      </c>
      <c r="D59" s="49">
        <v>17</v>
      </c>
      <c r="E59" s="141">
        <f t="shared" si="15"/>
        <v>17</v>
      </c>
      <c r="F59" s="138">
        <f t="shared" si="16"/>
        <v>10327</v>
      </c>
      <c r="G59" s="383" t="s">
        <v>151</v>
      </c>
      <c r="H59" s="141" t="str">
        <f t="shared" si="17"/>
        <v/>
      </c>
      <c r="I59" s="221">
        <f t="shared" si="18"/>
        <v>0</v>
      </c>
      <c r="J59" s="71">
        <f t="shared" si="19"/>
        <v>51</v>
      </c>
      <c r="K59" s="70">
        <v>51</v>
      </c>
      <c r="L59" s="55" t="s">
        <v>66</v>
      </c>
      <c r="M59" s="70">
        <v>327</v>
      </c>
      <c r="N59" s="141">
        <f t="array" ref="N59">(IF(COUNT(V59,X59,AG59,AI59,AK59,AM59)&lt;5,SUM(V59,X59,AG59,AI59,AK59,AM59),SUM(LARGE((V59,X59,AG59,AI59,AK59,AM59),{1;2;3;4;5}))))+(IF(COUNT(W59,Y59,AC59,AH59,AJ59,AL59)&lt;5,SUM(W59,Y59,AC59,AH59,AJ59,AL59),SUM(LARGE((W59,Y59,AC59,AH59,AJ59,AL59),{1;2;3;4;5}))))+U59</f>
        <v>327</v>
      </c>
      <c r="O59" s="796">
        <v>327</v>
      </c>
      <c r="P59" s="132">
        <f t="array" ref="P59">IF(S59="n",((IF(COUNT(V59,X59,AG59,AI59,AK59,AM59)&lt;5,SUM(V59,X59,AG59,AI59,AK59,AM59),SUM(LARGE((V59,X59,AG59,AI59,AK59,AM59),{1;2;3;4;5}))))+(IF(COUNT(W59,AA59,AE59,AH59,AJ59,AL59)&lt;5,SUM(W59,AA59,AE59,AH59,AJ59,AL59),SUM(LARGE((W59,AA59,AE59,AH59,AJ59,AL59),{1;2;3;4;5}))))+U59),0)</f>
        <v>327</v>
      </c>
      <c r="Q59" s="797">
        <v>0</v>
      </c>
      <c r="R59" s="132">
        <f t="array" ref="R59">IF(T59="j",((IF(COUNT(V59,X59,AG59,AI59,AK59,AM59)&lt;5,SUM(V59,X59,AG59,AI59,AK59,AM59),SUM(LARGE((V59,X59,AG59,AI59,AK59,AM59),{1;2;3;4;5}))))+(IF(COUNT(W59,AB59,AC59,AH59,AJ59,AL59)&lt;5,SUM(W59,AB59,AC59,AH59,AJ59,AL59),SUM(LARGE((W59,AB59,AC59,AH59,AJ59,AL59),{1;2;3;4;5}))))+U59),0)</f>
        <v>0</v>
      </c>
      <c r="S59" s="676" t="s">
        <v>33</v>
      </c>
      <c r="T59" s="676"/>
      <c r="U59" s="915">
        <v>12</v>
      </c>
      <c r="V59" s="315">
        <v>105</v>
      </c>
      <c r="W59" s="315">
        <v>90</v>
      </c>
      <c r="X59" s="315">
        <v>60</v>
      </c>
      <c r="Y59" s="316" t="s">
        <v>156</v>
      </c>
      <c r="Z59" s="960"/>
      <c r="AA59" s="961"/>
      <c r="AB59" s="962"/>
      <c r="AC59" s="137"/>
      <c r="AD59" s="960"/>
      <c r="AE59" s="961"/>
      <c r="AF59" s="732"/>
      <c r="AG59" s="316" t="s">
        <v>156</v>
      </c>
      <c r="AH59" s="137"/>
      <c r="AI59" s="281"/>
      <c r="AJ59" s="137"/>
      <c r="AK59" s="137"/>
      <c r="AL59" s="137"/>
      <c r="AM59" s="137">
        <v>60</v>
      </c>
      <c r="AN59" s="30">
        <f t="shared" si="20"/>
        <v>4</v>
      </c>
      <c r="AO59" s="312">
        <f t="shared" si="21"/>
        <v>1</v>
      </c>
      <c r="AP59" s="291">
        <f t="shared" si="22"/>
        <v>0</v>
      </c>
      <c r="AQ59" s="31">
        <f t="shared" si="23"/>
        <v>0</v>
      </c>
      <c r="AR59" s="4" t="e">
        <f>COUNTIF(V59:W59,"=  ")+COUNTIF(X59:AH59,"=  ")+COUNTIF(AJ59,"=  ")+COUNTIF(AL59,"=  ")+COUNTIF(#REF!,"=  ")+COUNTIF(#REF!,"=  ")+COUNTIF(#REF!,"=  ")</f>
        <v>#REF!</v>
      </c>
      <c r="AS59" s="101" t="e">
        <f>COUNTIF(Y59,"=  ")+COUNTIF(AI59,"=  ")+COUNTIF(AK59,"=  ")+COUNTIF(AM59,"=  ")+COUNTIF(AC59,"=  ")+COUNTIF(#REF!,"=  ")</f>
        <v>#REF!</v>
      </c>
    </row>
    <row r="60" spans="1:45" x14ac:dyDescent="0.2">
      <c r="A60" s="47">
        <v>36</v>
      </c>
      <c r="B60" s="141">
        <f t="shared" si="13"/>
        <v>36</v>
      </c>
      <c r="C60" s="139">
        <f t="shared" si="14"/>
        <v>10299</v>
      </c>
      <c r="D60" s="49" t="s">
        <v>151</v>
      </c>
      <c r="E60" s="141" t="str">
        <f t="shared" si="15"/>
        <v/>
      </c>
      <c r="F60" s="138">
        <f t="shared" si="16"/>
        <v>0</v>
      </c>
      <c r="G60" s="383" t="s">
        <v>151</v>
      </c>
      <c r="H60" s="141" t="str">
        <f t="shared" si="17"/>
        <v/>
      </c>
      <c r="I60" s="221">
        <f t="shared" si="18"/>
        <v>0</v>
      </c>
      <c r="J60" s="71">
        <f t="shared" si="19"/>
        <v>52</v>
      </c>
      <c r="K60" s="70">
        <v>52</v>
      </c>
      <c r="L60" s="217" t="s">
        <v>167</v>
      </c>
      <c r="M60" s="70">
        <v>299</v>
      </c>
      <c r="N60" s="141">
        <f t="array" ref="N60">(IF(COUNT(V60,X60,AG60,AI60,AK60,AM60)&lt;5,SUM(V60,X60,AG60,AI60,AK60,AM60),SUM(LARGE((V60,X60,AG60,AI60,AK60,AM60),{1;2;3;4;5}))))+(IF(COUNT(W60,Y60,AC60,AH60,AJ60,AL60)&lt;5,SUM(W60,Y60,AC60,AH60,AJ60,AL60),SUM(LARGE((W60,Y60,AC60,AH60,AJ60,AL60),{1;2;3;4;5}))))+U60</f>
        <v>299</v>
      </c>
      <c r="O60" s="796">
        <v>0</v>
      </c>
      <c r="P60" s="132">
        <f t="array" ref="P60">IF(S60="n",((IF(COUNT(V60,X60,AG60,AI60,AK60,AM60)&lt;5,SUM(V60,X60,AG60,AI60,AK60,AM60),SUM(LARGE((V60,X60,AG60,AI60,AK60,AM60),{1;2;3;4;5}))))+(IF(COUNT(W60,AA60,AE60,AH60,AJ60,AL60)&lt;5,SUM(W60,AA60,AE60,AH60,AJ60,AL60),SUM(LARGE((W60,AA60,AE60,AH60,AJ60,AL60),{1;2;3;4;5}))))+U60),0)</f>
        <v>0</v>
      </c>
      <c r="Q60" s="797">
        <v>0</v>
      </c>
      <c r="R60" s="132">
        <f t="array" ref="R60">IF(T60="j",((IF(COUNT(V60,X60,AG60,AI60,AK60,AM60)&lt;5,SUM(V60,X60,AG60,AI60,AK60,AM60),SUM(LARGE((V60,X60,AG60,AI60,AK60,AM60),{1;2;3;4;5}))))+(IF(COUNT(W60,AB60,AC60,AH60,AJ60,AL60)&lt;5,SUM(W60,AB60,AC60,AH60,AJ60,AL60),SUM(LARGE((W60,AB60,AC60,AH60,AJ60,AL60),{1;2;3;4;5}))))+U60),0)</f>
        <v>0</v>
      </c>
      <c r="S60" s="676"/>
      <c r="T60" s="676"/>
      <c r="U60" s="915">
        <v>1</v>
      </c>
      <c r="V60" s="315">
        <v>74</v>
      </c>
      <c r="W60" s="315">
        <v>69</v>
      </c>
      <c r="X60" s="315">
        <v>52</v>
      </c>
      <c r="Y60" s="315">
        <v>38</v>
      </c>
      <c r="Z60" s="960">
        <v>38</v>
      </c>
      <c r="AA60" s="961"/>
      <c r="AB60" s="962"/>
      <c r="AC60" s="316" t="s">
        <v>156</v>
      </c>
      <c r="AD60" s="960"/>
      <c r="AE60" s="961"/>
      <c r="AF60" s="732"/>
      <c r="AG60" s="316" t="s">
        <v>156</v>
      </c>
      <c r="AH60" s="137">
        <v>65</v>
      </c>
      <c r="AI60" s="137"/>
      <c r="AJ60" s="137"/>
      <c r="AK60" s="137"/>
      <c r="AL60" s="137"/>
      <c r="AM60" s="137"/>
      <c r="AN60" s="30">
        <f t="shared" si="20"/>
        <v>5</v>
      </c>
      <c r="AO60" s="312">
        <f t="shared" si="21"/>
        <v>0</v>
      </c>
      <c r="AP60" s="291">
        <f t="shared" si="22"/>
        <v>0</v>
      </c>
      <c r="AQ60" s="31">
        <f t="shared" si="23"/>
        <v>0</v>
      </c>
      <c r="AR60" s="4" t="e">
        <f>COUNTIF(V60:W60,"=  ")+COUNTIF(X60:AH60,"=  ")+COUNTIF(AJ60,"=  ")+COUNTIF(AL60,"=  ")+COUNTIF(#REF!,"=  ")+COUNTIF(#REF!,"=  ")+COUNTIF(#REF!,"=  ")</f>
        <v>#REF!</v>
      </c>
      <c r="AS60" s="101" t="e">
        <f>COUNTIF(Y60,"=  ")+COUNTIF(AI60,"=  ")+COUNTIF(AK60,"=  ")+COUNTIF(AM60,"=  ")+COUNTIF(AC60,"=  ")+COUNTIF(#REF!,"=  ")</f>
        <v>#REF!</v>
      </c>
    </row>
    <row r="61" spans="1:45" x14ac:dyDescent="0.2">
      <c r="A61" s="47" t="s">
        <v>151</v>
      </c>
      <c r="B61" s="141" t="str">
        <f t="shared" si="13"/>
        <v/>
      </c>
      <c r="C61" s="139">
        <f t="shared" si="14"/>
        <v>0</v>
      </c>
      <c r="D61" s="49">
        <v>18</v>
      </c>
      <c r="E61" s="141">
        <f t="shared" si="15"/>
        <v>18</v>
      </c>
      <c r="F61" s="138">
        <f t="shared" si="16"/>
        <v>10279</v>
      </c>
      <c r="G61" s="383" t="s">
        <v>151</v>
      </c>
      <c r="H61" s="141" t="str">
        <f t="shared" si="17"/>
        <v/>
      </c>
      <c r="I61" s="221">
        <f t="shared" si="18"/>
        <v>0</v>
      </c>
      <c r="J61" s="71">
        <f t="shared" si="19"/>
        <v>53</v>
      </c>
      <c r="K61" s="70">
        <v>53</v>
      </c>
      <c r="L61" s="51" t="s">
        <v>178</v>
      </c>
      <c r="M61" s="70">
        <v>279</v>
      </c>
      <c r="N61" s="141">
        <f t="array" ref="N61">(IF(COUNT(V61,X61,AG61,AI61,AK61,AM61)&lt;5,SUM(V61,X61,AG61,AI61,AK61,AM61),SUM(LARGE((V61,X61,AG61,AI61,AK61,AM61),{1;2;3;4;5}))))+(IF(COUNT(W61,Y61,AC61,AH61,AJ61,AL61)&lt;5,SUM(W61,Y61,AC61,AH61,AJ61,AL61),SUM(LARGE((W61,Y61,AC61,AH61,AJ61,AL61),{1;2;3;4;5}))))+U61</f>
        <v>279</v>
      </c>
      <c r="O61" s="796">
        <v>279</v>
      </c>
      <c r="P61" s="132">
        <f t="array" ref="P61">IF(S61="n",((IF(COUNT(V61,X61,AG61,AI61,AK61,AM61)&lt;5,SUM(V61,X61,AG61,AI61,AK61,AM61),SUM(LARGE((V61,X61,AG61,AI61,AK61,AM61),{1;2;3;4;5}))))+(IF(COUNT(W61,AA61,AE61,AH61,AJ61,AL61)&lt;5,SUM(W61,AA61,AE61,AH61,AJ61,AL61),SUM(LARGE((W61,AA61,AE61,AH61,AJ61,AL61),{1;2;3;4;5}))))+U61),0)</f>
        <v>279</v>
      </c>
      <c r="Q61" s="797">
        <v>0</v>
      </c>
      <c r="R61" s="132">
        <f t="array" ref="R61">IF(T61="j",((IF(COUNT(V61,X61,AG61,AI61,AK61,AM61)&lt;5,SUM(V61,X61,AG61,AI61,AK61,AM61),SUM(LARGE((V61,X61,AG61,AI61,AK61,AM61),{1;2;3;4;5}))))+(IF(COUNT(W61,AB61,AC61,AH61,AJ61,AL61)&lt;5,SUM(W61,AB61,AC61,AH61,AJ61,AL61),SUM(LARGE((W61,AB61,AC61,AH61,AJ61,AL61),{1;2;3;4;5}))))+U61),0)</f>
        <v>0</v>
      </c>
      <c r="S61" s="676" t="s">
        <v>33</v>
      </c>
      <c r="T61" s="676"/>
      <c r="U61" s="915">
        <v>1</v>
      </c>
      <c r="V61" s="316" t="s">
        <v>156</v>
      </c>
      <c r="W61" s="315">
        <v>173</v>
      </c>
      <c r="X61" s="137"/>
      <c r="Y61" s="316" t="s">
        <v>156</v>
      </c>
      <c r="Z61" s="960"/>
      <c r="AA61" s="961"/>
      <c r="AB61" s="962"/>
      <c r="AC61" s="137"/>
      <c r="AD61" s="960"/>
      <c r="AE61" s="961"/>
      <c r="AF61" s="732"/>
      <c r="AG61" s="137"/>
      <c r="AH61" s="137"/>
      <c r="AI61" s="137"/>
      <c r="AJ61" s="137"/>
      <c r="AK61" s="137"/>
      <c r="AL61" s="137">
        <v>65</v>
      </c>
      <c r="AM61" s="137">
        <v>40</v>
      </c>
      <c r="AN61" s="30">
        <f t="shared" si="20"/>
        <v>3</v>
      </c>
      <c r="AO61" s="312">
        <f t="shared" si="21"/>
        <v>1</v>
      </c>
      <c r="AP61" s="291">
        <f t="shared" si="22"/>
        <v>1</v>
      </c>
      <c r="AQ61" s="31">
        <f t="shared" si="23"/>
        <v>1</v>
      </c>
      <c r="AR61" s="4" t="e">
        <f>COUNTIF(V61:W61,"=  ")+COUNTIF(X61:AH61,"=  ")+COUNTIF(AJ61,"=  ")+COUNTIF(AL61,"=  ")+COUNTIF(#REF!,"=  ")+COUNTIF(#REF!,"=  ")+COUNTIF(#REF!,"=  ")</f>
        <v>#REF!</v>
      </c>
      <c r="AS61" s="101" t="e">
        <f>COUNTIF(Y61,"=  ")+COUNTIF(AI61,"=  ")+COUNTIF(AK61,"=  ")+COUNTIF(AM61,"=  ")+COUNTIF(AC61,"=  ")+COUNTIF(#REF!,"=  ")</f>
        <v>#REF!</v>
      </c>
    </row>
    <row r="62" spans="1:45" x14ac:dyDescent="0.2">
      <c r="A62" s="47">
        <v>37</v>
      </c>
      <c r="B62" s="141">
        <f t="shared" si="13"/>
        <v>37</v>
      </c>
      <c r="C62" s="139">
        <f t="shared" si="14"/>
        <v>10276</v>
      </c>
      <c r="D62" s="49" t="s">
        <v>151</v>
      </c>
      <c r="E62" s="141" t="str">
        <f t="shared" si="15"/>
        <v/>
      </c>
      <c r="F62" s="138">
        <f t="shared" si="16"/>
        <v>0</v>
      </c>
      <c r="G62" s="383" t="s">
        <v>151</v>
      </c>
      <c r="H62" s="141" t="str">
        <f t="shared" si="17"/>
        <v/>
      </c>
      <c r="I62" s="221">
        <f t="shared" si="18"/>
        <v>0</v>
      </c>
      <c r="J62" s="71">
        <f t="shared" si="19"/>
        <v>54</v>
      </c>
      <c r="K62" s="70">
        <v>54</v>
      </c>
      <c r="L62" s="263" t="s">
        <v>176</v>
      </c>
      <c r="M62" s="70">
        <v>276</v>
      </c>
      <c r="N62" s="141">
        <f t="array" ref="N62">(IF(COUNT(V62,X62,AG62,AI62,AK62,AM62)&lt;5,SUM(V62,X62,AG62,AI62,AK62,AM62),SUM(LARGE((V62,X62,AG62,AI62,AK62,AM62),{1;2;3;4;5}))))+(IF(COUNT(W62,Y62,AC62,AH62,AJ62,AL62)&lt;5,SUM(W62,Y62,AC62,AH62,AJ62,AL62),SUM(LARGE((W62,Y62,AC62,AH62,AJ62,AL62),{1;2;3;4;5}))))+U62</f>
        <v>276</v>
      </c>
      <c r="O62" s="796">
        <v>0</v>
      </c>
      <c r="P62" s="132">
        <f t="array" ref="P62">IF(S62="n",((IF(COUNT(V62,X62,AG62,AI62,AK62,AM62)&lt;5,SUM(V62,X62,AG62,AI62,AK62,AM62),SUM(LARGE((V62,X62,AG62,AI62,AK62,AM62),{1;2;3;4;5}))))+(IF(COUNT(W62,AA62,AE62,AH62,AJ62,AL62)&lt;5,SUM(W62,AA62,AE62,AH62,AJ62,AL62),SUM(LARGE((W62,AA62,AE62,AH62,AJ62,AL62),{1;2;3;4;5}))))+U62),0)</f>
        <v>0</v>
      </c>
      <c r="Q62" s="797">
        <v>0</v>
      </c>
      <c r="R62" s="132">
        <f t="array" ref="R62">IF(T62="j",((IF(COUNT(V62,X62,AG62,AI62,AK62,AM62)&lt;5,SUM(V62,X62,AG62,AI62,AK62,AM62),SUM(LARGE((V62,X62,AG62,AI62,AK62,AM62),{1;2;3;4;5}))))+(IF(COUNT(W62,AB62,AC62,AH62,AJ62,AL62)&lt;5,SUM(W62,AB62,AC62,AH62,AJ62,AL62),SUM(LARGE((W62,AB62,AC62,AH62,AJ62,AL62),{1;2;3;4;5}))))+U62),0)</f>
        <v>0</v>
      </c>
      <c r="S62" s="676"/>
      <c r="T62" s="676"/>
      <c r="U62" s="915">
        <v>1</v>
      </c>
      <c r="V62" s="316" t="s">
        <v>156</v>
      </c>
      <c r="W62" s="316" t="s">
        <v>156</v>
      </c>
      <c r="X62" s="137"/>
      <c r="Y62" s="315">
        <v>104</v>
      </c>
      <c r="Z62" s="960">
        <v>104</v>
      </c>
      <c r="AA62" s="961"/>
      <c r="AB62" s="962"/>
      <c r="AC62" s="315">
        <v>74</v>
      </c>
      <c r="AD62" s="960">
        <v>74</v>
      </c>
      <c r="AE62" s="961"/>
      <c r="AF62" s="732"/>
      <c r="AG62" s="137">
        <v>97</v>
      </c>
      <c r="AH62" s="137"/>
      <c r="AI62" s="137"/>
      <c r="AJ62" s="137"/>
      <c r="AK62" s="137"/>
      <c r="AL62" s="137"/>
      <c r="AM62" s="137"/>
      <c r="AN62" s="30">
        <f t="shared" si="20"/>
        <v>3</v>
      </c>
      <c r="AO62" s="312">
        <f t="shared" si="21"/>
        <v>1</v>
      </c>
      <c r="AP62" s="291">
        <f t="shared" si="22"/>
        <v>0</v>
      </c>
      <c r="AQ62" s="31">
        <f t="shared" si="23"/>
        <v>0</v>
      </c>
      <c r="AR62" s="4" t="e">
        <f>COUNTIF(V62:W62,"=  ")+COUNTIF(X62:AH62,"=  ")+COUNTIF(AJ62,"=  ")+COUNTIF(AL62,"=  ")+COUNTIF(#REF!,"=  ")+COUNTIF(#REF!,"=  ")+COUNTIF(#REF!,"=  ")</f>
        <v>#REF!</v>
      </c>
      <c r="AS62" s="101" t="e">
        <f>COUNTIF(Y62,"=  ")+COUNTIF(AI62,"=  ")+COUNTIF(AK62,"=  ")+COUNTIF(AM62,"=  ")+COUNTIF(AC62,"=  ")+COUNTIF(#REF!,"=  ")</f>
        <v>#REF!</v>
      </c>
    </row>
    <row r="63" spans="1:45" x14ac:dyDescent="0.2">
      <c r="A63" s="47">
        <v>38</v>
      </c>
      <c r="B63" s="141">
        <f t="shared" si="13"/>
        <v>38</v>
      </c>
      <c r="C63" s="139">
        <f t="shared" si="14"/>
        <v>10272</v>
      </c>
      <c r="D63" s="49" t="s">
        <v>151</v>
      </c>
      <c r="E63" s="141" t="str">
        <f t="shared" si="15"/>
        <v/>
      </c>
      <c r="F63" s="138">
        <f t="shared" si="16"/>
        <v>0</v>
      </c>
      <c r="G63" s="383" t="s">
        <v>151</v>
      </c>
      <c r="H63" s="141" t="str">
        <f t="shared" si="17"/>
        <v/>
      </c>
      <c r="I63" s="221">
        <f t="shared" si="18"/>
        <v>0</v>
      </c>
      <c r="J63" s="71">
        <f t="shared" si="19"/>
        <v>55</v>
      </c>
      <c r="K63" s="70">
        <v>55</v>
      </c>
      <c r="L63" s="211" t="s">
        <v>163</v>
      </c>
      <c r="M63" s="70">
        <v>272</v>
      </c>
      <c r="N63" s="141">
        <f t="array" ref="N63">(IF(COUNT(V63,X63,AG63,AI63,AK63,AM63)&lt;5,SUM(V63,X63,AG63,AI63,AK63,AM63),SUM(LARGE((V63,X63,AG63,AI63,AK63,AM63),{1;2;3;4;5}))))+(IF(COUNT(W63,Y63,AC63,AH63,AJ63,AL63)&lt;5,SUM(W63,Y63,AC63,AH63,AJ63,AL63),SUM(LARGE((W63,Y63,AC63,AH63,AJ63,AL63),{1;2;3;4;5}))))+U63</f>
        <v>272</v>
      </c>
      <c r="O63" s="796">
        <v>0</v>
      </c>
      <c r="P63" s="132">
        <f t="array" ref="P63">IF(S63="n",((IF(COUNT(V63,X63,AG63,AI63,AK63,AM63)&lt;5,SUM(V63,X63,AG63,AI63,AK63,AM63),SUM(LARGE((V63,X63,AG63,AI63,AK63,AM63),{1;2;3;4;5}))))+(IF(COUNT(W63,AA63,AE63,AH63,AJ63,AL63)&lt;5,SUM(W63,AA63,AE63,AH63,AJ63,AL63),SUM(LARGE((W63,AA63,AE63,AH63,AJ63,AL63),{1;2;3;4;5}))))+U63),0)</f>
        <v>0</v>
      </c>
      <c r="Q63" s="797">
        <v>0</v>
      </c>
      <c r="R63" s="132">
        <f t="array" ref="R63">IF(T63="j",((IF(COUNT(V63,X63,AG63,AI63,AK63,AM63)&lt;5,SUM(V63,X63,AG63,AI63,AK63,AM63),SUM(LARGE((V63,X63,AG63,AI63,AK63,AM63),{1;2;3;4;5}))))+(IF(COUNT(W63,AB63,AC63,AH63,AJ63,AL63)&lt;5,SUM(W63,AB63,AC63,AH63,AJ63,AL63),SUM(LARGE((W63,AB63,AC63,AH63,AJ63,AL63),{1;2;3;4;5}))))+U63),0)</f>
        <v>0</v>
      </c>
      <c r="S63" s="676"/>
      <c r="T63" s="676"/>
      <c r="U63" s="915">
        <v>1</v>
      </c>
      <c r="V63" s="316" t="s">
        <v>156</v>
      </c>
      <c r="W63" s="316" t="s">
        <v>156</v>
      </c>
      <c r="X63" s="137"/>
      <c r="Y63" s="315">
        <v>60</v>
      </c>
      <c r="Z63" s="960">
        <v>60</v>
      </c>
      <c r="AA63" s="961"/>
      <c r="AB63" s="962"/>
      <c r="AC63" s="315">
        <v>78</v>
      </c>
      <c r="AD63" s="960">
        <v>78</v>
      </c>
      <c r="AE63" s="961"/>
      <c r="AF63" s="732"/>
      <c r="AG63" s="137">
        <v>37</v>
      </c>
      <c r="AH63" s="137">
        <v>96</v>
      </c>
      <c r="AI63" s="137"/>
      <c r="AJ63" s="137"/>
      <c r="AK63" s="137"/>
      <c r="AL63" s="137"/>
      <c r="AM63" s="137"/>
      <c r="AN63" s="30">
        <f t="shared" si="20"/>
        <v>4</v>
      </c>
      <c r="AO63" s="312">
        <f t="shared" si="21"/>
        <v>0</v>
      </c>
      <c r="AP63" s="291">
        <f t="shared" si="22"/>
        <v>0</v>
      </c>
      <c r="AQ63" s="31">
        <f t="shared" si="23"/>
        <v>0</v>
      </c>
      <c r="AR63" s="4" t="e">
        <f>COUNTIF(V63:W63,"=  ")+COUNTIF(X63:AH63,"=  ")+COUNTIF(AJ63,"=  ")+COUNTIF(AL63,"=  ")+COUNTIF(#REF!,"=  ")+COUNTIF(#REF!,"=  ")+COUNTIF(#REF!,"=  ")</f>
        <v>#REF!</v>
      </c>
      <c r="AS63" s="101" t="e">
        <f>COUNTIF(Y63,"=  ")+COUNTIF(AI63,"=  ")+COUNTIF(AK63,"=  ")+COUNTIF(AM63,"=  ")+COUNTIF(AC63,"=  ")+COUNTIF(#REF!,"=  ")</f>
        <v>#REF!</v>
      </c>
    </row>
    <row r="64" spans="1:45" x14ac:dyDescent="0.2">
      <c r="A64" s="47" t="s">
        <v>151</v>
      </c>
      <c r="B64" s="141" t="str">
        <f t="shared" si="13"/>
        <v/>
      </c>
      <c r="C64" s="139">
        <f t="shared" si="14"/>
        <v>0</v>
      </c>
      <c r="D64" s="49">
        <v>19</v>
      </c>
      <c r="E64" s="141">
        <f t="shared" si="15"/>
        <v>19</v>
      </c>
      <c r="F64" s="138">
        <f t="shared" si="16"/>
        <v>10248</v>
      </c>
      <c r="G64" s="383" t="s">
        <v>151</v>
      </c>
      <c r="H64" s="141" t="str">
        <f t="shared" si="17"/>
        <v/>
      </c>
      <c r="I64" s="221">
        <f t="shared" si="18"/>
        <v>0</v>
      </c>
      <c r="J64" s="71">
        <f t="shared" si="19"/>
        <v>56</v>
      </c>
      <c r="K64" s="70">
        <v>56</v>
      </c>
      <c r="L64" s="51" t="s">
        <v>61</v>
      </c>
      <c r="M64" s="70">
        <v>248</v>
      </c>
      <c r="N64" s="141">
        <f t="array" ref="N64">(IF(COUNT(V64,X64,AG64,AI64,AK64,AM64)&lt;5,SUM(V64,X64,AG64,AI64,AK64,AM64),SUM(LARGE((V64,X64,AG64,AI64,AK64,AM64),{1;2;3;4;5}))))+(IF(COUNT(W64,Y64,AC64,AH64,AJ64,AL64)&lt;5,SUM(W64,Y64,AC64,AH64,AJ64,AL64),SUM(LARGE((W64,Y64,AC64,AH64,AJ64,AL64),{1;2;3;4;5}))))+U64</f>
        <v>248</v>
      </c>
      <c r="O64" s="796">
        <v>248</v>
      </c>
      <c r="P64" s="132">
        <f t="array" ref="P64">IF(S64="n",((IF(COUNT(V64,X64,AG64,AI64,AK64,AM64)&lt;5,SUM(V64,X64,AG64,AI64,AK64,AM64),SUM(LARGE((V64,X64,AG64,AI64,AK64,AM64),{1;2;3;4;5}))))+(IF(COUNT(W64,AA64,AE64,AH64,AJ64,AL64)&lt;5,SUM(W64,AA64,AE64,AH64,AJ64,AL64),SUM(LARGE((W64,AA64,AE64,AH64,AJ64,AL64),{1;2;3;4;5}))))+U64),0)</f>
        <v>248</v>
      </c>
      <c r="Q64" s="797">
        <v>0</v>
      </c>
      <c r="R64" s="132">
        <f t="array" ref="R64">IF(T64="j",((IF(COUNT(V64,X64,AG64,AI64,AK64,AM64)&lt;5,SUM(V64,X64,AG64,AI64,AK64,AM64),SUM(LARGE((V64,X64,AG64,AI64,AK64,AM64),{1;2;3;4;5}))))+(IF(COUNT(W64,AB64,AC64,AH64,AJ64,AL64)&lt;5,SUM(W64,AB64,AC64,AH64,AJ64,AL64),SUM(LARGE((W64,AB64,AC64,AH64,AJ64,AL64),{1;2;3;4;5}))))+U64),0)</f>
        <v>0</v>
      </c>
      <c r="S64" s="676" t="s">
        <v>33</v>
      </c>
      <c r="T64" s="676"/>
      <c r="U64" s="915">
        <v>90</v>
      </c>
      <c r="V64" s="316" t="s">
        <v>156</v>
      </c>
      <c r="W64" s="316" t="s">
        <v>156</v>
      </c>
      <c r="X64" s="137"/>
      <c r="Y64" s="137"/>
      <c r="Z64" s="960"/>
      <c r="AA64" s="961"/>
      <c r="AB64" s="962"/>
      <c r="AC64" s="137"/>
      <c r="AD64" s="960"/>
      <c r="AE64" s="961"/>
      <c r="AF64" s="732"/>
      <c r="AG64" s="137"/>
      <c r="AH64" s="137"/>
      <c r="AI64" s="281"/>
      <c r="AJ64" s="137"/>
      <c r="AK64" s="137"/>
      <c r="AL64" s="137">
        <v>74</v>
      </c>
      <c r="AM64" s="137">
        <v>84</v>
      </c>
      <c r="AN64" s="30">
        <f t="shared" si="20"/>
        <v>2</v>
      </c>
      <c r="AO64" s="312">
        <f t="shared" si="21"/>
        <v>0</v>
      </c>
      <c r="AP64" s="291">
        <f t="shared" si="22"/>
        <v>0</v>
      </c>
      <c r="AQ64" s="31">
        <f t="shared" si="23"/>
        <v>0</v>
      </c>
      <c r="AR64" s="4" t="e">
        <f>COUNTIF(V64:W64,"=  ")+COUNTIF(X64:AH64,"=  ")+COUNTIF(AJ64,"=  ")+COUNTIF(AL64,"=  ")+COUNTIF(#REF!,"=  ")+COUNTIF(#REF!,"=  ")+COUNTIF(#REF!,"=  ")</f>
        <v>#REF!</v>
      </c>
      <c r="AS64" s="101" t="e">
        <f>COUNTIF(Y64,"=  ")+COUNTIF(AI64,"=  ")+COUNTIF(AK64,"=  ")+COUNTIF(AM64,"=  ")+COUNTIF(AC64,"=  ")+COUNTIF(#REF!,"=  ")</f>
        <v>#REF!</v>
      </c>
    </row>
    <row r="65" spans="1:45" x14ac:dyDescent="0.2">
      <c r="A65" s="48">
        <v>39</v>
      </c>
      <c r="B65" s="141">
        <f t="shared" si="13"/>
        <v>39</v>
      </c>
      <c r="C65" s="139">
        <f t="shared" si="14"/>
        <v>10248</v>
      </c>
      <c r="D65" s="49" t="s">
        <v>151</v>
      </c>
      <c r="E65" s="141" t="str">
        <f t="shared" si="15"/>
        <v/>
      </c>
      <c r="F65" s="138">
        <f t="shared" si="16"/>
        <v>0</v>
      </c>
      <c r="G65" s="383" t="s">
        <v>151</v>
      </c>
      <c r="H65" s="141" t="str">
        <f t="shared" si="17"/>
        <v/>
      </c>
      <c r="I65" s="221">
        <f t="shared" si="18"/>
        <v>0</v>
      </c>
      <c r="J65" s="71">
        <f t="shared" si="19"/>
        <v>56</v>
      </c>
      <c r="K65" s="70">
        <v>57</v>
      </c>
      <c r="L65" s="263" t="s">
        <v>49</v>
      </c>
      <c r="M65" s="70">
        <v>248</v>
      </c>
      <c r="N65" s="141">
        <f t="array" ref="N65">(IF(COUNT(V65,X65,AG65,AI65,AK65,AM65)&lt;5,SUM(V65,X65,AG65,AI65,AK65,AM65),SUM(LARGE((V65,X65,AG65,AI65,AK65,AM65),{1;2;3;4;5}))))+(IF(COUNT(W65,Y65,AC65,AH65,AJ65,AL65)&lt;5,SUM(W65,Y65,AC65,AH65,AJ65,AL65),SUM(LARGE((W65,Y65,AC65,AH65,AJ65,AL65),{1;2;3;4;5}))))+U65</f>
        <v>248</v>
      </c>
      <c r="O65" s="796">
        <v>0</v>
      </c>
      <c r="P65" s="132">
        <f t="array" ref="P65">IF(S65="n",((IF(COUNT(V65,X65,AG65,AI65,AK65,AM65)&lt;5,SUM(V65,X65,AG65,AI65,AK65,AM65),SUM(LARGE((V65,X65,AG65,AI65,AK65,AM65),{1;2;3;4;5}))))+(IF(COUNT(W65,AA65,AE65,AH65,AJ65,AL65)&lt;5,SUM(W65,AA65,AE65,AH65,AJ65,AL65),SUM(LARGE((W65,AA65,AE65,AH65,AJ65,AL65),{1;2;3;4;5}))))+U65),0)</f>
        <v>0</v>
      </c>
      <c r="Q65" s="797">
        <v>0</v>
      </c>
      <c r="R65" s="132">
        <f t="array" ref="R65">IF(T65="j",((IF(COUNT(V65,X65,AG65,AI65,AK65,AM65)&lt;5,SUM(V65,X65,AG65,AI65,AK65,AM65),SUM(LARGE((V65,X65,AG65,AI65,AK65,AM65),{1;2;3;4;5}))))+(IF(COUNT(W65,AB65,AC65,AH65,AJ65,AL65)&lt;5,SUM(W65,AB65,AC65,AH65,AJ65,AL65),SUM(LARGE((W65,AB65,AC65,AH65,AJ65,AL65),{1;2;3;4;5}))))+U65),0)</f>
        <v>0</v>
      </c>
      <c r="S65" s="676"/>
      <c r="T65" s="676"/>
      <c r="U65" s="915">
        <v>1</v>
      </c>
      <c r="V65" s="315">
        <v>84</v>
      </c>
      <c r="W65" s="316" t="s">
        <v>156</v>
      </c>
      <c r="X65" s="316" t="s">
        <v>156</v>
      </c>
      <c r="Y65" s="137"/>
      <c r="Z65" s="960"/>
      <c r="AA65" s="961"/>
      <c r="AB65" s="962"/>
      <c r="AC65" s="137"/>
      <c r="AD65" s="960"/>
      <c r="AE65" s="961"/>
      <c r="AF65" s="732"/>
      <c r="AG65" s="137"/>
      <c r="AH65" s="137"/>
      <c r="AI65" s="137"/>
      <c r="AJ65" s="137"/>
      <c r="AK65" s="137">
        <v>84</v>
      </c>
      <c r="AL65" s="137"/>
      <c r="AM65" s="137">
        <v>79</v>
      </c>
      <c r="AN65" s="30">
        <f t="shared" si="20"/>
        <v>3</v>
      </c>
      <c r="AO65" s="312">
        <f t="shared" si="21"/>
        <v>0</v>
      </c>
      <c r="AP65" s="291">
        <f t="shared" si="22"/>
        <v>0</v>
      </c>
      <c r="AQ65" s="31">
        <f t="shared" si="23"/>
        <v>0</v>
      </c>
      <c r="AR65" s="4" t="e">
        <f>COUNTIF(V65:W65,"=  ")+COUNTIF(X65:AH65,"=  ")+COUNTIF(AJ65,"=  ")+COUNTIF(AL65,"=  ")+COUNTIF(#REF!,"=  ")+COUNTIF(#REF!,"=  ")+COUNTIF(#REF!,"=  ")</f>
        <v>#REF!</v>
      </c>
      <c r="AS65" s="101" t="e">
        <f>COUNTIF(Y65,"=  ")+COUNTIF(AI65,"=  ")+COUNTIF(AK65,"=  ")+COUNTIF(AM65,"=  ")+COUNTIF(AC65,"=  ")+COUNTIF(#REF!,"=  ")</f>
        <v>#REF!</v>
      </c>
    </row>
    <row r="66" spans="1:45" x14ac:dyDescent="0.2">
      <c r="A66" s="47" t="s">
        <v>151</v>
      </c>
      <c r="B66" s="141" t="str">
        <f t="shared" si="13"/>
        <v/>
      </c>
      <c r="C66" s="139">
        <f t="shared" si="14"/>
        <v>0</v>
      </c>
      <c r="D66" s="49">
        <v>14</v>
      </c>
      <c r="E66" s="141">
        <f t="shared" si="15"/>
        <v>14</v>
      </c>
      <c r="F66" s="138">
        <f t="shared" si="16"/>
        <v>10366</v>
      </c>
      <c r="G66" s="383" t="s">
        <v>151</v>
      </c>
      <c r="H66" s="141" t="str">
        <f t="shared" si="17"/>
        <v/>
      </c>
      <c r="I66" s="221">
        <f t="shared" si="18"/>
        <v>0</v>
      </c>
      <c r="J66" s="71">
        <f t="shared" si="19"/>
        <v>58</v>
      </c>
      <c r="K66" s="70">
        <v>58</v>
      </c>
      <c r="L66" s="51" t="s">
        <v>50</v>
      </c>
      <c r="M66" s="70">
        <v>240</v>
      </c>
      <c r="N66" s="141">
        <f t="array" ref="N66">(IF(COUNT(V66,X66,AG66,AI66,AK66,AM66)&lt;5,SUM(V66,X66,AG66,AI66,AK66,AM66),SUM(LARGE((V66,X66,AG66,AI66,AK66,AM66),{1;2;3;4;5}))))+(IF(COUNT(W66,Y66,AC66,AH66,AJ66,AL66)&lt;5,SUM(W66,Y66,AC66,AH66,AJ66,AL66),SUM(LARGE((W66,Y66,AC66,AH66,AJ66,AL66),{1;2;3;4;5}))))+U66</f>
        <v>240</v>
      </c>
      <c r="O66" s="796">
        <v>366</v>
      </c>
      <c r="P66" s="132">
        <f t="array" ref="P66">IF(S66="n",((IF(COUNT(V66,X66,AG66,AI66,AK66,AM66)&lt;5,SUM(V66,X66,AG66,AI66,AK66,AM66),SUM(LARGE((V66,X66,AG66,AI66,AK66,AM66),{1;2;3;4;5}))))+(IF(COUNT(W66,AA66,AE66,AH66,AJ66,AL66)&lt;5,SUM(W66,AA66,AE66,AH66,AJ66,AL66),SUM(LARGE((W66,AA66,AE66,AH66,AJ66,AL66),{1;2;3;4;5}))))+U66),0)</f>
        <v>366</v>
      </c>
      <c r="Q66" s="797">
        <v>0</v>
      </c>
      <c r="R66" s="132">
        <f t="array" ref="R66">IF(T66="j",((IF(COUNT(V66,X66,AG66,AI66,AK66,AM66)&lt;5,SUM(V66,X66,AG66,AI66,AK66,AM66),SUM(LARGE((V66,X66,AG66,AI66,AK66,AM66),{1;2;3;4;5}))))+(IF(COUNT(W66,AB66,AC66,AH66,AJ66,AL66)&lt;5,SUM(W66,AB66,AC66,AH66,AJ66,AL66),SUM(LARGE((W66,AB66,AC66,AH66,AJ66,AL66),{1;2;3;4;5}))))+U66),0)</f>
        <v>0</v>
      </c>
      <c r="S66" s="676" t="s">
        <v>33</v>
      </c>
      <c r="T66" s="676"/>
      <c r="U66" s="915">
        <v>1</v>
      </c>
      <c r="V66" s="316" t="s">
        <v>156</v>
      </c>
      <c r="W66" s="315">
        <v>65</v>
      </c>
      <c r="X66" s="315">
        <v>46</v>
      </c>
      <c r="Y66" s="315">
        <v>35</v>
      </c>
      <c r="Z66" s="960"/>
      <c r="AA66" s="961">
        <v>96</v>
      </c>
      <c r="AB66" s="962"/>
      <c r="AC66" s="315">
        <v>93</v>
      </c>
      <c r="AD66" s="960"/>
      <c r="AE66" s="966">
        <v>158</v>
      </c>
      <c r="AF66" s="732"/>
      <c r="AG66" s="137"/>
      <c r="AH66" s="316" t="s">
        <v>156</v>
      </c>
      <c r="AI66" s="137"/>
      <c r="AJ66" s="137"/>
      <c r="AK66" s="137"/>
      <c r="AL66" s="137"/>
      <c r="AM66" s="137"/>
      <c r="AN66" s="30">
        <f t="shared" si="20"/>
        <v>4</v>
      </c>
      <c r="AO66" s="312">
        <f t="shared" si="21"/>
        <v>1</v>
      </c>
      <c r="AP66" s="291">
        <f t="shared" si="22"/>
        <v>0</v>
      </c>
      <c r="AQ66" s="31">
        <f t="shared" si="23"/>
        <v>0</v>
      </c>
      <c r="AR66" s="4" t="e">
        <f>COUNTIF(V66:W66,"=  ")+COUNTIF(X66:AH66,"=  ")+COUNTIF(AJ66,"=  ")+COUNTIF(AL66,"=  ")+COUNTIF(#REF!,"=  ")+COUNTIF(#REF!,"=  ")+COUNTIF(#REF!,"=  ")</f>
        <v>#REF!</v>
      </c>
      <c r="AS66" s="101" t="e">
        <f>COUNTIF(Y66,"=  ")+COUNTIF(AI66,"=  ")+COUNTIF(AK66,"=  ")+COUNTIF(AM66,"=  ")+COUNTIF(AC66,"=  ")+COUNTIF(#REF!,"=  ")</f>
        <v>#REF!</v>
      </c>
    </row>
    <row r="67" spans="1:45" x14ac:dyDescent="0.2">
      <c r="A67" s="47">
        <v>40</v>
      </c>
      <c r="B67" s="141">
        <f t="shared" si="13"/>
        <v>40</v>
      </c>
      <c r="C67" s="139">
        <f t="shared" si="14"/>
        <v>10236</v>
      </c>
      <c r="D67" s="49" t="s">
        <v>151</v>
      </c>
      <c r="E67" s="141" t="str">
        <f t="shared" si="15"/>
        <v/>
      </c>
      <c r="F67" s="138">
        <f t="shared" si="16"/>
        <v>0</v>
      </c>
      <c r="G67" s="383">
        <v>4</v>
      </c>
      <c r="H67" s="141">
        <f t="shared" si="17"/>
        <v>4</v>
      </c>
      <c r="I67" s="221">
        <f t="shared" si="18"/>
        <v>10236</v>
      </c>
      <c r="J67" s="71">
        <f t="shared" si="19"/>
        <v>59</v>
      </c>
      <c r="K67" s="70">
        <v>59</v>
      </c>
      <c r="L67" s="296" t="s">
        <v>152</v>
      </c>
      <c r="M67" s="70">
        <v>236</v>
      </c>
      <c r="N67" s="141">
        <f t="array" ref="N67">(IF(COUNT(V67,X67,AG67,AI67,AK67,AM67)&lt;5,SUM(V67,X67,AG67,AI67,AK67,AM67),SUM(LARGE((V67,X67,AG67,AI67,AK67,AM67),{1;2;3;4;5}))))+(IF(COUNT(W67,Y67,AC67,AH67,AJ67,AL67)&lt;5,SUM(W67,Y67,AC67,AH67,AJ67,AL67),SUM(LARGE((W67,Y67,AC67,AH67,AJ67,AL67),{1;2;3;4;5}))))+U67</f>
        <v>236</v>
      </c>
      <c r="O67" s="796">
        <v>0</v>
      </c>
      <c r="P67" s="132">
        <f t="array" ref="P67">IF(S67="n",((IF(COUNT(V67,X67,AG67,AI67,AK67,AM67)&lt;5,SUM(V67,X67,AG67,AI67,AK67,AM67),SUM(LARGE((V67,X67,AG67,AI67,AK67,AM67),{1;2;3;4;5}))))+(IF(COUNT(W67,AA67,AE67,AH67,AJ67,AL67)&lt;5,SUM(W67,AA67,AE67,AH67,AJ67,AL67),SUM(LARGE((W67,AA67,AE67,AH67,AJ67,AL67),{1;2;3;4;5}))))+U67),0)</f>
        <v>0</v>
      </c>
      <c r="Q67" s="797">
        <v>236</v>
      </c>
      <c r="R67" s="132">
        <f t="array" ref="R67">IF(T67="j",((IF(COUNT(V67,X67,AG67,AI67,AK67,AM67)&lt;5,SUM(V67,X67,AG67,AI67,AK67,AM67),SUM(LARGE((V67,X67,AG67,AI67,AK67,AM67),{1;2;3;4;5}))))+(IF(COUNT(W67,AB67,AC67,AH67,AJ67,AL67)&lt;5,SUM(W67,AB67,AC67,AH67,AJ67,AL67),SUM(LARGE((W67,AB67,AC67,AH67,AJ67,AL67),{1;2;3;4;5}))))+U67),0)</f>
        <v>236</v>
      </c>
      <c r="S67" s="676"/>
      <c r="T67" s="676" t="s">
        <v>46</v>
      </c>
      <c r="U67" s="915">
        <v>1</v>
      </c>
      <c r="V67" s="316" t="s">
        <v>156</v>
      </c>
      <c r="W67" s="316" t="s">
        <v>156</v>
      </c>
      <c r="X67" s="137"/>
      <c r="Y67" s="137"/>
      <c r="Z67" s="960"/>
      <c r="AA67" s="961"/>
      <c r="AB67" s="962"/>
      <c r="AC67" s="137"/>
      <c r="AD67" s="960"/>
      <c r="AE67" s="961"/>
      <c r="AF67" s="732"/>
      <c r="AG67" s="137"/>
      <c r="AH67" s="137">
        <v>60</v>
      </c>
      <c r="AI67" s="137">
        <v>97</v>
      </c>
      <c r="AJ67" s="137"/>
      <c r="AK67" s="137"/>
      <c r="AL67" s="137">
        <v>78</v>
      </c>
      <c r="AM67" s="137"/>
      <c r="AN67" s="30">
        <f t="shared" si="20"/>
        <v>3</v>
      </c>
      <c r="AO67" s="312">
        <f t="shared" si="21"/>
        <v>1</v>
      </c>
      <c r="AP67" s="291">
        <f t="shared" si="22"/>
        <v>0</v>
      </c>
      <c r="AQ67" s="31">
        <f t="shared" si="23"/>
        <v>0</v>
      </c>
      <c r="AR67" s="4" t="e">
        <f>COUNTIF(V67:W67,"=  ")+COUNTIF(X67:AH67,"=  ")+COUNTIF(AJ67,"=  ")+COUNTIF(AL67,"=  ")+COUNTIF(#REF!,"=  ")+COUNTIF(#REF!,"=  ")+COUNTIF(#REF!,"=  ")</f>
        <v>#REF!</v>
      </c>
      <c r="AS67" s="101" t="e">
        <f>COUNTIF(Y67,"=  ")+COUNTIF(AI67,"=  ")+COUNTIF(AK67,"=  ")+COUNTIF(AM67,"=  ")+COUNTIF(AC67,"=  ")+COUNTIF(#REF!,"=  ")</f>
        <v>#REF!</v>
      </c>
    </row>
    <row r="68" spans="1:45" x14ac:dyDescent="0.2">
      <c r="A68" s="47">
        <v>41</v>
      </c>
      <c r="B68" s="141">
        <f t="shared" si="13"/>
        <v>41</v>
      </c>
      <c r="C68" s="139">
        <f t="shared" si="14"/>
        <v>10228</v>
      </c>
      <c r="D68" s="49" t="s">
        <v>151</v>
      </c>
      <c r="E68" s="141" t="str">
        <f t="shared" si="15"/>
        <v/>
      </c>
      <c r="F68" s="138">
        <f t="shared" si="16"/>
        <v>0</v>
      </c>
      <c r="G68" s="383" t="s">
        <v>151</v>
      </c>
      <c r="H68" s="141" t="str">
        <f t="shared" si="17"/>
        <v/>
      </c>
      <c r="I68" s="221">
        <f t="shared" si="18"/>
        <v>0</v>
      </c>
      <c r="J68" s="71">
        <f t="shared" si="19"/>
        <v>60</v>
      </c>
      <c r="K68" s="70">
        <v>60</v>
      </c>
      <c r="L68" s="211" t="s">
        <v>57</v>
      </c>
      <c r="M68" s="70">
        <v>228</v>
      </c>
      <c r="N68" s="141">
        <f t="array" ref="N68">(IF(COUNT(V68,X68,AG68,AI68,AK68,AM68)&lt;5,SUM(V68,X68,AG68,AI68,AK68,AM68),SUM(LARGE((V68,X68,AG68,AI68,AK68,AM68),{1;2;3;4;5}))))+(IF(COUNT(W68,Y68,AC68,AH68,AJ68,AL68)&lt;5,SUM(W68,Y68,AC68,AH68,AJ68,AL68),SUM(LARGE((W68,Y68,AC68,AH68,AJ68,AL68),{1;2;3;4;5}))))+U68</f>
        <v>228</v>
      </c>
      <c r="O68" s="796">
        <v>0</v>
      </c>
      <c r="P68" s="132">
        <f t="array" ref="P68">IF(S68="n",((IF(COUNT(V68,X68,AG68,AI68,AK68,AM68)&lt;5,SUM(V68,X68,AG68,AI68,AK68,AM68),SUM(LARGE((V68,X68,AG68,AI68,AK68,AM68),{1;2;3;4;5}))))+(IF(COUNT(W68,AA68,AE68,AH68,AJ68,AL68)&lt;5,SUM(W68,AA68,AE68,AH68,AJ68,AL68),SUM(LARGE((W68,AA68,AE68,AH68,AJ68,AL68),{1;2;3;4;5}))))+U68),0)</f>
        <v>0</v>
      </c>
      <c r="Q68" s="797">
        <v>0</v>
      </c>
      <c r="R68" s="132">
        <f t="array" ref="R68">IF(T68="j",((IF(COUNT(V68,X68,AG68,AI68,AK68,AM68)&lt;5,SUM(V68,X68,AG68,AI68,AK68,AM68),SUM(LARGE((V68,X68,AG68,AI68,AK68,AM68),{1;2;3;4;5}))))+(IF(COUNT(W68,AB68,AC68,AH68,AJ68,AL68)&lt;5,SUM(W68,AB68,AC68,AH68,AJ68,AL68),SUM(LARGE((W68,AB68,AC68,AH68,AJ68,AL68),{1;2;3;4;5}))))+U68),0)</f>
        <v>0</v>
      </c>
      <c r="S68" s="676"/>
      <c r="T68" s="676"/>
      <c r="U68" s="915">
        <v>1</v>
      </c>
      <c r="V68" s="316" t="s">
        <v>156</v>
      </c>
      <c r="W68" s="315">
        <v>65</v>
      </c>
      <c r="X68" s="315">
        <v>46</v>
      </c>
      <c r="Y68" s="315">
        <v>47</v>
      </c>
      <c r="Z68" s="960">
        <v>47</v>
      </c>
      <c r="AA68" s="961"/>
      <c r="AB68" s="962"/>
      <c r="AC68" s="315">
        <v>69</v>
      </c>
      <c r="AD68" s="960">
        <v>69</v>
      </c>
      <c r="AE68" s="961"/>
      <c r="AF68" s="732"/>
      <c r="AG68" s="137"/>
      <c r="AH68" s="316" t="s">
        <v>156</v>
      </c>
      <c r="AI68" s="137"/>
      <c r="AJ68" s="137"/>
      <c r="AK68" s="137"/>
      <c r="AL68" s="137"/>
      <c r="AM68" s="137"/>
      <c r="AN68" s="30">
        <f t="shared" si="20"/>
        <v>4</v>
      </c>
      <c r="AO68" s="312">
        <f t="shared" si="21"/>
        <v>0</v>
      </c>
      <c r="AP68" s="291">
        <f t="shared" si="22"/>
        <v>0</v>
      </c>
      <c r="AQ68" s="31">
        <f t="shared" si="23"/>
        <v>0</v>
      </c>
      <c r="AR68" s="4" t="e">
        <f>COUNTIF(V68:W68,"=  ")+COUNTIF(X68:AH68,"=  ")+COUNTIF(AJ68,"=  ")+COUNTIF(AL68,"=  ")+COUNTIF(#REF!,"=  ")+COUNTIF(#REF!,"=  ")+COUNTIF(#REF!,"=  ")</f>
        <v>#REF!</v>
      </c>
      <c r="AS68" s="101" t="e">
        <f>COUNTIF(Y68,"=  ")+COUNTIF(AI68,"=  ")+COUNTIF(AK68,"=  ")+COUNTIF(AM68,"=  ")+COUNTIF(AC68,"=  ")+COUNTIF(#REF!,"=  ")</f>
        <v>#REF!</v>
      </c>
    </row>
    <row r="69" spans="1:45" x14ac:dyDescent="0.2">
      <c r="A69" s="47">
        <v>42</v>
      </c>
      <c r="B69" s="141">
        <f t="shared" si="13"/>
        <v>42</v>
      </c>
      <c r="C69" s="139">
        <f t="shared" si="14"/>
        <v>10219</v>
      </c>
      <c r="D69" s="49" t="s">
        <v>151</v>
      </c>
      <c r="E69" s="141" t="str">
        <f t="shared" si="15"/>
        <v/>
      </c>
      <c r="F69" s="138">
        <f t="shared" si="16"/>
        <v>0</v>
      </c>
      <c r="G69" s="383">
        <v>5</v>
      </c>
      <c r="H69" s="141">
        <f t="shared" si="17"/>
        <v>5</v>
      </c>
      <c r="I69" s="221">
        <f t="shared" si="18"/>
        <v>10219</v>
      </c>
      <c r="J69" s="71">
        <f t="shared" si="19"/>
        <v>61</v>
      </c>
      <c r="K69" s="70">
        <v>61</v>
      </c>
      <c r="L69" s="81" t="s">
        <v>344</v>
      </c>
      <c r="M69" s="70">
        <v>219</v>
      </c>
      <c r="N69" s="141">
        <f t="array" ref="N69">(IF(COUNT(V69,X69,AG69,AI69,AK69,AM69)&lt;5,SUM(V69,X69,AG69,AI69,AK69,AM69),SUM(LARGE((V69,X69,AG69,AI69,AK69,AM69),{1;2;3;4;5}))))+(IF(COUNT(W69,Y69,AC69,AH69,AJ69,AL69)&lt;5,SUM(W69,Y69,AC69,AH69,AJ69,AL69),SUM(LARGE((W69,Y69,AC69,AH69,AJ69,AL69),{1;2;3;4;5}))))+U69</f>
        <v>219</v>
      </c>
      <c r="O69" s="796">
        <v>0</v>
      </c>
      <c r="P69" s="132">
        <f t="array" ref="P69">IF(S69="n",((IF(COUNT(V69,X69,AG69,AI69,AK69,AM69)&lt;5,SUM(V69,X69,AG69,AI69,AK69,AM69),SUM(LARGE((V69,X69,AG69,AI69,AK69,AM69),{1;2;3;4;5}))))+(IF(COUNT(W69,AA69,AE69,AH69,AJ69,AL69)&lt;5,SUM(W69,AA69,AE69,AH69,AJ69,AL69),SUM(LARGE((W69,AA69,AE69,AH69,AJ69,AL69),{1;2;3;4;5}))))+U69),0)</f>
        <v>0</v>
      </c>
      <c r="Q69" s="797">
        <v>219</v>
      </c>
      <c r="R69" s="132">
        <f t="array" ref="R69">IF(T69="j",((IF(COUNT(V69,X69,AG69,AI69,AK69,AM69)&lt;5,SUM(V69,X69,AG69,AI69,AK69,AM69),SUM(LARGE((V69,X69,AG69,AI69,AK69,AM69),{1;2;3;4;5}))))+(IF(COUNT(W69,AB69,AC69,AH69,AJ69,AL69)&lt;5,SUM(W69,AB69,AC69,AH69,AJ69,AL69),SUM(LARGE((W69,AB69,AC69,AH69,AJ69,AL69),{1;2;3;4;5}))))+U69),0)</f>
        <v>219</v>
      </c>
      <c r="S69" s="676"/>
      <c r="T69" s="676" t="s">
        <v>46</v>
      </c>
      <c r="U69" s="915">
        <v>1</v>
      </c>
      <c r="V69" s="316" t="s">
        <v>156</v>
      </c>
      <c r="W69" s="316" t="s">
        <v>156</v>
      </c>
      <c r="X69" s="137"/>
      <c r="Y69" s="137"/>
      <c r="Z69" s="960"/>
      <c r="AA69" s="961"/>
      <c r="AB69" s="962"/>
      <c r="AC69" s="137"/>
      <c r="AD69" s="960"/>
      <c r="AE69" s="961"/>
      <c r="AF69" s="732"/>
      <c r="AG69" s="137"/>
      <c r="AH69" s="137"/>
      <c r="AI69" s="137">
        <v>97</v>
      </c>
      <c r="AJ69" s="137"/>
      <c r="AK69" s="137"/>
      <c r="AL69" s="137">
        <v>78</v>
      </c>
      <c r="AM69" s="137">
        <v>43</v>
      </c>
      <c r="AN69" s="30">
        <f t="shared" si="20"/>
        <v>3</v>
      </c>
      <c r="AO69" s="312">
        <f t="shared" si="21"/>
        <v>1</v>
      </c>
      <c r="AP69" s="291">
        <f t="shared" si="22"/>
        <v>0</v>
      </c>
      <c r="AQ69" s="31">
        <f t="shared" si="23"/>
        <v>0</v>
      </c>
      <c r="AR69" s="4" t="e">
        <f>COUNTIF(V69:W69,"=  ")+COUNTIF(X69:AH69,"=  ")+COUNTIF(AJ69,"=  ")+COUNTIF(AL69,"=  ")+COUNTIF(#REF!,"=  ")+COUNTIF(#REF!,"=  ")+COUNTIF(#REF!,"=  ")</f>
        <v>#REF!</v>
      </c>
      <c r="AS69" s="101" t="e">
        <f>COUNTIF(Y69,"=  ")+COUNTIF(AI69,"=  ")+COUNTIF(AK69,"=  ")+COUNTIF(AM69,"=  ")+COUNTIF(AC69,"=  ")+COUNTIF(#REF!,"=  ")</f>
        <v>#REF!</v>
      </c>
    </row>
    <row r="70" spans="1:45" x14ac:dyDescent="0.2">
      <c r="A70" s="47">
        <v>43</v>
      </c>
      <c r="B70" s="141">
        <f t="shared" si="13"/>
        <v>43</v>
      </c>
      <c r="C70" s="139">
        <f t="shared" si="14"/>
        <v>10218</v>
      </c>
      <c r="D70" s="49" t="s">
        <v>151</v>
      </c>
      <c r="E70" s="141" t="str">
        <f t="shared" si="15"/>
        <v/>
      </c>
      <c r="F70" s="138">
        <f t="shared" si="16"/>
        <v>0</v>
      </c>
      <c r="G70" s="383" t="s">
        <v>151</v>
      </c>
      <c r="H70" s="141" t="str">
        <f t="shared" si="17"/>
        <v/>
      </c>
      <c r="I70" s="221">
        <f t="shared" si="18"/>
        <v>0</v>
      </c>
      <c r="J70" s="71">
        <f t="shared" si="19"/>
        <v>62</v>
      </c>
      <c r="K70" s="70">
        <v>62</v>
      </c>
      <c r="L70" s="263" t="s">
        <v>637</v>
      </c>
      <c r="M70" s="70">
        <v>218</v>
      </c>
      <c r="N70" s="141">
        <f t="array" ref="N70">(IF(COUNT(V70,X70,AG70,AI70,AK70,AM70)&lt;5,SUM(V70,X70,AG70,AI70,AK70,AM70),SUM(LARGE((V70,X70,AG70,AI70,AK70,AM70),{1;2;3;4;5}))))+(IF(COUNT(W70,Y70,AC70,AH70,AJ70,AL70)&lt;5,SUM(W70,Y70,AC70,AH70,AJ70,AL70),SUM(LARGE((W70,Y70,AC70,AH70,AJ70,AL70),{1;2;3;4;5}))))+U70</f>
        <v>218</v>
      </c>
      <c r="O70" s="796">
        <v>0</v>
      </c>
      <c r="P70" s="132">
        <f t="array" ref="P70">IF(S70="n",((IF(COUNT(V70,X70,AG70,AI70,AK70,AM70)&lt;5,SUM(V70,X70,AG70,AI70,AK70,AM70),SUM(LARGE((V70,X70,AG70,AI70,AK70,AM70),{1;2;3;4;5}))))+(IF(COUNT(W70,AA70,AE70,AH70,AJ70,AL70)&lt;5,SUM(W70,AA70,AE70,AH70,AJ70,AL70),SUM(LARGE((W70,AA70,AE70,AH70,AJ70,AL70),{1;2;3;4;5}))))+U70),0)</f>
        <v>0</v>
      </c>
      <c r="Q70" s="797">
        <v>0</v>
      </c>
      <c r="R70" s="132">
        <f t="array" ref="R70">IF(T70="j",((IF(COUNT(V70,X70,AG70,AI70,AK70,AM70)&lt;5,SUM(V70,X70,AG70,AI70,AK70,AM70),SUM(LARGE((V70,X70,AG70,AI70,AK70,AM70),{1;2;3;4;5}))))+(IF(COUNT(W70,AB70,AC70,AH70,AJ70,AL70)&lt;5,SUM(W70,AB70,AC70,AH70,AJ70,AL70),SUM(LARGE((W70,AB70,AC70,AH70,AJ70,AL70),{1;2;3;4;5}))))+U70),0)</f>
        <v>0</v>
      </c>
      <c r="S70" s="676"/>
      <c r="T70" s="676"/>
      <c r="U70" s="915"/>
      <c r="V70" s="316" t="s">
        <v>156</v>
      </c>
      <c r="W70" s="315">
        <v>74</v>
      </c>
      <c r="X70" s="315">
        <v>97</v>
      </c>
      <c r="Y70" s="316" t="s">
        <v>156</v>
      </c>
      <c r="Z70" s="960"/>
      <c r="AA70" s="961"/>
      <c r="AB70" s="962"/>
      <c r="AC70" s="315">
        <v>47</v>
      </c>
      <c r="AD70" s="960">
        <v>47</v>
      </c>
      <c r="AE70" s="961"/>
      <c r="AF70" s="732"/>
      <c r="AG70" s="137"/>
      <c r="AH70" s="137"/>
      <c r="AI70" s="137"/>
      <c r="AJ70" s="137"/>
      <c r="AK70" s="137"/>
      <c r="AL70" s="137"/>
      <c r="AM70" s="137"/>
      <c r="AN70" s="30">
        <f t="shared" si="20"/>
        <v>3</v>
      </c>
      <c r="AO70" s="312">
        <f t="shared" si="21"/>
        <v>1</v>
      </c>
      <c r="AP70" s="291">
        <f t="shared" si="22"/>
        <v>0</v>
      </c>
      <c r="AQ70" s="31">
        <f t="shared" si="23"/>
        <v>0</v>
      </c>
      <c r="AR70" s="4" t="e">
        <f>COUNTIF(V70:W70,"=  ")+COUNTIF(X70:AH70,"=  ")+COUNTIF(AJ70,"=  ")+COUNTIF(AL70,"=  ")+COUNTIF(#REF!,"=  ")+COUNTIF(#REF!,"=  ")+COUNTIF(#REF!,"=  ")</f>
        <v>#REF!</v>
      </c>
      <c r="AS70" s="101" t="e">
        <f>COUNTIF(Y70,"=  ")+COUNTIF(AI70,"=  ")+COUNTIF(AK70,"=  ")+COUNTIF(AM70,"=  ")+COUNTIF(AC70,"=  ")+COUNTIF(#REF!,"=  ")</f>
        <v>#REF!</v>
      </c>
    </row>
    <row r="71" spans="1:45" x14ac:dyDescent="0.2">
      <c r="A71" s="47">
        <v>44</v>
      </c>
      <c r="B71" s="141">
        <f t="shared" si="13"/>
        <v>44</v>
      </c>
      <c r="C71" s="139">
        <f t="shared" si="14"/>
        <v>10216</v>
      </c>
      <c r="D71" s="49" t="s">
        <v>151</v>
      </c>
      <c r="E71" s="141" t="str">
        <f t="shared" si="15"/>
        <v/>
      </c>
      <c r="F71" s="138">
        <f t="shared" si="16"/>
        <v>0</v>
      </c>
      <c r="G71" s="997">
        <v>3</v>
      </c>
      <c r="H71" s="141">
        <f t="shared" si="17"/>
        <v>3</v>
      </c>
      <c r="I71" s="221">
        <f t="shared" si="18"/>
        <v>10332</v>
      </c>
      <c r="J71" s="71">
        <f t="shared" si="19"/>
        <v>63</v>
      </c>
      <c r="K71" s="70">
        <v>63</v>
      </c>
      <c r="L71" s="296" t="s">
        <v>166</v>
      </c>
      <c r="M71" s="70">
        <v>216</v>
      </c>
      <c r="N71" s="141">
        <f t="array" ref="N71">(IF(COUNT(V71,X71,AG71,AI71,AK71,AM71)&lt;5,SUM(V71,X71,AG71,AI71,AK71,AM71),SUM(LARGE((V71,X71,AG71,AI71,AK71,AM71),{1;2;3;4;5}))))+(IF(COUNT(W71,Y71,AC71,AH71,AJ71,AL71)&lt;5,SUM(W71,Y71,AC71,AH71,AJ71,AL71),SUM(LARGE((W71,Y71,AC71,AH71,AJ71,AL71),{1;2;3;4;5}))))+U71</f>
        <v>216</v>
      </c>
      <c r="O71" s="796">
        <v>0</v>
      </c>
      <c r="P71" s="132">
        <f t="array" ref="P71">IF(S71="n",((IF(COUNT(V71,X71,AG71,AI71,AK71,AM71)&lt;5,SUM(V71,X71,AG71,AI71,AK71,AM71),SUM(LARGE((V71,X71,AG71,AI71,AK71,AM71),{1;2;3;4;5}))))+(IF(COUNT(W71,AA71,AE71,AH71,AJ71,AL71)&lt;5,SUM(W71,AA71,AE71,AH71,AJ71,AL71),SUM(LARGE((W71,AA71,AE71,AH71,AJ71,AL71),{1;2;3;4;5}))))+U71),0)</f>
        <v>0</v>
      </c>
      <c r="Q71" s="797">
        <v>332</v>
      </c>
      <c r="R71" s="132">
        <f t="array" ref="R71">IF(T71="j",((IF(COUNT(V71,X71,AG71,AI71,AK71,AM71)&lt;5,SUM(V71,X71,AG71,AI71,AK71,AM71),SUM(LARGE((V71,X71,AG71,AI71,AK71,AM71),{1;2;3;4;5}))))+(IF(COUNT(W71,AB71,AC71,AH71,AJ71,AL71)&lt;5,SUM(W71,AB71,AC71,AH71,AJ71,AL71),SUM(LARGE((W71,AB71,AC71,AH71,AJ71,AL71),{1;2;3;4;5}))))+U71),0)</f>
        <v>332</v>
      </c>
      <c r="S71" s="676"/>
      <c r="T71" s="676" t="s">
        <v>46</v>
      </c>
      <c r="U71" s="915">
        <v>1</v>
      </c>
      <c r="V71" s="316" t="s">
        <v>156</v>
      </c>
      <c r="W71" s="316" t="s">
        <v>156</v>
      </c>
      <c r="X71" s="137"/>
      <c r="Y71" s="315">
        <v>42</v>
      </c>
      <c r="Z71" s="960"/>
      <c r="AA71" s="961"/>
      <c r="AB71" s="967">
        <v>158</v>
      </c>
      <c r="AC71" s="315">
        <v>173</v>
      </c>
      <c r="AD71" s="960">
        <v>173</v>
      </c>
      <c r="AE71" s="961"/>
      <c r="AF71" s="732" t="s">
        <v>639</v>
      </c>
      <c r="AG71" s="137"/>
      <c r="AH71" s="137"/>
      <c r="AI71" s="137"/>
      <c r="AJ71" s="137"/>
      <c r="AK71" s="137"/>
      <c r="AL71" s="137"/>
      <c r="AM71" s="137"/>
      <c r="AN71" s="30">
        <f t="shared" si="20"/>
        <v>2</v>
      </c>
      <c r="AO71" s="312">
        <f t="shared" si="21"/>
        <v>2</v>
      </c>
      <c r="AP71" s="291">
        <f t="shared" si="22"/>
        <v>2</v>
      </c>
      <c r="AQ71" s="31">
        <f t="shared" si="23"/>
        <v>1</v>
      </c>
      <c r="AR71" s="4" t="e">
        <f>COUNTIF(V71:W71,"=  ")+COUNTIF(X71:AH71,"=  ")+COUNTIF(AJ71,"=  ")+COUNTIF(AL71,"=  ")+COUNTIF(#REF!,"=  ")+COUNTIF(#REF!,"=  ")+COUNTIF(#REF!,"=  ")</f>
        <v>#REF!</v>
      </c>
      <c r="AS71" s="101" t="e">
        <f>COUNTIF(Y71,"=  ")+COUNTIF(AI71,"=  ")+COUNTIF(AK71,"=  ")+COUNTIF(AM71,"=  ")+COUNTIF(AC71,"=  ")+COUNTIF(#REF!,"=  ")</f>
        <v>#REF!</v>
      </c>
    </row>
    <row r="72" spans="1:45" x14ac:dyDescent="0.2">
      <c r="A72" s="47">
        <v>45</v>
      </c>
      <c r="B72" s="141">
        <f t="shared" si="13"/>
        <v>45</v>
      </c>
      <c r="C72" s="139">
        <f t="shared" si="14"/>
        <v>10187</v>
      </c>
      <c r="D72" s="49" t="s">
        <v>151</v>
      </c>
      <c r="E72" s="141" t="str">
        <f t="shared" si="15"/>
        <v/>
      </c>
      <c r="F72" s="138">
        <f t="shared" si="16"/>
        <v>0</v>
      </c>
      <c r="G72" s="383" t="s">
        <v>151</v>
      </c>
      <c r="H72" s="141" t="str">
        <f t="shared" si="17"/>
        <v/>
      </c>
      <c r="I72" s="221">
        <f t="shared" si="18"/>
        <v>0</v>
      </c>
      <c r="J72" s="71">
        <f t="shared" si="19"/>
        <v>64</v>
      </c>
      <c r="K72" s="70">
        <v>64</v>
      </c>
      <c r="L72" s="53" t="s">
        <v>56</v>
      </c>
      <c r="M72" s="302">
        <v>187</v>
      </c>
      <c r="N72" s="141">
        <f t="array" ref="N72">(IF(COUNT(V72,X72,AG72,AI72,AK72,AM72)&lt;5,SUM(V72,X72,AG72,AI72,AK72,AM72),SUM(LARGE((V72,X72,AG72,AI72,AK72,AM72),{1;2;3;4;5}))))+(IF(COUNT(W72,Y72,AC72,AH72,AJ72,AL72)&lt;5,SUM(W72,Y72,AC72,AH72,AJ72,AL72),SUM(LARGE((W72,Y72,AC72,AH72,AJ72,AL72),{1;2;3;4;5}))))+U72</f>
        <v>187</v>
      </c>
      <c r="O72" s="796">
        <v>0</v>
      </c>
      <c r="P72" s="132">
        <f t="array" ref="P72">IF(S72="n",((IF(COUNT(V72,X72,AG72,AI72,AK72,AM72)&lt;5,SUM(V72,X72,AG72,AI72,AK72,AM72),SUM(LARGE((V72,X72,AG72,AI72,AK72,AM72),{1;2;3;4;5}))))+(IF(COUNT(W72,AA72,AE72,AH72,AJ72,AL72)&lt;5,SUM(W72,AA72,AE72,AH72,AJ72,AL72),SUM(LARGE((W72,AA72,AE72,AH72,AJ72,AL72),{1;2;3;4;5}))))+U72),0)</f>
        <v>0</v>
      </c>
      <c r="Q72" s="797">
        <v>0</v>
      </c>
      <c r="R72" s="132">
        <f t="array" ref="R72">IF(T72="j",((IF(COUNT(V72,X72,AG72,AI72,AK72,AM72)&lt;5,SUM(V72,X72,AG72,AI72,AK72,AM72),SUM(LARGE((V72,X72,AG72,AI72,AK72,AM72),{1;2;3;4;5}))))+(IF(COUNT(W72,AB72,AC72,AH72,AJ72,AL72)&lt;5,SUM(W72,AB72,AC72,AH72,AJ72,AL72),SUM(LARGE((W72,AB72,AC72,AH72,AJ72,AL72),{1;2;3;4;5}))))+U72),0)</f>
        <v>0</v>
      </c>
      <c r="S72" s="676"/>
      <c r="T72" s="676"/>
      <c r="U72" s="915">
        <v>1</v>
      </c>
      <c r="V72" s="316" t="s">
        <v>156</v>
      </c>
      <c r="W72" s="316" t="s">
        <v>156</v>
      </c>
      <c r="X72" s="137"/>
      <c r="Y72" s="315"/>
      <c r="Z72" s="960"/>
      <c r="AA72" s="961"/>
      <c r="AB72" s="962"/>
      <c r="AC72" s="137"/>
      <c r="AD72" s="960"/>
      <c r="AE72" s="961"/>
      <c r="AF72" s="732"/>
      <c r="AG72" s="137"/>
      <c r="AH72" s="137"/>
      <c r="AI72" s="137"/>
      <c r="AJ72" s="137"/>
      <c r="AK72" s="137">
        <v>40</v>
      </c>
      <c r="AL72" s="137">
        <v>146</v>
      </c>
      <c r="AM72" s="137"/>
      <c r="AN72" s="30">
        <f t="shared" si="20"/>
        <v>2</v>
      </c>
      <c r="AO72" s="312">
        <f t="shared" si="21"/>
        <v>1</v>
      </c>
      <c r="AP72" s="291">
        <f t="shared" si="22"/>
        <v>0</v>
      </c>
      <c r="AQ72" s="31">
        <f t="shared" si="23"/>
        <v>0</v>
      </c>
      <c r="AR72" s="4" t="e">
        <f>COUNTIF(V72:W72,"=  ")+COUNTIF(X72:AH72,"=  ")+COUNTIF(AJ72,"=  ")+COUNTIF(AL72,"=  ")+COUNTIF(#REF!,"=  ")+COUNTIF(#REF!,"=  ")+COUNTIF(#REF!,"=  ")</f>
        <v>#REF!</v>
      </c>
      <c r="AS72" s="101" t="e">
        <f>COUNTIF(Y72,"=  ")+COUNTIF(AI72,"=  ")+COUNTIF(AK72,"=  ")+COUNTIF(AM72,"=  ")+COUNTIF(AC72,"=  ")+COUNTIF(#REF!,"=  ")</f>
        <v>#REF!</v>
      </c>
    </row>
    <row r="73" spans="1:45" x14ac:dyDescent="0.2">
      <c r="A73" s="47">
        <v>46</v>
      </c>
      <c r="B73" s="141">
        <f t="shared" ref="B73:B104" si="24">IF(N73=0,"",IF(S73="n","",RANK(C73,C$9:C$161,0)))</f>
        <v>46</v>
      </c>
      <c r="C73" s="139">
        <f t="shared" ref="C73:C104" si="25">IF(S73="n",0,N73+10000)</f>
        <v>10181</v>
      </c>
      <c r="D73" s="49" t="s">
        <v>151</v>
      </c>
      <c r="E73" s="141" t="str">
        <f t="shared" ref="E73:E104" si="26">IF(S73="n",RANK(F73,F$9:F$161,0),"")</f>
        <v/>
      </c>
      <c r="F73" s="138">
        <f t="shared" ref="F73:F104" si="27">IF(AND((T73="j"),(S73="n")),N73+10000,IF((S73="n"),P73+10000,0))</f>
        <v>0</v>
      </c>
      <c r="G73" s="383" t="s">
        <v>151</v>
      </c>
      <c r="H73" s="141" t="str">
        <f t="shared" ref="H73:H104" si="28">IF(T73="j",RANK(I73,I$9:I$161,0),"")</f>
        <v/>
      </c>
      <c r="I73" s="221">
        <f t="shared" ref="I73:I104" si="29">IF((T73="j"),R73+10000,0)</f>
        <v>0</v>
      </c>
      <c r="J73" s="71">
        <f t="shared" ref="J73:J104" si="30">RANK(N73,$N$9:$N$161,0)</f>
        <v>65</v>
      </c>
      <c r="K73" s="70">
        <v>65</v>
      </c>
      <c r="L73" s="211" t="s">
        <v>74</v>
      </c>
      <c r="M73" s="70">
        <v>181</v>
      </c>
      <c r="N73" s="141">
        <f t="array" ref="N73">(IF(COUNT(V73,X73,AG73,AI73,AK73,AM73)&lt;5,SUM(V73,X73,AG73,AI73,AK73,AM73),SUM(LARGE((V73,X73,AG73,AI73,AK73,AM73),{1;2;3;4;5}))))+(IF(COUNT(W73,Y73,AC73,AH73,AJ73,AL73)&lt;5,SUM(W73,Y73,AC73,AH73,AJ73,AL73),SUM(LARGE((W73,Y73,AC73,AH73,AJ73,AL73),{1;2;3;4;5}))))+U73</f>
        <v>181</v>
      </c>
      <c r="O73" s="796">
        <v>0</v>
      </c>
      <c r="P73" s="132">
        <f t="array" ref="P73">IF(S73="n",((IF(COUNT(V73,X73,AG73,AI73,AK73,AM73)&lt;5,SUM(V73,X73,AG73,AI73,AK73,AM73),SUM(LARGE((V73,X73,AG73,AI73,AK73,AM73),{1;2;3;4;5}))))+(IF(COUNT(W73,AA73,AE73,AH73,AJ73,AL73)&lt;5,SUM(W73,AA73,AE73,AH73,AJ73,AL73),SUM(LARGE((W73,AA73,AE73,AH73,AJ73,AL73),{1;2;3;4;5}))))+U73),0)</f>
        <v>0</v>
      </c>
      <c r="Q73" s="797">
        <v>0</v>
      </c>
      <c r="R73" s="132">
        <f t="array" ref="R73">IF(T73="j",((IF(COUNT(V73,X73,AG73,AI73,AK73,AM73)&lt;5,SUM(V73,X73,AG73,AI73,AK73,AM73),SUM(LARGE((V73,X73,AG73,AI73,AK73,AM73),{1;2;3;4;5}))))+(IF(COUNT(W73,AB73,AC73,AH73,AJ73,AL73)&lt;5,SUM(W73,AB73,AC73,AH73,AJ73,AL73),SUM(LARGE((W73,AB73,AC73,AH73,AJ73,AL73),{1;2;3;4;5}))))+U73),0)</f>
        <v>0</v>
      </c>
      <c r="S73" s="676"/>
      <c r="T73" s="676"/>
      <c r="U73" s="915">
        <v>10</v>
      </c>
      <c r="V73" s="315">
        <v>115</v>
      </c>
      <c r="W73" s="316" t="s">
        <v>156</v>
      </c>
      <c r="X73" s="316" t="s">
        <v>156</v>
      </c>
      <c r="Y73" s="137"/>
      <c r="Z73" s="960"/>
      <c r="AA73" s="961"/>
      <c r="AB73" s="962"/>
      <c r="AC73" s="137"/>
      <c r="AD73" s="960"/>
      <c r="AE73" s="961"/>
      <c r="AF73" s="732"/>
      <c r="AG73" s="137"/>
      <c r="AH73" s="137">
        <v>56</v>
      </c>
      <c r="AI73" s="281"/>
      <c r="AJ73" s="137"/>
      <c r="AK73" s="137"/>
      <c r="AL73" s="137"/>
      <c r="AM73" s="137"/>
      <c r="AN73" s="30">
        <f t="shared" ref="AN73:AN104" si="31">COUNTIF(V73:Y73,"&gt;=0")+COUNTIF(AC73,"&gt;=0")+COUNTIF(AG73:AM73,"&gt;=0")</f>
        <v>2</v>
      </c>
      <c r="AO73" s="312">
        <f t="shared" ref="AO73:AO104" si="32">COUNTIF(V73,"&gt;=97")+COUNTIF(X73,"&gt;=97")+COUNTIF(AG73,"&gt;=97")+COUNTIF(AI73,"&gt;=97")+COUNTIF(AK73,"&gt;=97")+COUNTIF(AM73,"&gt;=97")+COUNTIF(W73,"&gt;=146")+COUNTIF(Y73,"&gt;=146")+COUNTIF(AC73,"&gt;=146")+COUNTIF(AH73,"&gt;=146")+COUNTIF(AJ73,"&gt;=146")+COUNTIF(AL73,"&gt;=146")+IF((S73="n"),(COUNTIF(Y73,"=83")+COUNTIF(Y73,"=93")+COUNTIF(Y73,"=105")+COUNTIF(AC73,"=83")+COUNTIF(AC73,"=93")+COUNTIF(AC73,"=105")))+IF((T73="j"),(COUNTIF(Y73,"=33")+COUNTIF(Y73,"=42")+COUNTIF(Y73,"=53")+COUNTIF(AC73,"=33")+COUNTIF(AC73,"=42")+COUNTIF(AC73,"=53")))</f>
        <v>1</v>
      </c>
      <c r="AP73" s="291">
        <f t="shared" ref="AP73:AP104" si="33">COUNTIF(V73,"=115")+COUNTIF(X73,"=115")+COUNTIF(AG73,"=115")+COUNTIF(AI73,"=115")+COUNTIF(AK73,"=115")+COUNTIF(AM73,"=115")+COUNTIF(V73:AM73,"=173")</f>
        <v>1</v>
      </c>
      <c r="AQ73" s="31">
        <f t="shared" ref="AQ73:AQ104" si="34">COUNTIF(V73:X73,"=173")+COUNTIF(Z73:AB73,"=173")+COUNTIF(AD73:AM73,"=173")</f>
        <v>0</v>
      </c>
      <c r="AR73" s="4" t="e">
        <f>COUNTIF(V73:W73,"=  ")+COUNTIF(X73:AH73,"=  ")+COUNTIF(AJ73,"=  ")+COUNTIF(AL73,"=  ")+COUNTIF(#REF!,"=  ")+COUNTIF(#REF!,"=  ")+COUNTIF(#REF!,"=  ")</f>
        <v>#REF!</v>
      </c>
      <c r="AS73" s="101" t="e">
        <f>COUNTIF(Y73,"=  ")+COUNTIF(AI73,"=  ")+COUNTIF(AK73,"=  ")+COUNTIF(AM73,"=  ")+COUNTIF(AC73,"=  ")+COUNTIF(#REF!,"=  ")</f>
        <v>#REF!</v>
      </c>
    </row>
    <row r="74" spans="1:45" x14ac:dyDescent="0.2">
      <c r="A74" s="47">
        <v>47</v>
      </c>
      <c r="B74" s="141">
        <f t="shared" si="24"/>
        <v>47</v>
      </c>
      <c r="C74" s="139">
        <f t="shared" si="25"/>
        <v>10179</v>
      </c>
      <c r="D74" s="49" t="s">
        <v>151</v>
      </c>
      <c r="E74" s="141" t="str">
        <f t="shared" si="26"/>
        <v/>
      </c>
      <c r="F74" s="138">
        <f t="shared" si="27"/>
        <v>0</v>
      </c>
      <c r="G74" s="383" t="s">
        <v>151</v>
      </c>
      <c r="H74" s="141" t="str">
        <f t="shared" si="28"/>
        <v/>
      </c>
      <c r="I74" s="221">
        <f t="shared" si="29"/>
        <v>0</v>
      </c>
      <c r="J74" s="71">
        <f t="shared" si="30"/>
        <v>66</v>
      </c>
      <c r="K74" s="70">
        <v>66</v>
      </c>
      <c r="L74" s="263" t="s">
        <v>323</v>
      </c>
      <c r="M74" s="70">
        <v>179</v>
      </c>
      <c r="N74" s="141">
        <f t="array" ref="N74">(IF(COUNT(V74,X74,AG74,AI74,AK74,AM74)&lt;5,SUM(V74,X74,AG74,AI74,AK74,AM74),SUM(LARGE((V74,X74,AG74,AI74,AK74,AM74),{1;2;3;4;5}))))+(IF(COUNT(W74,Y74,AC74,AH74,AJ74,AL74)&lt;5,SUM(W74,Y74,AC74,AH74,AJ74,AL74),SUM(LARGE((W74,Y74,AC74,AH74,AJ74,AL74),{1;2;3;4;5}))))+U74</f>
        <v>179</v>
      </c>
      <c r="O74" s="796">
        <v>0</v>
      </c>
      <c r="P74" s="132">
        <f t="array" ref="P74">IF(S74="n",((IF(COUNT(V74,X74,AG74,AI74,AK74,AM74)&lt;5,SUM(V74,X74,AG74,AI74,AK74,AM74),SUM(LARGE((V74,X74,AG74,AI74,AK74,AM74),{1;2;3;4;5}))))+(IF(COUNT(W74,AA74,AE74,AH74,AJ74,AL74)&lt;5,SUM(W74,AA74,AE74,AH74,AJ74,AL74),SUM(LARGE((W74,AA74,AE74,AH74,AJ74,AL74),{1;2;3;4;5}))))+U74),0)</f>
        <v>0</v>
      </c>
      <c r="Q74" s="797">
        <v>0</v>
      </c>
      <c r="R74" s="132">
        <f t="array" ref="R74">IF(T74="j",((IF(COUNT(V74,X74,AG74,AI74,AK74,AM74)&lt;5,SUM(V74,X74,AG74,AI74,AK74,AM74),SUM(LARGE((V74,X74,AG74,AI74,AK74,AM74),{1;2;3;4;5}))))+(IF(COUNT(W74,AB74,AC74,AH74,AJ74,AL74)&lt;5,SUM(W74,AB74,AC74,AH74,AJ74,AL74),SUM(LARGE((W74,AB74,AC74,AH74,AJ74,AL74),{1;2;3;4;5}))))+U74),0)</f>
        <v>0</v>
      </c>
      <c r="S74" s="676"/>
      <c r="T74" s="676"/>
      <c r="U74" s="915">
        <v>74</v>
      </c>
      <c r="V74" s="316" t="s">
        <v>156</v>
      </c>
      <c r="W74" s="316" t="s">
        <v>156</v>
      </c>
      <c r="X74" s="137"/>
      <c r="Y74" s="137"/>
      <c r="Z74" s="960"/>
      <c r="AA74" s="961"/>
      <c r="AB74" s="962"/>
      <c r="AC74" s="137"/>
      <c r="AD74" s="960"/>
      <c r="AE74" s="961"/>
      <c r="AF74" s="732"/>
      <c r="AG74" s="137"/>
      <c r="AH74" s="137"/>
      <c r="AI74" s="137"/>
      <c r="AJ74" s="137"/>
      <c r="AK74" s="137"/>
      <c r="AL74" s="137"/>
      <c r="AM74" s="137">
        <v>105</v>
      </c>
      <c r="AN74" s="30">
        <f t="shared" si="31"/>
        <v>1</v>
      </c>
      <c r="AO74" s="312">
        <f t="shared" si="32"/>
        <v>1</v>
      </c>
      <c r="AP74" s="291">
        <f t="shared" si="33"/>
        <v>0</v>
      </c>
      <c r="AQ74" s="31">
        <f t="shared" si="34"/>
        <v>0</v>
      </c>
      <c r="AR74" s="4" t="e">
        <f>COUNTIF(V74:W74,"=  ")+COUNTIF(X74:AH74,"=  ")+COUNTIF(AJ74,"=  ")+COUNTIF(AL74,"=  ")+COUNTIF(#REF!,"=  ")+COUNTIF(#REF!,"=  ")+COUNTIF(#REF!,"=  ")</f>
        <v>#REF!</v>
      </c>
      <c r="AS74" s="101" t="e">
        <f>COUNTIF(Y74,"=  ")+COUNTIF(AI74,"=  ")+COUNTIF(AK74,"=  ")+COUNTIF(AM74,"=  ")+COUNTIF(AC74,"=  ")+COUNTIF(#REF!,"=  ")</f>
        <v>#REF!</v>
      </c>
    </row>
    <row r="75" spans="1:45" x14ac:dyDescent="0.2">
      <c r="A75" s="47">
        <v>48</v>
      </c>
      <c r="B75" s="141">
        <f t="shared" si="24"/>
        <v>48</v>
      </c>
      <c r="C75" s="139">
        <f t="shared" si="25"/>
        <v>10174</v>
      </c>
      <c r="D75" s="49" t="s">
        <v>151</v>
      </c>
      <c r="E75" s="141" t="str">
        <f t="shared" si="26"/>
        <v/>
      </c>
      <c r="F75" s="138">
        <f t="shared" si="27"/>
        <v>0</v>
      </c>
      <c r="G75" s="383" t="s">
        <v>151</v>
      </c>
      <c r="H75" s="141" t="str">
        <f t="shared" si="28"/>
        <v/>
      </c>
      <c r="I75" s="221">
        <f t="shared" si="29"/>
        <v>0</v>
      </c>
      <c r="J75" s="71">
        <f t="shared" si="30"/>
        <v>67</v>
      </c>
      <c r="K75" s="70">
        <v>67</v>
      </c>
      <c r="L75" s="211" t="s">
        <v>53</v>
      </c>
      <c r="M75" s="70">
        <v>174</v>
      </c>
      <c r="N75" s="141">
        <f t="array" ref="N75">(IF(COUNT(V75,X75,AG75,AI75,AK75,AM75)&lt;5,SUM(V75,X75,AG75,AI75,AK75,AM75),SUM(LARGE((V75,X75,AG75,AI75,AK75,AM75),{1;2;3;4;5}))))+(IF(COUNT(W75,Y75,AC75,AH75,AJ75,AL75)&lt;5,SUM(W75,Y75,AC75,AH75,AJ75,AL75),SUM(LARGE((W75,Y75,AC75,AH75,AJ75,AL75),{1;2;3;4;5}))))+U75</f>
        <v>174</v>
      </c>
      <c r="O75" s="796">
        <v>0</v>
      </c>
      <c r="P75" s="132">
        <f t="array" ref="P75">IF(S75="n",((IF(COUNT(V75,X75,AG75,AI75,AK75,AM75)&lt;5,SUM(V75,X75,AG75,AI75,AK75,AM75),SUM(LARGE((V75,X75,AG75,AI75,AK75,AM75),{1;2;3;4;5}))))+(IF(COUNT(W75,AA75,AE75,AH75,AJ75,AL75)&lt;5,SUM(W75,AA75,AE75,AH75,AJ75,AL75),SUM(LARGE((W75,AA75,AE75,AH75,AJ75,AL75),{1;2;3;4;5}))))+U75),0)</f>
        <v>0</v>
      </c>
      <c r="Q75" s="797">
        <v>0</v>
      </c>
      <c r="R75" s="132">
        <f t="array" ref="R75">IF(T75="j",((IF(COUNT(V75,X75,AG75,AI75,AK75,AM75)&lt;5,SUM(V75,X75,AG75,AI75,AK75,AM75),SUM(LARGE((V75,X75,AG75,AI75,AK75,AM75),{1;2;3;4;5}))))+(IF(COUNT(W75,AB75,AC75,AH75,AJ75,AL75)&lt;5,SUM(W75,AB75,AC75,AH75,AJ75,AL75),SUM(LARGE((W75,AB75,AC75,AH75,AJ75,AL75),{1;2;3;4;5}))))+U75),0)</f>
        <v>0</v>
      </c>
      <c r="S75" s="676"/>
      <c r="T75" s="676"/>
      <c r="U75" s="915">
        <v>6</v>
      </c>
      <c r="V75" s="316" t="s">
        <v>156</v>
      </c>
      <c r="W75" s="316" t="s">
        <v>156</v>
      </c>
      <c r="X75" s="315">
        <v>84</v>
      </c>
      <c r="Y75" s="137"/>
      <c r="Z75" s="960"/>
      <c r="AA75" s="961"/>
      <c r="AB75" s="962"/>
      <c r="AC75" s="137"/>
      <c r="AD75" s="960"/>
      <c r="AE75" s="961"/>
      <c r="AF75" s="732"/>
      <c r="AG75" s="137">
        <v>84</v>
      </c>
      <c r="AH75" s="137"/>
      <c r="AI75" s="281"/>
      <c r="AJ75" s="137"/>
      <c r="AK75" s="137"/>
      <c r="AL75" s="137"/>
      <c r="AM75" s="137"/>
      <c r="AN75" s="30">
        <f t="shared" si="31"/>
        <v>2</v>
      </c>
      <c r="AO75" s="312">
        <f t="shared" si="32"/>
        <v>0</v>
      </c>
      <c r="AP75" s="291">
        <f t="shared" si="33"/>
        <v>0</v>
      </c>
      <c r="AQ75" s="31">
        <f t="shared" si="34"/>
        <v>0</v>
      </c>
      <c r="AR75" s="4" t="e">
        <f>COUNTIF(V75:W75,"=  ")+COUNTIF(X75:AH75,"=  ")+COUNTIF(AJ75,"=  ")+COUNTIF(AL75,"=  ")+COUNTIF(#REF!,"=  ")+COUNTIF(#REF!,"=  ")+COUNTIF(#REF!,"=  ")</f>
        <v>#REF!</v>
      </c>
      <c r="AS75" s="101" t="e">
        <f>COUNTIF(Y75,"=  ")+COUNTIF(AI75,"=  ")+COUNTIF(AK75,"=  ")+COUNTIF(AM75,"=  ")+COUNTIF(AC75,"=  ")+COUNTIF(#REF!,"=  ")</f>
        <v>#REF!</v>
      </c>
    </row>
    <row r="76" spans="1:45" x14ac:dyDescent="0.2">
      <c r="A76" s="47">
        <v>49</v>
      </c>
      <c r="B76" s="141">
        <f t="shared" si="24"/>
        <v>49</v>
      </c>
      <c r="C76" s="139">
        <f t="shared" si="25"/>
        <v>10173</v>
      </c>
      <c r="D76" s="49" t="s">
        <v>151</v>
      </c>
      <c r="E76" s="141" t="str">
        <f t="shared" si="26"/>
        <v/>
      </c>
      <c r="F76" s="138">
        <f t="shared" si="27"/>
        <v>0</v>
      </c>
      <c r="G76" s="383" t="s">
        <v>151</v>
      </c>
      <c r="H76" s="141" t="str">
        <f t="shared" si="28"/>
        <v/>
      </c>
      <c r="I76" s="221">
        <f t="shared" si="29"/>
        <v>0</v>
      </c>
      <c r="J76" s="71">
        <f t="shared" si="30"/>
        <v>68</v>
      </c>
      <c r="K76" s="70">
        <v>68</v>
      </c>
      <c r="L76" s="211" t="s">
        <v>870</v>
      </c>
      <c r="M76" s="70">
        <v>173</v>
      </c>
      <c r="N76" s="141">
        <f t="array" ref="N76">(IF(COUNT(V76,X76,AG76,AI76,AK76,AM76)&lt;5,SUM(V76,X76,AG76,AI76,AK76,AM76),SUM(LARGE((V76,X76,AG76,AI76,AK76,AM76),{1;2;3;4;5}))))+(IF(COUNT(W76,Y76,AC76,AH76,AJ76,AL76)&lt;5,SUM(W76,Y76,AC76,AH76,AJ76,AL76),SUM(LARGE((W76,Y76,AC76,AH76,AJ76,AL76),{1;2;3;4;5}))))+U76</f>
        <v>173</v>
      </c>
      <c r="O76" s="796">
        <v>0</v>
      </c>
      <c r="P76" s="132">
        <f t="array" ref="P76">IF(S76="n",((IF(COUNT(V76,X76,AG76,AI76,AK76,AM76)&lt;5,SUM(V76,X76,AG76,AI76,AK76,AM76),SUM(LARGE((V76,X76,AG76,AI76,AK76,AM76),{1;2;3;4;5}))))+(IF(COUNT(W76,AA76,AE76,AH76,AJ76,AL76)&lt;5,SUM(W76,AA76,AE76,AH76,AJ76,AL76),SUM(LARGE((W76,AA76,AE76,AH76,AJ76,AL76),{1;2;3;4;5}))))+U76),0)</f>
        <v>0</v>
      </c>
      <c r="Q76" s="797">
        <v>0</v>
      </c>
      <c r="R76" s="132">
        <f t="array" ref="R76">IF(T76="j",((IF(COUNT(V76,X76,AG76,AI76,AK76,AM76)&lt;5,SUM(V76,X76,AG76,AI76,AK76,AM76),SUM(LARGE((V76,X76,AG76,AI76,AK76,AM76),{1;2;3;4;5}))))+(IF(COUNT(W76,AB76,AC76,AH76,AJ76,AL76)&lt;5,SUM(W76,AB76,AC76,AH76,AJ76,AL76),SUM(LARGE((W76,AB76,AC76,AH76,AJ76,AL76),{1;2;3;4;5}))))+U76),0)</f>
        <v>0</v>
      </c>
      <c r="S76" s="676"/>
      <c r="T76" s="676"/>
      <c r="U76" s="915"/>
      <c r="V76" s="316" t="s">
        <v>156</v>
      </c>
      <c r="W76" s="316" t="s">
        <v>156</v>
      </c>
      <c r="X76" s="315"/>
      <c r="Y76" s="137"/>
      <c r="Z76" s="960"/>
      <c r="AA76" s="961"/>
      <c r="AB76" s="962"/>
      <c r="AC76" s="137"/>
      <c r="AD76" s="960"/>
      <c r="AE76" s="961"/>
      <c r="AF76" s="732"/>
      <c r="AG76" s="137"/>
      <c r="AH76" s="137"/>
      <c r="AI76" s="137"/>
      <c r="AJ76" s="137"/>
      <c r="AK76" s="137"/>
      <c r="AL76" s="137">
        <v>173</v>
      </c>
      <c r="AM76" s="137"/>
      <c r="AN76" s="30">
        <f t="shared" si="31"/>
        <v>1</v>
      </c>
      <c r="AO76" s="312">
        <f t="shared" si="32"/>
        <v>1</v>
      </c>
      <c r="AP76" s="291">
        <f t="shared" si="33"/>
        <v>1</v>
      </c>
      <c r="AQ76" s="31">
        <f t="shared" si="34"/>
        <v>1</v>
      </c>
      <c r="AS76" s="101"/>
    </row>
    <row r="77" spans="1:45" x14ac:dyDescent="0.2">
      <c r="A77" s="47" t="s">
        <v>151</v>
      </c>
      <c r="B77" s="141" t="str">
        <f t="shared" si="24"/>
        <v/>
      </c>
      <c r="C77" s="139">
        <f t="shared" si="25"/>
        <v>0</v>
      </c>
      <c r="D77" s="49">
        <v>21</v>
      </c>
      <c r="E77" s="141">
        <f t="shared" si="26"/>
        <v>21</v>
      </c>
      <c r="F77" s="138">
        <f t="shared" si="27"/>
        <v>10161</v>
      </c>
      <c r="G77" s="383" t="s">
        <v>151</v>
      </c>
      <c r="H77" s="141" t="str">
        <f t="shared" si="28"/>
        <v/>
      </c>
      <c r="I77" s="221">
        <f t="shared" si="29"/>
        <v>0</v>
      </c>
      <c r="J77" s="71">
        <f t="shared" si="30"/>
        <v>69</v>
      </c>
      <c r="K77" s="70">
        <v>69</v>
      </c>
      <c r="L77" s="294" t="s">
        <v>180</v>
      </c>
      <c r="M77" s="70">
        <v>161</v>
      </c>
      <c r="N77" s="141">
        <f t="array" ref="N77">(IF(COUNT(V77,X77,AG77,AI77,AK77,AM77)&lt;5,SUM(V77,X77,AG77,AI77,AK77,AM77),SUM(LARGE((V77,X77,AG77,AI77,AK77,AM77),{1;2;3;4;5}))))+(IF(COUNT(W77,Y77,AC77,AH77,AJ77,AL77)&lt;5,SUM(W77,Y77,AC77,AH77,AJ77,AL77),SUM(LARGE((W77,Y77,AC77,AH77,AJ77,AL77),{1;2;3;4;5}))))+U77</f>
        <v>161</v>
      </c>
      <c r="O77" s="796">
        <v>161</v>
      </c>
      <c r="P77" s="132">
        <f t="array" ref="P77">IF(S77="n",((IF(COUNT(V77,X77,AG77,AI77,AK77,AM77)&lt;5,SUM(V77,X77,AG77,AI77,AK77,AM77),SUM(LARGE((V77,X77,AG77,AI77,AK77,AM77),{1;2;3;4;5}))))+(IF(COUNT(W77,AA77,AE77,AH77,AJ77,AL77)&lt;5,SUM(W77,AA77,AE77,AH77,AJ77,AL77),SUM(LARGE((W77,AA77,AE77,AH77,AJ77,AL77),{1;2;3;4;5}))))+U77),0)</f>
        <v>161</v>
      </c>
      <c r="Q77" s="797">
        <v>0</v>
      </c>
      <c r="R77" s="132">
        <f t="array" ref="R77">IF(T77="j",((IF(COUNT(V77,X77,AG77,AI77,AK77,AM77)&lt;5,SUM(V77,X77,AG77,AI77,AK77,AM77),SUM(LARGE((V77,X77,AG77,AI77,AK77,AM77),{1;2;3;4;5}))))+(IF(COUNT(W77,AB77,AC77,AH77,AJ77,AL77)&lt;5,SUM(W77,AB77,AC77,AH77,AJ77,AL77),SUM(LARGE((W77,AB77,AC77,AH77,AJ77,AL77),{1;2;3;4;5}))))+U77),0)</f>
        <v>0</v>
      </c>
      <c r="S77" s="676" t="s">
        <v>33</v>
      </c>
      <c r="T77" s="676"/>
      <c r="U77" s="915">
        <v>1</v>
      </c>
      <c r="V77" s="316" t="s">
        <v>156</v>
      </c>
      <c r="W77" s="315">
        <v>111</v>
      </c>
      <c r="X77" s="137"/>
      <c r="Y77" s="316" t="s">
        <v>156</v>
      </c>
      <c r="Z77" s="960"/>
      <c r="AA77" s="961"/>
      <c r="AB77" s="962"/>
      <c r="AC77" s="137"/>
      <c r="AD77" s="960"/>
      <c r="AE77" s="961"/>
      <c r="AF77" s="732"/>
      <c r="AG77" s="137">
        <v>49</v>
      </c>
      <c r="AH77" s="137"/>
      <c r="AI77" s="137"/>
      <c r="AJ77" s="137"/>
      <c r="AK77" s="137"/>
      <c r="AL77" s="137"/>
      <c r="AM77" s="137"/>
      <c r="AN77" s="30">
        <f t="shared" si="31"/>
        <v>2</v>
      </c>
      <c r="AO77" s="312">
        <f t="shared" si="32"/>
        <v>0</v>
      </c>
      <c r="AP77" s="291">
        <f t="shared" si="33"/>
        <v>0</v>
      </c>
      <c r="AQ77" s="31">
        <f t="shared" si="34"/>
        <v>0</v>
      </c>
      <c r="AR77" s="4" t="e">
        <f>COUNTIF(V77:W77,"=  ")+COUNTIF(X77:AH77,"=  ")+COUNTIF(AJ77,"=  ")+COUNTIF(AL77,"=  ")+COUNTIF(#REF!,"=  ")+COUNTIF(#REF!,"=  ")+COUNTIF(#REF!,"=  ")</f>
        <v>#REF!</v>
      </c>
      <c r="AS77" s="101" t="e">
        <f>COUNTIF(Y77,"=  ")+COUNTIF(AI77,"=  ")+COUNTIF(AK77,"=  ")+COUNTIF(AM77,"=  ")+COUNTIF(AC77,"=  ")+COUNTIF(#REF!,"=  ")</f>
        <v>#REF!</v>
      </c>
    </row>
    <row r="78" spans="1:45" x14ac:dyDescent="0.2">
      <c r="A78" s="47">
        <v>50</v>
      </c>
      <c r="B78" s="141">
        <f t="shared" si="24"/>
        <v>50</v>
      </c>
      <c r="C78" s="139">
        <f t="shared" si="25"/>
        <v>10159</v>
      </c>
      <c r="D78" s="49" t="s">
        <v>151</v>
      </c>
      <c r="E78" s="141" t="str">
        <f t="shared" si="26"/>
        <v/>
      </c>
      <c r="F78" s="138">
        <f t="shared" si="27"/>
        <v>0</v>
      </c>
      <c r="G78" s="383" t="s">
        <v>151</v>
      </c>
      <c r="H78" s="141" t="str">
        <f t="shared" si="28"/>
        <v/>
      </c>
      <c r="I78" s="221">
        <f t="shared" si="29"/>
        <v>0</v>
      </c>
      <c r="J78" s="71">
        <f t="shared" si="30"/>
        <v>70</v>
      </c>
      <c r="K78" s="70">
        <v>70</v>
      </c>
      <c r="L78" s="211" t="s">
        <v>856</v>
      </c>
      <c r="M78" s="70">
        <v>159</v>
      </c>
      <c r="N78" s="141">
        <f t="array" ref="N78">(IF(COUNT(V78,X78,AG78,AI78,AK78,AM78)&lt;5,SUM(V78,X78,AG78,AI78,AK78,AM78),SUM(LARGE((V78,X78,AG78,AI78,AK78,AM78),{1;2;3;4;5}))))+(IF(COUNT(W78,Y78,AC78,AH78,AJ78,AL78)&lt;5,SUM(W78,Y78,AC78,AH78,AJ78,AL78),SUM(LARGE((W78,Y78,AC78,AH78,AJ78,AL78),{1;2;3;4;5}))))+U78</f>
        <v>159</v>
      </c>
      <c r="O78" s="796">
        <v>0</v>
      </c>
      <c r="P78" s="132">
        <f t="array" ref="P78">IF(S78="n",((IF(COUNT(V78,X78,AG78,AI78,AK78,AM78)&lt;5,SUM(V78,X78,AG78,AI78,AK78,AM78),SUM(LARGE((V78,X78,AG78,AI78,AK78,AM78),{1;2;3;4;5}))))+(IF(COUNT(W78,AA78,AE78,AH78,AJ78,AL78)&lt;5,SUM(W78,AA78,AE78,AH78,AJ78,AL78),SUM(LARGE((W78,AA78,AE78,AH78,AJ78,AL78),{1;2;3;4;5}))))+U78),0)</f>
        <v>0</v>
      </c>
      <c r="Q78" s="797">
        <v>0</v>
      </c>
      <c r="R78" s="132">
        <f t="array" ref="R78">IF(T78="j",((IF(COUNT(V78,X78,AG78,AI78,AK78,AM78)&lt;5,SUM(V78,X78,AG78,AI78,AK78,AM78),SUM(LARGE((V78,X78,AG78,AI78,AK78,AM78),{1;2;3;4;5}))))+(IF(COUNT(W78,AB78,AC78,AH78,AJ78,AL78)&lt;5,SUM(W78,AB78,AC78,AH78,AJ78,AL78),SUM(LARGE((W78,AB78,AC78,AH78,AJ78,AL78),{1;2;3;4;5}))))+U78),0)</f>
        <v>0</v>
      </c>
      <c r="S78" s="676"/>
      <c r="T78" s="676"/>
      <c r="U78" s="915"/>
      <c r="V78" s="316" t="s">
        <v>156</v>
      </c>
      <c r="W78" s="316" t="s">
        <v>156</v>
      </c>
      <c r="X78" s="315"/>
      <c r="Y78" s="137"/>
      <c r="Z78" s="960"/>
      <c r="AA78" s="961"/>
      <c r="AB78" s="962"/>
      <c r="AC78" s="137"/>
      <c r="AD78" s="960"/>
      <c r="AE78" s="961"/>
      <c r="AF78" s="732"/>
      <c r="AG78" s="137"/>
      <c r="AH78" s="137">
        <v>69</v>
      </c>
      <c r="AI78" s="137">
        <v>90</v>
      </c>
      <c r="AJ78" s="137"/>
      <c r="AK78" s="137"/>
      <c r="AL78" s="137"/>
      <c r="AM78" s="137"/>
      <c r="AN78" s="30">
        <f t="shared" si="31"/>
        <v>2</v>
      </c>
      <c r="AO78" s="312">
        <f t="shared" si="32"/>
        <v>0</v>
      </c>
      <c r="AP78" s="291">
        <f t="shared" si="33"/>
        <v>0</v>
      </c>
      <c r="AQ78" s="31">
        <f t="shared" si="34"/>
        <v>0</v>
      </c>
      <c r="AS78" s="101"/>
    </row>
    <row r="79" spans="1:45" x14ac:dyDescent="0.2">
      <c r="A79" s="47">
        <v>51</v>
      </c>
      <c r="B79" s="141">
        <f t="shared" si="24"/>
        <v>50</v>
      </c>
      <c r="C79" s="139">
        <f t="shared" si="25"/>
        <v>10159</v>
      </c>
      <c r="D79" s="49" t="s">
        <v>151</v>
      </c>
      <c r="E79" s="141" t="str">
        <f t="shared" si="26"/>
        <v/>
      </c>
      <c r="F79" s="138">
        <f t="shared" si="27"/>
        <v>0</v>
      </c>
      <c r="G79" s="383" t="s">
        <v>151</v>
      </c>
      <c r="H79" s="141" t="str">
        <f t="shared" si="28"/>
        <v/>
      </c>
      <c r="I79" s="221">
        <f t="shared" si="29"/>
        <v>0</v>
      </c>
      <c r="J79" s="71">
        <f t="shared" si="30"/>
        <v>70</v>
      </c>
      <c r="K79" s="70">
        <v>71</v>
      </c>
      <c r="L79" s="263" t="s">
        <v>173</v>
      </c>
      <c r="M79" s="70">
        <v>159</v>
      </c>
      <c r="N79" s="141">
        <f t="array" ref="N79">(IF(COUNT(V79,X79,AG79,AI79,AK79,AM79)&lt;5,SUM(V79,X79,AG79,AI79,AK79,AM79),SUM(LARGE((V79,X79,AG79,AI79,AK79,AM79),{1;2;3;4;5}))))+(IF(COUNT(W79,Y79,AC79,AH79,AJ79,AL79)&lt;5,SUM(W79,Y79,AC79,AH79,AJ79,AL79),SUM(LARGE((W79,Y79,AC79,AH79,AJ79,AL79),{1;2;3;4;5}))))+U79</f>
        <v>159</v>
      </c>
      <c r="O79" s="796">
        <v>0</v>
      </c>
      <c r="P79" s="132">
        <f t="array" ref="P79">IF(S79="n",((IF(COUNT(V79,X79,AG79,AI79,AK79,AM79)&lt;5,SUM(V79,X79,AG79,AI79,AK79,AM79),SUM(LARGE((V79,X79,AG79,AI79,AK79,AM79),{1;2;3;4;5}))))+(IF(COUNT(W79,AA79,AE79,AH79,AJ79,AL79)&lt;5,SUM(W79,AA79,AE79,AH79,AJ79,AL79),SUM(LARGE((W79,AA79,AE79,AH79,AJ79,AL79),{1;2;3;4;5}))))+U79),0)</f>
        <v>0</v>
      </c>
      <c r="Q79" s="797">
        <v>0</v>
      </c>
      <c r="R79" s="132">
        <f t="array" ref="R79">IF(T79="j",((IF(COUNT(V79,X79,AG79,AI79,AK79,AM79)&lt;5,SUM(V79,X79,AG79,AI79,AK79,AM79),SUM(LARGE((V79,X79,AG79,AI79,AK79,AM79),{1;2;3;4;5}))))+(IF(COUNT(W79,AB79,AC79,AH79,AJ79,AL79)&lt;5,SUM(W79,AB79,AC79,AH79,AJ79,AL79),SUM(LARGE((W79,AB79,AC79,AH79,AJ79,AL79),{1;2;3;4;5}))))+U79),0)</f>
        <v>0</v>
      </c>
      <c r="S79" s="676"/>
      <c r="T79" s="676"/>
      <c r="U79" s="915">
        <v>1</v>
      </c>
      <c r="V79" s="315">
        <v>79</v>
      </c>
      <c r="W79" s="316" t="s">
        <v>156</v>
      </c>
      <c r="X79" s="315">
        <v>79</v>
      </c>
      <c r="Y79" s="137"/>
      <c r="Z79" s="960"/>
      <c r="AA79" s="961"/>
      <c r="AB79" s="962"/>
      <c r="AC79" s="137"/>
      <c r="AD79" s="960"/>
      <c r="AE79" s="961"/>
      <c r="AF79" s="732"/>
      <c r="AG79" s="316" t="s">
        <v>156</v>
      </c>
      <c r="AH79" s="137"/>
      <c r="AI79" s="137"/>
      <c r="AJ79" s="137"/>
      <c r="AK79" s="137"/>
      <c r="AL79" s="137"/>
      <c r="AM79" s="137"/>
      <c r="AN79" s="30">
        <f t="shared" si="31"/>
        <v>2</v>
      </c>
      <c r="AO79" s="312">
        <f t="shared" si="32"/>
        <v>0</v>
      </c>
      <c r="AP79" s="291">
        <f t="shared" si="33"/>
        <v>0</v>
      </c>
      <c r="AQ79" s="31">
        <f t="shared" si="34"/>
        <v>0</v>
      </c>
      <c r="AR79" s="4" t="e">
        <f>COUNTIF(V79:W79,"=  ")+COUNTIF(X79:AH79,"=  ")+COUNTIF(AJ79,"=  ")+COUNTIF(AL79,"=  ")+COUNTIF(#REF!,"=  ")+COUNTIF(#REF!,"=  ")+COUNTIF(#REF!,"=  ")</f>
        <v>#REF!</v>
      </c>
      <c r="AS79" s="101" t="e">
        <f>COUNTIF(Y79,"=  ")+COUNTIF(AI79,"=  ")+COUNTIF(AK79,"=  ")+COUNTIF(AM79,"=  ")+COUNTIF(AC79,"=  ")+COUNTIF(#REF!,"=  ")</f>
        <v>#REF!</v>
      </c>
    </row>
    <row r="80" spans="1:45" x14ac:dyDescent="0.2">
      <c r="A80" s="47">
        <v>52</v>
      </c>
      <c r="B80" s="141">
        <f t="shared" si="24"/>
        <v>52</v>
      </c>
      <c r="C80" s="139">
        <f t="shared" si="25"/>
        <v>10155</v>
      </c>
      <c r="D80" s="49" t="s">
        <v>151</v>
      </c>
      <c r="E80" s="141" t="str">
        <f t="shared" si="26"/>
        <v/>
      </c>
      <c r="F80" s="138">
        <f t="shared" si="27"/>
        <v>0</v>
      </c>
      <c r="G80" s="383" t="s">
        <v>151</v>
      </c>
      <c r="H80" s="141" t="str">
        <f t="shared" si="28"/>
        <v/>
      </c>
      <c r="I80" s="221">
        <f t="shared" si="29"/>
        <v>0</v>
      </c>
      <c r="J80" s="71">
        <f t="shared" si="30"/>
        <v>72</v>
      </c>
      <c r="K80" s="70">
        <v>72</v>
      </c>
      <c r="L80" s="211" t="s">
        <v>73</v>
      </c>
      <c r="M80" s="70">
        <v>155</v>
      </c>
      <c r="N80" s="141">
        <f t="array" ref="N80">(IF(COUNT(V80,X80,AG80,AI80,AK80,AM80)&lt;5,SUM(V80,X80,AG80,AI80,AK80,AM80),SUM(LARGE((V80,X80,AG80,AI80,AK80,AM80),{1;2;3;4;5}))))+(IF(COUNT(W80,Y80,AC80,AH80,AJ80,AL80)&lt;5,SUM(W80,Y80,AC80,AH80,AJ80,AL80),SUM(LARGE((W80,Y80,AC80,AH80,AJ80,AL80),{1;2;3;4;5}))))+U80</f>
        <v>155</v>
      </c>
      <c r="O80" s="796">
        <v>0</v>
      </c>
      <c r="P80" s="132">
        <f t="array" ref="P80">IF(S80="n",((IF(COUNT(V80,X80,AG80,AI80,AK80,AM80)&lt;5,SUM(V80,X80,AG80,AI80,AK80,AM80),SUM(LARGE((V80,X80,AG80,AI80,AK80,AM80),{1;2;3;4;5}))))+(IF(COUNT(W80,AA80,AE80,AH80,AJ80,AL80)&lt;5,SUM(W80,AA80,AE80,AH80,AJ80,AL80),SUM(LARGE((W80,AA80,AE80,AH80,AJ80,AL80),{1;2;3;4;5}))))+U80),0)</f>
        <v>0</v>
      </c>
      <c r="Q80" s="797">
        <v>0</v>
      </c>
      <c r="R80" s="132">
        <f t="array" ref="R80">IF(T80="j",((IF(COUNT(V80,X80,AG80,AI80,AK80,AM80)&lt;5,SUM(V80,X80,AG80,AI80,AK80,AM80),SUM(LARGE((V80,X80,AG80,AI80,AK80,AM80),{1;2;3;4;5}))))+(IF(COUNT(W80,AB80,AC80,AH80,AJ80,AL80)&lt;5,SUM(W80,AB80,AC80,AH80,AJ80,AL80),SUM(LARGE((W80,AB80,AC80,AH80,AJ80,AL80),{1;2;3;4;5}))))+U80),0)</f>
        <v>0</v>
      </c>
      <c r="S80" s="676"/>
      <c r="T80" s="676"/>
      <c r="U80" s="915">
        <v>1</v>
      </c>
      <c r="V80" s="315">
        <v>64</v>
      </c>
      <c r="W80" s="316" t="s">
        <v>156</v>
      </c>
      <c r="X80" s="315">
        <v>56</v>
      </c>
      <c r="Y80" s="137"/>
      <c r="Z80" s="960"/>
      <c r="AA80" s="961"/>
      <c r="AB80" s="962"/>
      <c r="AC80" s="137"/>
      <c r="AD80" s="960"/>
      <c r="AE80" s="961"/>
      <c r="AF80" s="732"/>
      <c r="AG80" s="137">
        <v>34</v>
      </c>
      <c r="AH80" s="137"/>
      <c r="AI80" s="316" t="s">
        <v>156</v>
      </c>
      <c r="AJ80" s="137"/>
      <c r="AK80" s="137"/>
      <c r="AL80" s="137"/>
      <c r="AM80" s="137"/>
      <c r="AN80" s="30">
        <f t="shared" si="31"/>
        <v>3</v>
      </c>
      <c r="AO80" s="312">
        <f t="shared" si="32"/>
        <v>0</v>
      </c>
      <c r="AP80" s="291">
        <f t="shared" si="33"/>
        <v>0</v>
      </c>
      <c r="AQ80" s="31">
        <f t="shared" si="34"/>
        <v>0</v>
      </c>
      <c r="AR80" s="4" t="e">
        <f>COUNTIF(V80:W80,"=  ")+COUNTIF(X80:AH80,"=  ")+COUNTIF(AJ80,"=  ")+COUNTIF(AL80,"=  ")+COUNTIF(#REF!,"=  ")+COUNTIF(#REF!,"=  ")+COUNTIF(#REF!,"=  ")</f>
        <v>#REF!</v>
      </c>
      <c r="AS80" s="101" t="e">
        <f>COUNTIF(Y80,"=  ")+COUNTIF(AI80,"=  ")+COUNTIF(AK80,"=  ")+COUNTIF(AM80,"=  ")+COUNTIF(AC80,"=  ")+COUNTIF(#REF!,"=  ")</f>
        <v>#REF!</v>
      </c>
    </row>
    <row r="81" spans="1:45" x14ac:dyDescent="0.2">
      <c r="A81" s="47" t="s">
        <v>151</v>
      </c>
      <c r="B81" s="141" t="str">
        <f t="shared" si="24"/>
        <v/>
      </c>
      <c r="C81" s="139">
        <f t="shared" si="25"/>
        <v>0</v>
      </c>
      <c r="D81" s="49">
        <v>20</v>
      </c>
      <c r="E81" s="141">
        <f t="shared" si="26"/>
        <v>20</v>
      </c>
      <c r="F81" s="138">
        <f t="shared" si="27"/>
        <v>10209</v>
      </c>
      <c r="G81" s="383" t="s">
        <v>151</v>
      </c>
      <c r="H81" s="141" t="str">
        <f t="shared" si="28"/>
        <v/>
      </c>
      <c r="I81" s="221">
        <f t="shared" si="29"/>
        <v>0</v>
      </c>
      <c r="J81" s="71">
        <f t="shared" si="30"/>
        <v>73</v>
      </c>
      <c r="K81" s="70">
        <v>73</v>
      </c>
      <c r="L81" s="54" t="s">
        <v>329</v>
      </c>
      <c r="M81" s="302">
        <v>147</v>
      </c>
      <c r="N81" s="141">
        <f t="array" ref="N81">(IF(COUNT(V81,X81,AG81,AI81,AK81,AM81)&lt;5,SUM(V81,X81,AG81,AI81,AK81,AM81),SUM(LARGE((V81,X81,AG81,AI81,AK81,AM81),{1;2;3;4;5}))))+(IF(COUNT(W81,Y81,AC81,AH81,AJ81,AL81)&lt;5,SUM(W81,Y81,AC81,AH81,AJ81,AL81),SUM(LARGE((W81,Y81,AC81,AH81,AJ81,AL81),{1;2;3;4;5}))))+U81</f>
        <v>147</v>
      </c>
      <c r="O81" s="796">
        <v>209</v>
      </c>
      <c r="P81" s="132">
        <f t="array" ref="P81">IF(S81="n",((IF(COUNT(V81,X81,AG81,AI81,AK81,AM81)&lt;5,SUM(V81,X81,AG81,AI81,AK81,AM81),SUM(LARGE((V81,X81,AG81,AI81,AK81,AM81),{1;2;3;4;5}))))+(IF(COUNT(W81,AA81,AE81,AH81,AJ81,AL81)&lt;5,SUM(W81,AA81,AE81,AH81,AJ81,AL81),SUM(LARGE((W81,AA81,AE81,AH81,AJ81,AL81),{1;2;3;4;5}))))+U81),0)</f>
        <v>209</v>
      </c>
      <c r="Q81" s="797">
        <v>0</v>
      </c>
      <c r="R81" s="132">
        <f t="array" ref="R81">IF(T81="j",((IF(COUNT(V81,X81,AG81,AI81,AK81,AM81)&lt;5,SUM(V81,X81,AG81,AI81,AK81,AM81),SUM(LARGE((V81,X81,AG81,AI81,AK81,AM81),{1;2;3;4;5}))))+(IF(COUNT(W81,AB81,AC81,AH81,AJ81,AL81)&lt;5,SUM(W81,AB81,AC81,AH81,AJ81,AL81),SUM(LARGE((W81,AB81,AC81,AH81,AJ81,AL81),{1;2;3;4;5}))))+U81),0)</f>
        <v>0</v>
      </c>
      <c r="S81" s="676" t="s">
        <v>33</v>
      </c>
      <c r="T81" s="676"/>
      <c r="U81" s="915">
        <v>1</v>
      </c>
      <c r="V81" s="316" t="s">
        <v>156</v>
      </c>
      <c r="W81" s="316" t="s">
        <v>156</v>
      </c>
      <c r="X81" s="137"/>
      <c r="Y81" s="315">
        <v>42</v>
      </c>
      <c r="Z81" s="960"/>
      <c r="AA81" s="961">
        <v>104</v>
      </c>
      <c r="AB81" s="962"/>
      <c r="AC81" s="137"/>
      <c r="AD81" s="960"/>
      <c r="AE81" s="961"/>
      <c r="AF81" s="732"/>
      <c r="AG81" s="137"/>
      <c r="AH81" s="137"/>
      <c r="AI81" s="137"/>
      <c r="AJ81" s="137">
        <v>104</v>
      </c>
      <c r="AK81" s="137"/>
      <c r="AL81" s="137"/>
      <c r="AM81" s="137"/>
      <c r="AN81" s="30">
        <f t="shared" si="31"/>
        <v>2</v>
      </c>
      <c r="AO81" s="312">
        <f t="shared" si="32"/>
        <v>0</v>
      </c>
      <c r="AP81" s="291">
        <f t="shared" si="33"/>
        <v>0</v>
      </c>
      <c r="AQ81" s="31">
        <f t="shared" si="34"/>
        <v>0</v>
      </c>
      <c r="AR81" s="4" t="e">
        <f>COUNTIF(V81:W81,"=  ")+COUNTIF(X81:AH81,"=  ")+COUNTIF(AJ81,"=  ")+COUNTIF(AL81,"=  ")+COUNTIF(#REF!,"=  ")+COUNTIF(#REF!,"=  ")+COUNTIF(#REF!,"=  ")</f>
        <v>#REF!</v>
      </c>
      <c r="AS81" s="101" t="e">
        <f>COUNTIF(Y81,"=  ")+COUNTIF(AI81,"=  ")+COUNTIF(AK81,"=  ")+COUNTIF(AM81,"=  ")+COUNTIF(AC81,"=  ")+COUNTIF(#REF!,"=  ")</f>
        <v>#REF!</v>
      </c>
    </row>
    <row r="82" spans="1:45" x14ac:dyDescent="0.2">
      <c r="A82" s="47">
        <v>53</v>
      </c>
      <c r="B82" s="141">
        <f t="shared" si="24"/>
        <v>53</v>
      </c>
      <c r="C82" s="139">
        <f t="shared" si="25"/>
        <v>10146</v>
      </c>
      <c r="D82" s="49" t="s">
        <v>151</v>
      </c>
      <c r="E82" s="141" t="str">
        <f t="shared" si="26"/>
        <v/>
      </c>
      <c r="F82" s="138">
        <f t="shared" si="27"/>
        <v>0</v>
      </c>
      <c r="G82" s="383" t="s">
        <v>151</v>
      </c>
      <c r="H82" s="141" t="str">
        <f t="shared" si="28"/>
        <v/>
      </c>
      <c r="I82" s="221">
        <f t="shared" si="29"/>
        <v>0</v>
      </c>
      <c r="J82" s="71">
        <f t="shared" si="30"/>
        <v>74</v>
      </c>
      <c r="K82" s="70">
        <v>74</v>
      </c>
      <c r="L82" s="211" t="s">
        <v>89</v>
      </c>
      <c r="M82" s="70">
        <v>146</v>
      </c>
      <c r="N82" s="141">
        <f t="array" ref="N82">(IF(COUNT(V82,X82,AG82,AI82,AK82,AM82)&lt;5,SUM(V82,X82,AG82,AI82,AK82,AM82),SUM(LARGE((V82,X82,AG82,AI82,AK82,AM82),{1;2;3;4;5}))))+(IF(COUNT(W82,Y82,AC82,AH82,AJ82,AL82)&lt;5,SUM(W82,Y82,AC82,AH82,AJ82,AL82),SUM(LARGE((W82,Y82,AC82,AH82,AJ82,AL82),{1;2;3;4;5}))))+U82</f>
        <v>146</v>
      </c>
      <c r="O82" s="796">
        <v>0</v>
      </c>
      <c r="P82" s="132">
        <f t="array" ref="P82">IF(S82="n",((IF(COUNT(V82,X82,AG82,AI82,AK82,AM82)&lt;5,SUM(V82,X82,AG82,AI82,AK82,AM82),SUM(LARGE((V82,X82,AG82,AI82,AK82,AM82),{1;2;3;4;5}))))+(IF(COUNT(W82,AA82,AE82,AH82,AJ82,AL82)&lt;5,SUM(W82,AA82,AE82,AH82,AJ82,AL82),SUM(LARGE((W82,AA82,AE82,AH82,AJ82,AL82),{1;2;3;4;5}))))+U82),0)</f>
        <v>0</v>
      </c>
      <c r="Q82" s="797">
        <v>0</v>
      </c>
      <c r="R82" s="132">
        <f t="array" ref="R82">IF(T82="j",((IF(COUNT(V82,X82,AG82,AI82,AK82,AM82)&lt;5,SUM(V82,X82,AG82,AI82,AK82,AM82),SUM(LARGE((V82,X82,AG82,AI82,AK82,AM82),{1;2;3;4;5}))))+(IF(COUNT(W82,AB82,AC82,AH82,AJ82,AL82)&lt;5,SUM(W82,AB82,AC82,AH82,AJ82,AL82),SUM(LARGE((W82,AB82,AC82,AH82,AJ82,AL82),{1;2;3;4;5}))))+U82),0)</f>
        <v>0</v>
      </c>
      <c r="S82" s="676"/>
      <c r="T82" s="676"/>
      <c r="U82" s="915">
        <v>1</v>
      </c>
      <c r="V82" s="315">
        <v>64</v>
      </c>
      <c r="W82" s="316" t="s">
        <v>156</v>
      </c>
      <c r="X82" s="315">
        <v>56</v>
      </c>
      <c r="Y82" s="137"/>
      <c r="Z82" s="960"/>
      <c r="AA82" s="961"/>
      <c r="AB82" s="962"/>
      <c r="AC82" s="137"/>
      <c r="AD82" s="960"/>
      <c r="AE82" s="961"/>
      <c r="AF82" s="732"/>
      <c r="AG82" s="137">
        <v>25</v>
      </c>
      <c r="AH82" s="137"/>
      <c r="AI82" s="316" t="s">
        <v>156</v>
      </c>
      <c r="AJ82" s="137"/>
      <c r="AK82" s="137"/>
      <c r="AL82" s="137"/>
      <c r="AM82" s="137"/>
      <c r="AN82" s="30">
        <f t="shared" si="31"/>
        <v>3</v>
      </c>
      <c r="AO82" s="312">
        <f t="shared" si="32"/>
        <v>0</v>
      </c>
      <c r="AP82" s="291">
        <f t="shared" si="33"/>
        <v>0</v>
      </c>
      <c r="AQ82" s="31">
        <f t="shared" si="34"/>
        <v>0</v>
      </c>
      <c r="AR82" s="4" t="e">
        <f>COUNTIF(V82:W82,"=  ")+COUNTIF(X82:AH82,"=  ")+COUNTIF(AJ82,"=  ")+COUNTIF(AL82,"=  ")+COUNTIF(#REF!,"=  ")+COUNTIF(#REF!,"=  ")+COUNTIF(#REF!,"=  ")</f>
        <v>#REF!</v>
      </c>
      <c r="AS82" s="101" t="e">
        <f>COUNTIF(Y82,"=  ")+COUNTIF(AI82,"=  ")+COUNTIF(AK82,"=  ")+COUNTIF(AM82,"=  ")+COUNTIF(AC82,"=  ")+COUNTIF(#REF!,"=  ")</f>
        <v>#REF!</v>
      </c>
    </row>
    <row r="83" spans="1:45" x14ac:dyDescent="0.2">
      <c r="A83" s="47">
        <v>54</v>
      </c>
      <c r="B83" s="141">
        <f t="shared" si="24"/>
        <v>54</v>
      </c>
      <c r="C83" s="139">
        <f t="shared" si="25"/>
        <v>10138</v>
      </c>
      <c r="D83" s="49" t="s">
        <v>151</v>
      </c>
      <c r="E83" s="141" t="str">
        <f t="shared" si="26"/>
        <v/>
      </c>
      <c r="F83" s="138">
        <f t="shared" si="27"/>
        <v>0</v>
      </c>
      <c r="G83" s="383" t="s">
        <v>151</v>
      </c>
      <c r="H83" s="141" t="str">
        <f t="shared" si="28"/>
        <v/>
      </c>
      <c r="I83" s="221">
        <f t="shared" si="29"/>
        <v>0</v>
      </c>
      <c r="J83" s="71">
        <f t="shared" si="30"/>
        <v>75</v>
      </c>
      <c r="K83" s="70">
        <v>75</v>
      </c>
      <c r="L83" s="53" t="s">
        <v>146</v>
      </c>
      <c r="M83" s="302">
        <v>138</v>
      </c>
      <c r="N83" s="141">
        <f t="array" ref="N83">(IF(COUNT(V83,X83,AG83,AI83,AK83,AM83)&lt;5,SUM(V83,X83,AG83,AI83,AK83,AM83),SUM(LARGE((V83,X83,AG83,AI83,AK83,AM83),{1;2;3;4;5}))))+(IF(COUNT(W83,Y83,AC83,AH83,AJ83,AL83)&lt;5,SUM(W83,Y83,AC83,AH83,AJ83,AL83),SUM(LARGE((W83,Y83,AC83,AH83,AJ83,AL83),{1;2;3;4;5}))))+U83</f>
        <v>138</v>
      </c>
      <c r="O83" s="796">
        <v>0</v>
      </c>
      <c r="P83" s="132">
        <f t="array" ref="P83">IF(S83="n",((IF(COUNT(V83,X83,AG83,AI83,AK83,AM83)&lt;5,SUM(V83,X83,AG83,AI83,AK83,AM83),SUM(LARGE((V83,X83,AG83,AI83,AK83,AM83),{1;2;3;4;5}))))+(IF(COUNT(W83,AA83,AE83,AH83,AJ83,AL83)&lt;5,SUM(W83,AA83,AE83,AH83,AJ83,AL83),SUM(LARGE((W83,AA83,AE83,AH83,AJ83,AL83),{1;2;3;4;5}))))+U83),0)</f>
        <v>0</v>
      </c>
      <c r="Q83" s="797">
        <v>0</v>
      </c>
      <c r="R83" s="132">
        <f t="array" ref="R83">IF(T83="j",((IF(COUNT(V83,X83,AG83,AI83,AK83,AM83)&lt;5,SUM(V83,X83,AG83,AI83,AK83,AM83),SUM(LARGE((V83,X83,AG83,AI83,AK83,AM83),{1;2;3;4;5}))))+(IF(COUNT(W83,AB83,AC83,AH83,AJ83,AL83)&lt;5,SUM(W83,AB83,AC83,AH83,AJ83,AL83),SUM(LARGE((W83,AB83,AC83,AH83,AJ83,AL83),{1;2;3;4;5}))))+U83),0)</f>
        <v>0</v>
      </c>
      <c r="S83" s="676"/>
      <c r="T83" s="676"/>
      <c r="U83" s="915">
        <v>1</v>
      </c>
      <c r="V83" s="316" t="s">
        <v>156</v>
      </c>
      <c r="W83" s="316" t="s">
        <v>156</v>
      </c>
      <c r="X83" s="137"/>
      <c r="Y83" s="315">
        <v>33</v>
      </c>
      <c r="Z83" s="960">
        <v>33</v>
      </c>
      <c r="AA83" s="961"/>
      <c r="AB83" s="962"/>
      <c r="AC83" s="137"/>
      <c r="AD83" s="960"/>
      <c r="AE83" s="961"/>
      <c r="AF83" s="732"/>
      <c r="AG83" s="137"/>
      <c r="AH83" s="137"/>
      <c r="AI83" s="137"/>
      <c r="AJ83" s="137">
        <v>104</v>
      </c>
      <c r="AK83" s="137"/>
      <c r="AL83" s="137"/>
      <c r="AM83" s="137"/>
      <c r="AN83" s="30">
        <f t="shared" si="31"/>
        <v>2</v>
      </c>
      <c r="AO83" s="312">
        <f t="shared" si="32"/>
        <v>0</v>
      </c>
      <c r="AP83" s="291">
        <f t="shared" si="33"/>
        <v>0</v>
      </c>
      <c r="AQ83" s="31">
        <f t="shared" si="34"/>
        <v>0</v>
      </c>
      <c r="AR83" s="4" t="e">
        <f>COUNTIF(V83:W83,"=  ")+COUNTIF(X83:AH83,"=  ")+COUNTIF(AJ83,"=  ")+COUNTIF(AL83,"=  ")+COUNTIF(#REF!,"=  ")+COUNTIF(#REF!,"=  ")+COUNTIF(#REF!,"=  ")</f>
        <v>#REF!</v>
      </c>
      <c r="AS83" s="101" t="e">
        <f>COUNTIF(Y83,"=  ")+COUNTIF(AI83,"=  ")+COUNTIF(AK83,"=  ")+COUNTIF(AM83,"=  ")+COUNTIF(AC83,"=  ")+COUNTIF(#REF!,"=  ")</f>
        <v>#REF!</v>
      </c>
    </row>
    <row r="84" spans="1:45" x14ac:dyDescent="0.2">
      <c r="A84" s="47">
        <v>55</v>
      </c>
      <c r="B84" s="141">
        <f t="shared" si="24"/>
        <v>55</v>
      </c>
      <c r="C84" s="139">
        <f t="shared" si="25"/>
        <v>10131</v>
      </c>
      <c r="D84" s="49" t="s">
        <v>151</v>
      </c>
      <c r="E84" s="141" t="str">
        <f t="shared" si="26"/>
        <v/>
      </c>
      <c r="F84" s="138">
        <f t="shared" si="27"/>
        <v>0</v>
      </c>
      <c r="G84" s="383" t="s">
        <v>151</v>
      </c>
      <c r="H84" s="141" t="str">
        <f t="shared" si="28"/>
        <v/>
      </c>
      <c r="I84" s="221">
        <f t="shared" si="29"/>
        <v>0</v>
      </c>
      <c r="J84" s="71">
        <f t="shared" si="30"/>
        <v>76</v>
      </c>
      <c r="K84" s="70">
        <v>76</v>
      </c>
      <c r="L84" s="211" t="s">
        <v>39</v>
      </c>
      <c r="M84" s="70">
        <v>131</v>
      </c>
      <c r="N84" s="141">
        <f t="array" ref="N84">(IF(COUNT(V84,X84,AG84,AI84,AK84,AM84)&lt;5,SUM(V84,X84,AG84,AI84,AK84,AM84),SUM(LARGE((V84,X84,AG84,AI84,AK84,AM84),{1;2;3;4;5}))))+(IF(COUNT(W84,Y84,AC84,AH84,AJ84,AL84)&lt;5,SUM(W84,Y84,AC84,AH84,AJ84,AL84),SUM(LARGE((W84,Y84,AC84,AH84,AJ84,AL84),{1;2;3;4;5}))))+U84</f>
        <v>131</v>
      </c>
      <c r="O84" s="796">
        <v>0</v>
      </c>
      <c r="P84" s="132">
        <f t="array" ref="P84">IF(S84="n",((IF(COUNT(V84,X84,AG84,AI84,AK84,AM84)&lt;5,SUM(V84,X84,AG84,AI84,AK84,AM84),SUM(LARGE((V84,X84,AG84,AI84,AK84,AM84),{1;2;3;4;5}))))+(IF(COUNT(W84,AA84,AE84,AH84,AJ84,AL84)&lt;5,SUM(W84,AA84,AE84,AH84,AJ84,AL84),SUM(LARGE((W84,AA84,AE84,AH84,AJ84,AL84),{1;2;3;4;5}))))+U84),0)</f>
        <v>0</v>
      </c>
      <c r="Q84" s="797">
        <v>0</v>
      </c>
      <c r="R84" s="132">
        <f t="array" ref="R84">IF(T84="j",((IF(COUNT(V84,X84,AG84,AI84,AK84,AM84)&lt;5,SUM(V84,X84,AG84,AI84,AK84,AM84),SUM(LARGE((V84,X84,AG84,AI84,AK84,AM84),{1;2;3;4;5}))))+(IF(COUNT(W84,AB84,AC84,AH84,AJ84,AL84)&lt;5,SUM(W84,AB84,AC84,AH84,AJ84,AL84),SUM(LARGE((W84,AB84,AC84,AH84,AJ84,AL84),{1;2;3;4;5}))))+U84),0)</f>
        <v>0</v>
      </c>
      <c r="S84" s="676"/>
      <c r="T84" s="676"/>
      <c r="U84" s="915">
        <v>1</v>
      </c>
      <c r="V84" s="316" t="s">
        <v>156</v>
      </c>
      <c r="W84" s="316" t="s">
        <v>156</v>
      </c>
      <c r="X84" s="137"/>
      <c r="Y84" s="137"/>
      <c r="Z84" s="960"/>
      <c r="AA84" s="961"/>
      <c r="AB84" s="962"/>
      <c r="AC84" s="137"/>
      <c r="AD84" s="960"/>
      <c r="AE84" s="961"/>
      <c r="AF84" s="732"/>
      <c r="AG84" s="137"/>
      <c r="AH84" s="137"/>
      <c r="AI84" s="281"/>
      <c r="AJ84" s="137"/>
      <c r="AK84" s="137"/>
      <c r="AL84" s="137">
        <v>74</v>
      </c>
      <c r="AM84" s="137">
        <v>56</v>
      </c>
      <c r="AN84" s="30">
        <f t="shared" si="31"/>
        <v>2</v>
      </c>
      <c r="AO84" s="312">
        <f t="shared" si="32"/>
        <v>0</v>
      </c>
      <c r="AP84" s="291">
        <f t="shared" si="33"/>
        <v>0</v>
      </c>
      <c r="AQ84" s="31">
        <f t="shared" si="34"/>
        <v>0</v>
      </c>
      <c r="AR84" s="4" t="e">
        <f>COUNTIF(V84:W84,"=  ")+COUNTIF(X84:AH84,"=  ")+COUNTIF(AJ84,"=  ")+COUNTIF(AL84,"=  ")+COUNTIF(#REF!,"=  ")+COUNTIF(#REF!,"=  ")+COUNTIF(#REF!,"=  ")</f>
        <v>#REF!</v>
      </c>
      <c r="AS84" s="101" t="e">
        <f>COUNTIF(Y84,"=  ")+COUNTIF(AI84,"=  ")+COUNTIF(AK84,"=  ")+COUNTIF(AM84,"=  ")+COUNTIF(AC84,"=  ")+COUNTIF(#REF!,"=  ")</f>
        <v>#REF!</v>
      </c>
    </row>
    <row r="85" spans="1:45" x14ac:dyDescent="0.2">
      <c r="A85" s="47" t="s">
        <v>151</v>
      </c>
      <c r="B85" s="141" t="str">
        <f t="shared" si="24"/>
        <v/>
      </c>
      <c r="C85" s="139">
        <f t="shared" si="25"/>
        <v>0</v>
      </c>
      <c r="D85" s="49">
        <v>22</v>
      </c>
      <c r="E85" s="141">
        <f t="shared" si="26"/>
        <v>22</v>
      </c>
      <c r="F85" s="138">
        <f t="shared" si="27"/>
        <v>10130</v>
      </c>
      <c r="G85" s="383" t="s">
        <v>151</v>
      </c>
      <c r="H85" s="141" t="str">
        <f t="shared" si="28"/>
        <v/>
      </c>
      <c r="I85" s="221">
        <f t="shared" si="29"/>
        <v>0</v>
      </c>
      <c r="J85" s="71">
        <f t="shared" si="30"/>
        <v>77</v>
      </c>
      <c r="K85" s="70">
        <v>77</v>
      </c>
      <c r="L85" s="51" t="s">
        <v>70</v>
      </c>
      <c r="M85" s="70">
        <v>130</v>
      </c>
      <c r="N85" s="141">
        <f t="array" ref="N85">(IF(COUNT(V85,X85,AG85,AI85,AK85,AM85)&lt;5,SUM(V85,X85,AG85,AI85,AK85,AM85),SUM(LARGE((V85,X85,AG85,AI85,AK85,AM85),{1;2;3;4;5}))))+(IF(COUNT(W85,Y85,AC85,AH85,AJ85,AL85)&lt;5,SUM(W85,Y85,AC85,AH85,AJ85,AL85),SUM(LARGE((W85,Y85,AC85,AH85,AJ85,AL85),{1;2;3;4;5}))))+U85</f>
        <v>130</v>
      </c>
      <c r="O85" s="796">
        <v>130</v>
      </c>
      <c r="P85" s="132">
        <f t="array" ref="P85">IF(S85="n",((IF(COUNT(V85,X85,AG85,AI85,AK85,AM85)&lt;5,SUM(V85,X85,AG85,AI85,AK85,AM85),SUM(LARGE((V85,X85,AG85,AI85,AK85,AM85),{1;2;3;4;5}))))+(IF(COUNT(W85,AA85,AE85,AH85,AJ85,AL85)&lt;5,SUM(W85,AA85,AE85,AH85,AJ85,AL85),SUM(LARGE((W85,AA85,AE85,AH85,AJ85,AL85),{1;2;3;4;5}))))+U85),0)</f>
        <v>130</v>
      </c>
      <c r="Q85" s="797">
        <v>0</v>
      </c>
      <c r="R85" s="132">
        <f t="array" ref="R85">IF(T85="j",((IF(COUNT(V85,X85,AG85,AI85,AK85,AM85)&lt;5,SUM(V85,X85,AG85,AI85,AK85,AM85),SUM(LARGE((V85,X85,AG85,AI85,AK85,AM85),{1;2;3;4;5}))))+(IF(COUNT(W85,AB85,AC85,AH85,AJ85,AL85)&lt;5,SUM(W85,AB85,AC85,AH85,AJ85,AL85),SUM(LARGE((W85,AB85,AC85,AH85,AJ85,AL85),{1;2;3;4;5}))))+U85),0)</f>
        <v>0</v>
      </c>
      <c r="S85" s="676" t="s">
        <v>33</v>
      </c>
      <c r="T85" s="676"/>
      <c r="U85" s="915">
        <v>1</v>
      </c>
      <c r="V85" s="316" t="s">
        <v>156</v>
      </c>
      <c r="W85" s="315">
        <v>60</v>
      </c>
      <c r="X85" s="315">
        <v>69</v>
      </c>
      <c r="Y85" s="316" t="s">
        <v>156</v>
      </c>
      <c r="Z85" s="960"/>
      <c r="AA85" s="961"/>
      <c r="AB85" s="962"/>
      <c r="AC85" s="137"/>
      <c r="AD85" s="960"/>
      <c r="AE85" s="961"/>
      <c r="AF85" s="732"/>
      <c r="AG85" s="137"/>
      <c r="AH85" s="137"/>
      <c r="AI85" s="137"/>
      <c r="AJ85" s="137"/>
      <c r="AK85" s="137"/>
      <c r="AL85" s="137"/>
      <c r="AM85" s="137"/>
      <c r="AN85" s="30">
        <f t="shared" si="31"/>
        <v>2</v>
      </c>
      <c r="AO85" s="312">
        <f t="shared" si="32"/>
        <v>0</v>
      </c>
      <c r="AP85" s="291">
        <f t="shared" si="33"/>
        <v>0</v>
      </c>
      <c r="AQ85" s="31">
        <f t="shared" si="34"/>
        <v>0</v>
      </c>
      <c r="AR85" s="4" t="e">
        <f>COUNTIF(V85:W85,"=  ")+COUNTIF(X85:AH85,"=  ")+COUNTIF(AJ85,"=  ")+COUNTIF(AL85,"=  ")+COUNTIF(#REF!,"=  ")+COUNTIF(#REF!,"=  ")+COUNTIF(#REF!,"=  ")</f>
        <v>#REF!</v>
      </c>
      <c r="AS85" s="101" t="e">
        <f>COUNTIF(Y85,"=  ")+COUNTIF(AI85,"=  ")+COUNTIF(AK85,"=  ")+COUNTIF(AM85,"=  ")+COUNTIF(AC85,"=  ")+COUNTIF(#REF!,"=  ")</f>
        <v>#REF!</v>
      </c>
    </row>
    <row r="86" spans="1:45" x14ac:dyDescent="0.2">
      <c r="A86" s="47">
        <v>56</v>
      </c>
      <c r="B86" s="141">
        <f t="shared" si="24"/>
        <v>56</v>
      </c>
      <c r="C86" s="139">
        <f t="shared" si="25"/>
        <v>10129</v>
      </c>
      <c r="D86" s="49" t="s">
        <v>151</v>
      </c>
      <c r="E86" s="141" t="str">
        <f t="shared" si="26"/>
        <v/>
      </c>
      <c r="F86" s="138">
        <f t="shared" si="27"/>
        <v>0</v>
      </c>
      <c r="G86" s="383" t="s">
        <v>151</v>
      </c>
      <c r="H86" s="141" t="str">
        <f t="shared" si="28"/>
        <v/>
      </c>
      <c r="I86" s="221">
        <f t="shared" si="29"/>
        <v>0</v>
      </c>
      <c r="J86" s="71">
        <f t="shared" si="30"/>
        <v>78</v>
      </c>
      <c r="K86" s="70">
        <v>78</v>
      </c>
      <c r="L86" s="211" t="s">
        <v>872</v>
      </c>
      <c r="M86" s="70">
        <v>129</v>
      </c>
      <c r="N86" s="141">
        <f t="array" ref="N86">(IF(COUNT(V86,X86,AG86,AI86,AK86,AM86)&lt;5,SUM(V86,X86,AG86,AI86,AK86,AM86),SUM(LARGE((V86,X86,AG86,AI86,AK86,AM86),{1;2;3;4;5}))))+(IF(COUNT(W86,Y86,AC86,AH86,AJ86,AL86)&lt;5,SUM(W86,Y86,AC86,AH86,AJ86,AL86),SUM(LARGE((W86,Y86,AC86,AH86,AJ86,AL86),{1;2;3;4;5}))))+U86</f>
        <v>129</v>
      </c>
      <c r="O86" s="796">
        <v>0</v>
      </c>
      <c r="P86" s="132">
        <f t="array" ref="P86">IF(S86="n",((IF(COUNT(V86,X86,AG86,AI86,AK86,AM86)&lt;5,SUM(V86,X86,AG86,AI86,AK86,AM86),SUM(LARGE((V86,X86,AG86,AI86,AK86,AM86),{1;2;3;4;5}))))+(IF(COUNT(W86,AA86,AE86,AH86,AJ86,AL86)&lt;5,SUM(W86,AA86,AE86,AH86,AJ86,AL86),SUM(LARGE((W86,AA86,AE86,AH86,AJ86,AL86),{1;2;3;4;5}))))+U86),0)</f>
        <v>0</v>
      </c>
      <c r="Q86" s="797">
        <v>0</v>
      </c>
      <c r="R86" s="132">
        <f t="array" ref="R86">IF(T86="j",((IF(COUNT(V86,X86,AG86,AI86,AK86,AM86)&lt;5,SUM(V86,X86,AG86,AI86,AK86,AM86),SUM(LARGE((V86,X86,AG86,AI86,AK86,AM86),{1;2;3;4;5}))))+(IF(COUNT(W86,AB86,AC86,AH86,AJ86,AL86)&lt;5,SUM(W86,AB86,AC86,AH86,AJ86,AL86),SUM(LARGE((W86,AB86,AC86,AH86,AJ86,AL86),{1;2;3;4;5}))))+U86),0)</f>
        <v>0</v>
      </c>
      <c r="S86" s="676"/>
      <c r="T86" s="676"/>
      <c r="U86" s="915"/>
      <c r="V86" s="316" t="s">
        <v>156</v>
      </c>
      <c r="W86" s="316" t="s">
        <v>156</v>
      </c>
      <c r="X86" s="315"/>
      <c r="Y86" s="137"/>
      <c r="Z86" s="960"/>
      <c r="AA86" s="961"/>
      <c r="AB86" s="962"/>
      <c r="AC86" s="137"/>
      <c r="AD86" s="960"/>
      <c r="AE86" s="961"/>
      <c r="AF86" s="732"/>
      <c r="AG86" s="137"/>
      <c r="AH86" s="137"/>
      <c r="AI86" s="137"/>
      <c r="AJ86" s="137"/>
      <c r="AK86" s="137"/>
      <c r="AL86" s="137">
        <v>69</v>
      </c>
      <c r="AM86" s="137">
        <v>60</v>
      </c>
      <c r="AN86" s="30">
        <f t="shared" si="31"/>
        <v>2</v>
      </c>
      <c r="AO86" s="312">
        <f t="shared" si="32"/>
        <v>0</v>
      </c>
      <c r="AP86" s="291">
        <f t="shared" si="33"/>
        <v>0</v>
      </c>
      <c r="AQ86" s="31">
        <f t="shared" si="34"/>
        <v>0</v>
      </c>
      <c r="AS86" s="101"/>
    </row>
    <row r="87" spans="1:45" x14ac:dyDescent="0.2">
      <c r="A87" s="47" t="s">
        <v>151</v>
      </c>
      <c r="B87" s="141" t="str">
        <f t="shared" si="24"/>
        <v/>
      </c>
      <c r="C87" s="139">
        <f t="shared" si="25"/>
        <v>0</v>
      </c>
      <c r="D87" s="49">
        <v>24</v>
      </c>
      <c r="E87" s="141">
        <f t="shared" si="26"/>
        <v>24</v>
      </c>
      <c r="F87" s="138">
        <f t="shared" si="27"/>
        <v>10111</v>
      </c>
      <c r="G87" s="383">
        <v>7</v>
      </c>
      <c r="H87" s="141">
        <f t="shared" si="28"/>
        <v>7</v>
      </c>
      <c r="I87" s="221">
        <f t="shared" si="29"/>
        <v>10111</v>
      </c>
      <c r="J87" s="71">
        <f t="shared" si="30"/>
        <v>79</v>
      </c>
      <c r="K87" s="70">
        <v>79</v>
      </c>
      <c r="L87" s="298" t="s">
        <v>339</v>
      </c>
      <c r="M87" s="70">
        <v>111</v>
      </c>
      <c r="N87" s="141">
        <f t="array" ref="N87">(IF(COUNT(V87,X87,AG87,AI87,AK87,AM87)&lt;5,SUM(V87,X87,AG87,AI87,AK87,AM87),SUM(LARGE((V87,X87,AG87,AI87,AK87,AM87),{1;2;3;4;5}))))+(IF(COUNT(W87,Y87,AC87,AH87,AJ87,AL87)&lt;5,SUM(W87,Y87,AC87,AH87,AJ87,AL87),SUM(LARGE((W87,Y87,AC87,AH87,AJ87,AL87),{1;2;3;4;5}))))+U87</f>
        <v>111</v>
      </c>
      <c r="O87" s="796">
        <v>111</v>
      </c>
      <c r="P87" s="132">
        <f t="array" ref="P87">IF(S87="n",((IF(COUNT(V87,X87,AG87,AI87,AK87,AM87)&lt;5,SUM(V87,X87,AG87,AI87,AK87,AM87),SUM(LARGE((V87,X87,AG87,AI87,AK87,AM87),{1;2;3;4;5}))))+(IF(COUNT(W87,AA87,AE87,AH87,AJ87,AL87)&lt;5,SUM(W87,AA87,AE87,AH87,AJ87,AL87),SUM(LARGE((W87,AA87,AE87,AH87,AJ87,AL87),{1;2;3;4;5}))))+U87),0)</f>
        <v>111</v>
      </c>
      <c r="Q87" s="797">
        <v>111</v>
      </c>
      <c r="R87" s="132">
        <f t="array" ref="R87">IF(T87="j",((IF(COUNT(V87,X87,AG87,AI87,AK87,AM87)&lt;5,SUM(V87,X87,AG87,AI87,AK87,AM87),SUM(LARGE((V87,X87,AG87,AI87,AK87,AM87),{1;2;3;4;5}))))+(IF(COUNT(W87,AB87,AC87,AH87,AJ87,AL87)&lt;5,SUM(W87,AB87,AC87,AH87,AJ87,AL87),SUM(LARGE((W87,AB87,AC87,AH87,AJ87,AL87),{1;2;3;4;5}))))+U87),0)</f>
        <v>111</v>
      </c>
      <c r="S87" s="676" t="s">
        <v>33</v>
      </c>
      <c r="T87" s="676" t="s">
        <v>46</v>
      </c>
      <c r="U87" s="915">
        <v>1</v>
      </c>
      <c r="V87" s="316" t="s">
        <v>156</v>
      </c>
      <c r="W87" s="315">
        <v>51</v>
      </c>
      <c r="X87" s="315">
        <v>43</v>
      </c>
      <c r="Y87" s="316" t="s">
        <v>156</v>
      </c>
      <c r="Z87" s="960"/>
      <c r="AA87" s="961"/>
      <c r="AB87" s="962"/>
      <c r="AC87" s="137"/>
      <c r="AD87" s="960"/>
      <c r="AE87" s="961"/>
      <c r="AF87" s="732"/>
      <c r="AG87" s="137">
        <v>16</v>
      </c>
      <c r="AH87" s="137"/>
      <c r="AI87" s="137"/>
      <c r="AJ87" s="137"/>
      <c r="AK87" s="137"/>
      <c r="AL87" s="137"/>
      <c r="AM87" s="137"/>
      <c r="AN87" s="30">
        <f t="shared" si="31"/>
        <v>3</v>
      </c>
      <c r="AO87" s="312">
        <f t="shared" si="32"/>
        <v>0</v>
      </c>
      <c r="AP87" s="291">
        <f t="shared" si="33"/>
        <v>0</v>
      </c>
      <c r="AQ87" s="31">
        <f t="shared" si="34"/>
        <v>0</v>
      </c>
      <c r="AR87" s="4" t="e">
        <f>COUNTIF(V87:W87,"=  ")+COUNTIF(X87:AH87,"=  ")+COUNTIF(AJ87,"=  ")+COUNTIF(AL87,"=  ")+COUNTIF(#REF!,"=  ")+COUNTIF(#REF!,"=  ")+COUNTIF(#REF!,"=  ")</f>
        <v>#REF!</v>
      </c>
      <c r="AS87" s="101" t="e">
        <f>COUNTIF(Y87,"=  ")+COUNTIF(AI87,"=  ")+COUNTIF(AK87,"=  ")+COUNTIF(AM87,"=  ")+COUNTIF(AC87,"=  ")+COUNTIF(#REF!,"=  ")</f>
        <v>#REF!</v>
      </c>
    </row>
    <row r="88" spans="1:45" x14ac:dyDescent="0.2">
      <c r="A88" s="47">
        <v>57</v>
      </c>
      <c r="B88" s="141">
        <f t="shared" si="24"/>
        <v>57</v>
      </c>
      <c r="C88" s="139">
        <f t="shared" si="25"/>
        <v>10108</v>
      </c>
      <c r="D88" s="49" t="s">
        <v>151</v>
      </c>
      <c r="E88" s="141" t="str">
        <f t="shared" si="26"/>
        <v/>
      </c>
      <c r="F88" s="138">
        <f t="shared" si="27"/>
        <v>0</v>
      </c>
      <c r="G88" s="383" t="s">
        <v>151</v>
      </c>
      <c r="H88" s="141" t="str">
        <f t="shared" si="28"/>
        <v/>
      </c>
      <c r="I88" s="221">
        <f t="shared" si="29"/>
        <v>0</v>
      </c>
      <c r="J88" s="71">
        <f t="shared" si="30"/>
        <v>80</v>
      </c>
      <c r="K88" s="70">
        <v>80</v>
      </c>
      <c r="L88" s="53" t="s">
        <v>224</v>
      </c>
      <c r="M88" s="302">
        <v>108</v>
      </c>
      <c r="N88" s="141">
        <f t="array" ref="N88">(IF(COUNT(V88,X88,AG88,AI88,AK88,AM88)&lt;5,SUM(V88,X88,AG88,AI88,AK88,AM88),SUM(LARGE((V88,X88,AG88,AI88,AK88,AM88),{1;2;3;4;5}))))+(IF(COUNT(W88,Y88,AC88,AH88,AJ88,AL88)&lt;5,SUM(W88,Y88,AC88,AH88,AJ88,AL88),SUM(LARGE((W88,Y88,AC88,AH88,AJ88,AL88),{1;2;3;4;5}))))+U88</f>
        <v>108</v>
      </c>
      <c r="O88" s="796">
        <v>0</v>
      </c>
      <c r="P88" s="132">
        <f t="array" ref="P88">IF(S88="n",((IF(COUNT(V88,X88,AG88,AI88,AK88,AM88)&lt;5,SUM(V88,X88,AG88,AI88,AK88,AM88),SUM(LARGE((V88,X88,AG88,AI88,AK88,AM88),{1;2;3;4;5}))))+(IF(COUNT(W88,AA88,AE88,AH88,AJ88,AL88)&lt;5,SUM(W88,AA88,AE88,AH88,AJ88,AL88),SUM(LARGE((W88,AA88,AE88,AH88,AJ88,AL88),{1;2;3;4;5}))))+U88),0)</f>
        <v>0</v>
      </c>
      <c r="Q88" s="797">
        <v>0</v>
      </c>
      <c r="R88" s="132">
        <f t="array" ref="R88">IF(T88="j",((IF(COUNT(V88,X88,AG88,AI88,AK88,AM88)&lt;5,SUM(V88,X88,AG88,AI88,AK88,AM88),SUM(LARGE((V88,X88,AG88,AI88,AK88,AM88),{1;2;3;4;5}))))+(IF(COUNT(W88,AB88,AC88,AH88,AJ88,AL88)&lt;5,SUM(W88,AB88,AC88,AH88,AJ88,AL88),SUM(LARGE((W88,AB88,AC88,AH88,AJ88,AL88),{1;2;3;4;5}))))+U88),0)</f>
        <v>0</v>
      </c>
      <c r="S88" s="676"/>
      <c r="T88" s="676"/>
      <c r="U88" s="915">
        <v>3</v>
      </c>
      <c r="V88" s="316" t="s">
        <v>156</v>
      </c>
      <c r="W88" s="316" t="s">
        <v>156</v>
      </c>
      <c r="X88" s="137"/>
      <c r="Y88" s="137"/>
      <c r="Z88" s="960"/>
      <c r="AA88" s="961"/>
      <c r="AB88" s="962"/>
      <c r="AC88" s="137"/>
      <c r="AD88" s="960"/>
      <c r="AE88" s="961"/>
      <c r="AF88" s="732"/>
      <c r="AG88" s="137"/>
      <c r="AH88" s="137"/>
      <c r="AI88" s="137"/>
      <c r="AJ88" s="137"/>
      <c r="AK88" s="137">
        <v>105</v>
      </c>
      <c r="AL88" s="137"/>
      <c r="AM88" s="137"/>
      <c r="AN88" s="30">
        <f t="shared" si="31"/>
        <v>1</v>
      </c>
      <c r="AO88" s="312">
        <f t="shared" si="32"/>
        <v>1</v>
      </c>
      <c r="AP88" s="291">
        <f t="shared" si="33"/>
        <v>0</v>
      </c>
      <c r="AQ88" s="31">
        <f t="shared" si="34"/>
        <v>0</v>
      </c>
      <c r="AR88" s="4" t="e">
        <f>COUNTIF(V88:W88,"=  ")+COUNTIF(X88:AH88,"=  ")+COUNTIF(AJ88,"=  ")+COUNTIF(AL88,"=  ")+COUNTIF(#REF!,"=  ")+COUNTIF(#REF!,"=  ")+COUNTIF(#REF!,"=  ")</f>
        <v>#REF!</v>
      </c>
      <c r="AS88" s="101" t="e">
        <f>COUNTIF(Y88,"=  ")+COUNTIF(AI88,"=  ")+COUNTIF(AK88,"=  ")+COUNTIF(AM88,"=  ")+COUNTIF(AC88,"=  ")+COUNTIF(#REF!,"=  ")</f>
        <v>#REF!</v>
      </c>
    </row>
    <row r="89" spans="1:45" x14ac:dyDescent="0.2">
      <c r="A89" s="47">
        <v>58</v>
      </c>
      <c r="B89" s="141">
        <f t="shared" si="24"/>
        <v>58</v>
      </c>
      <c r="C89" s="139">
        <f t="shared" si="25"/>
        <v>10105</v>
      </c>
      <c r="D89" s="49" t="s">
        <v>151</v>
      </c>
      <c r="E89" s="141" t="str">
        <f t="shared" si="26"/>
        <v/>
      </c>
      <c r="F89" s="138">
        <f t="shared" si="27"/>
        <v>0</v>
      </c>
      <c r="G89" s="383" t="s">
        <v>151</v>
      </c>
      <c r="H89" s="141" t="str">
        <f t="shared" si="28"/>
        <v/>
      </c>
      <c r="I89" s="221">
        <f t="shared" si="29"/>
        <v>0</v>
      </c>
      <c r="J89" s="71">
        <f t="shared" si="30"/>
        <v>81</v>
      </c>
      <c r="K89" s="70">
        <v>81</v>
      </c>
      <c r="L89" s="211" t="s">
        <v>82</v>
      </c>
      <c r="M89" s="70">
        <v>105</v>
      </c>
      <c r="N89" s="141">
        <f t="array" ref="N89">(IF(COUNT(V89,X89,AG89,AI89,AK89,AM89)&lt;5,SUM(V89,X89,AG89,AI89,AK89,AM89),SUM(LARGE((V89,X89,AG89,AI89,AK89,AM89),{1;2;3;4;5}))))+(IF(COUNT(W89,Y89,AC89,AH89,AJ89,AL89)&lt;5,SUM(W89,Y89,AC89,AH89,AJ89,AL89),SUM(LARGE((W89,Y89,AC89,AH89,AJ89,AL89),{1;2;3;4;5}))))+U89</f>
        <v>105</v>
      </c>
      <c r="O89" s="796">
        <v>0</v>
      </c>
      <c r="P89" s="132">
        <f t="array" ref="P89">IF(S89="n",((IF(COUNT(V89,X89,AG89,AI89,AK89,AM89)&lt;5,SUM(V89,X89,AG89,AI89,AK89,AM89),SUM(LARGE((V89,X89,AG89,AI89,AK89,AM89),{1;2;3;4;5}))))+(IF(COUNT(W89,AA89,AE89,AH89,AJ89,AL89)&lt;5,SUM(W89,AA89,AE89,AH89,AJ89,AL89),SUM(LARGE((W89,AA89,AE89,AH89,AJ89,AL89),{1;2;3;4;5}))))+U89),0)</f>
        <v>0</v>
      </c>
      <c r="Q89" s="797">
        <v>0</v>
      </c>
      <c r="R89" s="132">
        <f t="array" ref="R89">IF(T89="j",((IF(COUNT(V89,X89,AG89,AI89,AK89,AM89)&lt;5,SUM(V89,X89,AG89,AI89,AK89,AM89),SUM(LARGE((V89,X89,AG89,AI89,AK89,AM89),{1;2;3;4;5}))))+(IF(COUNT(W89,AB89,AC89,AH89,AJ89,AL89)&lt;5,SUM(W89,AB89,AC89,AH89,AJ89,AL89),SUM(LARGE((W89,AB89,AC89,AH89,AJ89,AL89),{1;2;3;4;5}))))+U89),0)</f>
        <v>0</v>
      </c>
      <c r="S89" s="676"/>
      <c r="T89" s="676"/>
      <c r="U89" s="915">
        <v>1</v>
      </c>
      <c r="V89" s="316" t="s">
        <v>156</v>
      </c>
      <c r="W89" s="316" t="s">
        <v>156</v>
      </c>
      <c r="X89" s="137"/>
      <c r="Y89" s="137"/>
      <c r="Z89" s="960"/>
      <c r="AA89" s="961"/>
      <c r="AB89" s="962"/>
      <c r="AC89" s="137"/>
      <c r="AD89" s="960"/>
      <c r="AE89" s="961"/>
      <c r="AF89" s="732"/>
      <c r="AG89" s="137"/>
      <c r="AH89" s="137"/>
      <c r="AI89" s="137"/>
      <c r="AJ89" s="137"/>
      <c r="AK89" s="137"/>
      <c r="AL89" s="137">
        <v>104</v>
      </c>
      <c r="AM89" s="137"/>
      <c r="AN89" s="30">
        <f t="shared" si="31"/>
        <v>1</v>
      </c>
      <c r="AO89" s="312">
        <f t="shared" si="32"/>
        <v>0</v>
      </c>
      <c r="AP89" s="291">
        <f t="shared" si="33"/>
        <v>0</v>
      </c>
      <c r="AQ89" s="31">
        <f t="shared" si="34"/>
        <v>0</v>
      </c>
      <c r="AR89" s="4" t="e">
        <f>COUNTIF(V89:W89,"=  ")+COUNTIF(X89:AH89,"=  ")+COUNTIF(AJ89,"=  ")+COUNTIF(AL89,"=  ")+COUNTIF(#REF!,"=  ")+COUNTIF(#REF!,"=  ")+COUNTIF(#REF!,"=  ")</f>
        <v>#REF!</v>
      </c>
      <c r="AS89" s="101" t="e">
        <f>COUNTIF(Y89,"=  ")+COUNTIF(AI89,"=  ")+COUNTIF(AK89,"=  ")+COUNTIF(AM89,"=  ")+COUNTIF(AC89,"=  ")+COUNTIF(#REF!,"=  ")</f>
        <v>#REF!</v>
      </c>
    </row>
    <row r="90" spans="1:45" x14ac:dyDescent="0.2">
      <c r="A90" s="47">
        <v>59</v>
      </c>
      <c r="B90" s="141">
        <f t="shared" si="24"/>
        <v>59</v>
      </c>
      <c r="C90" s="139">
        <f t="shared" si="25"/>
        <v>10102</v>
      </c>
      <c r="D90" s="49" t="s">
        <v>151</v>
      </c>
      <c r="E90" s="141" t="str">
        <f t="shared" si="26"/>
        <v/>
      </c>
      <c r="F90" s="138">
        <f t="shared" si="27"/>
        <v>0</v>
      </c>
      <c r="G90" s="383" t="s">
        <v>151</v>
      </c>
      <c r="H90" s="141" t="str">
        <f t="shared" si="28"/>
        <v/>
      </c>
      <c r="I90" s="221">
        <f t="shared" si="29"/>
        <v>0</v>
      </c>
      <c r="J90" s="71">
        <f t="shared" si="30"/>
        <v>82</v>
      </c>
      <c r="K90" s="70">
        <v>82</v>
      </c>
      <c r="L90" s="263" t="s">
        <v>332</v>
      </c>
      <c r="M90" s="70">
        <v>102</v>
      </c>
      <c r="N90" s="141">
        <f t="array" ref="N90">(IF(COUNT(V90,X90,AG90,AI90,AK90,AM90)&lt;5,SUM(V90,X90,AG90,AI90,AK90,AM90),SUM(LARGE((V90,X90,AG90,AI90,AK90,AM90),{1;2;3;4;5}))))+(IF(COUNT(W90,Y90,AC90,AH90,AJ90,AL90)&lt;5,SUM(W90,Y90,AC90,AH90,AJ90,AL90),SUM(LARGE((W90,Y90,AC90,AH90,AJ90,AL90),{1;2;3;4;5}))))+U90</f>
        <v>102</v>
      </c>
      <c r="O90" s="796">
        <v>0</v>
      </c>
      <c r="P90" s="132">
        <f t="array" ref="P90">IF(S90="n",((IF(COUNT(V90,X90,AG90,AI90,AK90,AM90)&lt;5,SUM(V90,X90,AG90,AI90,AK90,AM90),SUM(LARGE((V90,X90,AG90,AI90,AK90,AM90),{1;2;3;4;5}))))+(IF(COUNT(W90,AA90,AE90,AH90,AJ90,AL90)&lt;5,SUM(W90,AA90,AE90,AH90,AJ90,AL90),SUM(LARGE((W90,AA90,AE90,AH90,AJ90,AL90),{1;2;3;4;5}))))+U90),0)</f>
        <v>0</v>
      </c>
      <c r="Q90" s="797">
        <v>0</v>
      </c>
      <c r="R90" s="132">
        <f t="array" ref="R90">IF(T90="j",((IF(COUNT(V90,X90,AG90,AI90,AK90,AM90)&lt;5,SUM(V90,X90,AG90,AI90,AK90,AM90),SUM(LARGE((V90,X90,AG90,AI90,AK90,AM90),{1;2;3;4;5}))))+(IF(COUNT(W90,AB90,AC90,AH90,AJ90,AL90)&lt;5,SUM(W90,AB90,AC90,AH90,AJ90,AL90),SUM(LARGE((W90,AB90,AC90,AH90,AJ90,AL90),{1;2;3;4;5}))))+U90),0)</f>
        <v>0</v>
      </c>
      <c r="S90" s="676"/>
      <c r="T90" s="676"/>
      <c r="U90" s="915">
        <v>1</v>
      </c>
      <c r="V90" s="316" t="s">
        <v>156</v>
      </c>
      <c r="W90" s="316" t="s">
        <v>156</v>
      </c>
      <c r="X90" s="137"/>
      <c r="Y90" s="137"/>
      <c r="Z90" s="960"/>
      <c r="AA90" s="961"/>
      <c r="AB90" s="962"/>
      <c r="AC90" s="137"/>
      <c r="AD90" s="960"/>
      <c r="AE90" s="961"/>
      <c r="AF90" s="732"/>
      <c r="AG90" s="137">
        <v>52</v>
      </c>
      <c r="AH90" s="137"/>
      <c r="AI90" s="137"/>
      <c r="AJ90" s="137"/>
      <c r="AK90" s="137">
        <v>49</v>
      </c>
      <c r="AL90" s="137"/>
      <c r="AM90" s="137"/>
      <c r="AN90" s="30">
        <f t="shared" si="31"/>
        <v>2</v>
      </c>
      <c r="AO90" s="312">
        <f t="shared" si="32"/>
        <v>0</v>
      </c>
      <c r="AP90" s="291">
        <f t="shared" si="33"/>
        <v>0</v>
      </c>
      <c r="AQ90" s="31">
        <f t="shared" si="34"/>
        <v>0</v>
      </c>
      <c r="AR90" s="4" t="e">
        <f>COUNTIF(V90:W90,"=  ")+COUNTIF(X90:AH90,"=  ")+COUNTIF(AJ90,"=  ")+COUNTIF(AL90,"=  ")+COUNTIF(#REF!,"=  ")+COUNTIF(#REF!,"=  ")+COUNTIF(#REF!,"=  ")</f>
        <v>#REF!</v>
      </c>
      <c r="AS90" s="101" t="e">
        <f>COUNTIF(Y90,"=  ")+COUNTIF(AI90,"=  ")+COUNTIF(AK90,"=  ")+COUNTIF(AM90,"=  ")+COUNTIF(AC90,"=  ")+COUNTIF(#REF!,"=  ")</f>
        <v>#REF!</v>
      </c>
    </row>
    <row r="91" spans="1:45" x14ac:dyDescent="0.2">
      <c r="A91" s="47">
        <v>60</v>
      </c>
      <c r="B91" s="141">
        <f t="shared" si="24"/>
        <v>60</v>
      </c>
      <c r="C91" s="139">
        <f t="shared" si="25"/>
        <v>10091</v>
      </c>
      <c r="D91" s="49" t="s">
        <v>151</v>
      </c>
      <c r="E91" s="141" t="str">
        <f t="shared" si="26"/>
        <v/>
      </c>
      <c r="F91" s="138">
        <f t="shared" si="27"/>
        <v>0</v>
      </c>
      <c r="G91" s="383" t="s">
        <v>151</v>
      </c>
      <c r="H91" s="141" t="str">
        <f t="shared" si="28"/>
        <v/>
      </c>
      <c r="I91" s="221">
        <f t="shared" si="29"/>
        <v>0</v>
      </c>
      <c r="J91" s="71">
        <f t="shared" si="30"/>
        <v>83</v>
      </c>
      <c r="K91" s="70">
        <v>83</v>
      </c>
      <c r="L91" s="211" t="s">
        <v>37</v>
      </c>
      <c r="M91" s="70">
        <v>91</v>
      </c>
      <c r="N91" s="141">
        <f t="array" ref="N91">(IF(COUNT(V91,X91,AG91,AI91,AK91,AM91)&lt;5,SUM(V91,X91,AG91,AI91,AK91,AM91),SUM(LARGE((V91,X91,AG91,AI91,AK91,AM91),{1;2;3;4;5}))))+(IF(COUNT(W91,Y91,AC91,AH91,AJ91,AL91)&lt;5,SUM(W91,Y91,AC91,AH91,AJ91,AL91),SUM(LARGE((W91,Y91,AC91,AH91,AJ91,AL91),{1;2;3;4;5}))))+U91</f>
        <v>91</v>
      </c>
      <c r="O91" s="796">
        <v>0</v>
      </c>
      <c r="P91" s="132">
        <f t="array" ref="P91">IF(S91="n",((IF(COUNT(V91,X91,AG91,AI91,AK91,AM91)&lt;5,SUM(V91,X91,AG91,AI91,AK91,AM91),SUM(LARGE((V91,X91,AG91,AI91,AK91,AM91),{1;2;3;4;5}))))+(IF(COUNT(W91,AA91,AE91,AH91,AJ91,AL91)&lt;5,SUM(W91,AA91,AE91,AH91,AJ91,AL91),SUM(LARGE((W91,AA91,AE91,AH91,AJ91,AL91),{1;2;3;4;5}))))+U91),0)</f>
        <v>0</v>
      </c>
      <c r="Q91" s="797">
        <v>0</v>
      </c>
      <c r="R91" s="132">
        <f t="array" ref="R91">IF(T91="j",((IF(COUNT(V91,X91,AG91,AI91,AK91,AM91)&lt;5,SUM(V91,X91,AG91,AI91,AK91,AM91),SUM(LARGE((V91,X91,AG91,AI91,AK91,AM91),{1;2;3;4;5}))))+(IF(COUNT(W91,AB91,AC91,AH91,AJ91,AL91)&lt;5,SUM(W91,AB91,AC91,AH91,AJ91,AL91),SUM(LARGE((W91,AB91,AC91,AH91,AJ91,AL91),{1;2;3;4;5}))))+U91),0)</f>
        <v>0</v>
      </c>
      <c r="S91" s="676"/>
      <c r="T91" s="676"/>
      <c r="U91" s="915">
        <v>1</v>
      </c>
      <c r="V91" s="315">
        <v>90</v>
      </c>
      <c r="W91" s="316" t="s">
        <v>156</v>
      </c>
      <c r="X91" s="316" t="s">
        <v>156</v>
      </c>
      <c r="Y91" s="137"/>
      <c r="Z91" s="960"/>
      <c r="AA91" s="961"/>
      <c r="AB91" s="962"/>
      <c r="AC91" s="137"/>
      <c r="AD91" s="960"/>
      <c r="AE91" s="961"/>
      <c r="AF91" s="732"/>
      <c r="AG91" s="137"/>
      <c r="AH91" s="137"/>
      <c r="AI91" s="137"/>
      <c r="AJ91" s="137"/>
      <c r="AK91" s="137"/>
      <c r="AL91" s="137"/>
      <c r="AM91" s="137"/>
      <c r="AN91" s="30">
        <f t="shared" si="31"/>
        <v>1</v>
      </c>
      <c r="AO91" s="312">
        <f t="shared" si="32"/>
        <v>0</v>
      </c>
      <c r="AP91" s="291">
        <f t="shared" si="33"/>
        <v>0</v>
      </c>
      <c r="AQ91" s="31">
        <f t="shared" si="34"/>
        <v>0</v>
      </c>
      <c r="AR91" s="4" t="e">
        <f>COUNTIF(V91:W91,"=  ")+COUNTIF(X91:AH91,"=  ")+COUNTIF(AJ91,"=  ")+COUNTIF(AL91,"=  ")+COUNTIF(#REF!,"=  ")+COUNTIF(#REF!,"=  ")+COUNTIF(#REF!,"=  ")</f>
        <v>#REF!</v>
      </c>
      <c r="AS91" s="101" t="e">
        <f>COUNTIF(Y91,"=  ")+COUNTIF(AI91,"=  ")+COUNTIF(AK91,"=  ")+COUNTIF(AM91,"=  ")+COUNTIF(AC91,"=  ")+COUNTIF(#REF!,"=  ")</f>
        <v>#REF!</v>
      </c>
    </row>
    <row r="92" spans="1:45" x14ac:dyDescent="0.2">
      <c r="A92" s="47" t="s">
        <v>151</v>
      </c>
      <c r="B92" s="141" t="str">
        <f t="shared" si="24"/>
        <v/>
      </c>
      <c r="C92" s="139">
        <f t="shared" si="25"/>
        <v>0</v>
      </c>
      <c r="D92" s="49">
        <v>25</v>
      </c>
      <c r="E92" s="141">
        <f t="shared" si="26"/>
        <v>25</v>
      </c>
      <c r="F92" s="138">
        <f t="shared" si="27"/>
        <v>10091</v>
      </c>
      <c r="G92" s="383" t="s">
        <v>151</v>
      </c>
      <c r="H92" s="141" t="str">
        <f t="shared" si="28"/>
        <v/>
      </c>
      <c r="I92" s="221">
        <f t="shared" si="29"/>
        <v>0</v>
      </c>
      <c r="J92" s="71">
        <f t="shared" si="30"/>
        <v>83</v>
      </c>
      <c r="K92" s="70">
        <v>84</v>
      </c>
      <c r="L92" s="51" t="s">
        <v>75</v>
      </c>
      <c r="M92" s="70">
        <v>91</v>
      </c>
      <c r="N92" s="141">
        <f t="array" ref="N92">(IF(COUNT(V92,X92,AG92,AI92,AK92,AM92)&lt;5,SUM(V92,X92,AG92,AI92,AK92,AM92),SUM(LARGE((V92,X92,AG92,AI92,AK92,AM92),{1;2;3;4;5}))))+(IF(COUNT(W92,Y92,AC92,AH92,AJ92,AL92)&lt;5,SUM(W92,Y92,AC92,AH92,AJ92,AL92),SUM(LARGE((W92,Y92,AC92,AH92,AJ92,AL92),{1;2;3;4;5}))))+U92</f>
        <v>91</v>
      </c>
      <c r="O92" s="796">
        <v>91</v>
      </c>
      <c r="P92" s="132">
        <f t="array" ref="P92">IF(S92="n",((IF(COUNT(V92,X92,AG92,AI92,AK92,AM92)&lt;5,SUM(V92,X92,AG92,AI92,AK92,AM92),SUM(LARGE((V92,X92,AG92,AI92,AK92,AM92),{1;2;3;4;5}))))+(IF(COUNT(W92,AA92,AE92,AH92,AJ92,AL92)&lt;5,SUM(W92,AA92,AE92,AH92,AJ92,AL92),SUM(LARGE((W92,AA92,AE92,AH92,AJ92,AL92),{1;2;3;4;5}))))+U92),0)</f>
        <v>91</v>
      </c>
      <c r="Q92" s="797">
        <v>0</v>
      </c>
      <c r="R92" s="132">
        <f t="array" ref="R92">IF(T92="j",((IF(COUNT(V92,X92,AG92,AI92,AK92,AM92)&lt;5,SUM(V92,X92,AG92,AI92,AK92,AM92),SUM(LARGE((V92,X92,AG92,AI92,AK92,AM92),{1;2;3;4;5}))))+(IF(COUNT(W92,AB92,AC92,AH92,AJ92,AL92)&lt;5,SUM(W92,AB92,AC92,AH92,AJ92,AL92),SUM(LARGE((W92,AB92,AC92,AH92,AJ92,AL92),{1;2;3;4;5}))))+U92),0)</f>
        <v>0</v>
      </c>
      <c r="S92" s="676" t="s">
        <v>33</v>
      </c>
      <c r="T92" s="676"/>
      <c r="U92" s="915">
        <v>1</v>
      </c>
      <c r="V92" s="316" t="s">
        <v>156</v>
      </c>
      <c r="W92" s="316" t="s">
        <v>156</v>
      </c>
      <c r="X92" s="315">
        <v>56</v>
      </c>
      <c r="Y92" s="137"/>
      <c r="Z92" s="960"/>
      <c r="AA92" s="961"/>
      <c r="AB92" s="962"/>
      <c r="AC92" s="137"/>
      <c r="AD92" s="960"/>
      <c r="AE92" s="961"/>
      <c r="AF92" s="732"/>
      <c r="AG92" s="137">
        <v>34</v>
      </c>
      <c r="AH92" s="137"/>
      <c r="AI92" s="137"/>
      <c r="AJ92" s="137"/>
      <c r="AK92" s="137"/>
      <c r="AL92" s="137"/>
      <c r="AM92" s="137"/>
      <c r="AN92" s="30">
        <f t="shared" si="31"/>
        <v>2</v>
      </c>
      <c r="AO92" s="312">
        <f t="shared" si="32"/>
        <v>0</v>
      </c>
      <c r="AP92" s="291">
        <f t="shared" si="33"/>
        <v>0</v>
      </c>
      <c r="AQ92" s="31">
        <f t="shared" si="34"/>
        <v>0</v>
      </c>
      <c r="AR92" s="4" t="e">
        <f>COUNTIF(V92:W92,"=  ")+COUNTIF(X92:AH92,"=  ")+COUNTIF(AJ92,"=  ")+COUNTIF(AL92,"=  ")+COUNTIF(#REF!,"=  ")+COUNTIF(#REF!,"=  ")+COUNTIF(#REF!,"=  ")</f>
        <v>#REF!</v>
      </c>
      <c r="AS92" s="101" t="e">
        <f>COUNTIF(Y92,"=  ")+COUNTIF(AI92,"=  ")+COUNTIF(AK92,"=  ")+COUNTIF(AM92,"=  ")+COUNTIF(AC92,"=  ")+COUNTIF(#REF!,"=  ")</f>
        <v>#REF!</v>
      </c>
    </row>
    <row r="93" spans="1:45" x14ac:dyDescent="0.2">
      <c r="A93" s="47">
        <v>61</v>
      </c>
      <c r="B93" s="141">
        <f t="shared" si="24"/>
        <v>61</v>
      </c>
      <c r="C93" s="139">
        <f t="shared" si="25"/>
        <v>10090</v>
      </c>
      <c r="D93" s="49" t="s">
        <v>151</v>
      </c>
      <c r="E93" s="141" t="str">
        <f t="shared" si="26"/>
        <v/>
      </c>
      <c r="F93" s="138">
        <f t="shared" si="27"/>
        <v>0</v>
      </c>
      <c r="G93" s="383" t="s">
        <v>151</v>
      </c>
      <c r="H93" s="141" t="str">
        <f t="shared" si="28"/>
        <v/>
      </c>
      <c r="I93" s="221">
        <f t="shared" si="29"/>
        <v>0</v>
      </c>
      <c r="J93" s="71">
        <f t="shared" si="30"/>
        <v>85</v>
      </c>
      <c r="K93" s="70">
        <v>85</v>
      </c>
      <c r="L93" s="263" t="s">
        <v>79</v>
      </c>
      <c r="M93" s="70">
        <v>90</v>
      </c>
      <c r="N93" s="141">
        <f t="array" ref="N93">(IF(COUNT(V93,X93,AG93,AI93,AK93,AM93)&lt;5,SUM(V93,X93,AG93,AI93,AK93,AM93),SUM(LARGE((V93,X93,AG93,AI93,AK93,AM93),{1;2;3;4;5}))))+(IF(COUNT(W93,Y93,AC93,AH93,AJ93,AL93)&lt;5,SUM(W93,Y93,AC93,AH93,AJ93,AL93),SUM(LARGE((W93,Y93,AC93,AH93,AJ93,AL93),{1;2;3;4;5}))))+U93</f>
        <v>90</v>
      </c>
      <c r="O93" s="796">
        <v>0</v>
      </c>
      <c r="P93" s="132">
        <f t="array" ref="P93">IF(S93="n",((IF(COUNT(V93,X93,AG93,AI93,AK93,AM93)&lt;5,SUM(V93,X93,AG93,AI93,AK93,AM93),SUM(LARGE((V93,X93,AG93,AI93,AK93,AM93),{1;2;3;4;5}))))+(IF(COUNT(W93,AA93,AE93,AH93,AJ93,AL93)&lt;5,SUM(W93,AA93,AE93,AH93,AJ93,AL93),SUM(LARGE((W93,AA93,AE93,AH93,AJ93,AL93),{1;2;3;4;5}))))+U93),0)</f>
        <v>0</v>
      </c>
      <c r="Q93" s="797">
        <v>0</v>
      </c>
      <c r="R93" s="132">
        <f t="array" ref="R93">IF(T93="j",((IF(COUNT(V93,X93,AG93,AI93,AK93,AM93)&lt;5,SUM(V93,X93,AG93,AI93,AK93,AM93),SUM(LARGE((V93,X93,AG93,AI93,AK93,AM93),{1;2;3;4;5}))))+(IF(COUNT(W93,AB93,AC93,AH93,AJ93,AL93)&lt;5,SUM(W93,AB93,AC93,AH93,AJ93,AL93),SUM(LARGE((W93,AB93,AC93,AH93,AJ93,AL93),{1;2;3;4;5}))))+U93),0)</f>
        <v>0</v>
      </c>
      <c r="S93" s="676"/>
      <c r="T93" s="676"/>
      <c r="U93" s="915">
        <v>1</v>
      </c>
      <c r="V93" s="315">
        <v>64</v>
      </c>
      <c r="W93" s="316" t="s">
        <v>156</v>
      </c>
      <c r="X93" s="316" t="s">
        <v>156</v>
      </c>
      <c r="Y93" s="137"/>
      <c r="Z93" s="960"/>
      <c r="AA93" s="961"/>
      <c r="AB93" s="962"/>
      <c r="AC93" s="137"/>
      <c r="AD93" s="960"/>
      <c r="AE93" s="961"/>
      <c r="AF93" s="732"/>
      <c r="AG93" s="137">
        <v>25</v>
      </c>
      <c r="AH93" s="137"/>
      <c r="AI93" s="137"/>
      <c r="AJ93" s="137"/>
      <c r="AK93" s="137"/>
      <c r="AL93" s="137"/>
      <c r="AM93" s="137"/>
      <c r="AN93" s="30">
        <f t="shared" si="31"/>
        <v>2</v>
      </c>
      <c r="AO93" s="312">
        <f t="shared" si="32"/>
        <v>0</v>
      </c>
      <c r="AP93" s="291">
        <f t="shared" si="33"/>
        <v>0</v>
      </c>
      <c r="AQ93" s="31">
        <f t="shared" si="34"/>
        <v>0</v>
      </c>
      <c r="AR93" s="4" t="e">
        <f>COUNTIF(V93:W93,"=  ")+COUNTIF(X93:AH93,"=  ")+COUNTIF(AJ93,"=  ")+COUNTIF(AL93,"=  ")+COUNTIF(#REF!,"=  ")+COUNTIF(#REF!,"=  ")+COUNTIF(#REF!,"=  ")</f>
        <v>#REF!</v>
      </c>
      <c r="AS93" s="101" t="e">
        <f>COUNTIF(Y93,"=  ")+COUNTIF(AI93,"=  ")+COUNTIF(AK93,"=  ")+COUNTIF(AM93,"=  ")+COUNTIF(AC93,"=  ")+COUNTIF(#REF!,"=  ")</f>
        <v>#REF!</v>
      </c>
    </row>
    <row r="94" spans="1:45" x14ac:dyDescent="0.2">
      <c r="A94" s="47" t="s">
        <v>151</v>
      </c>
      <c r="B94" s="141" t="str">
        <f t="shared" si="24"/>
        <v/>
      </c>
      <c r="C94" s="139">
        <f t="shared" si="25"/>
        <v>0</v>
      </c>
      <c r="D94" s="49">
        <v>26</v>
      </c>
      <c r="E94" s="141">
        <f t="shared" si="26"/>
        <v>26</v>
      </c>
      <c r="F94" s="138">
        <f t="shared" si="27"/>
        <v>10090</v>
      </c>
      <c r="G94" s="383" t="s">
        <v>151</v>
      </c>
      <c r="H94" s="141" t="str">
        <f t="shared" si="28"/>
        <v/>
      </c>
      <c r="I94" s="221">
        <f t="shared" si="29"/>
        <v>0</v>
      </c>
      <c r="J94" s="71">
        <f t="shared" si="30"/>
        <v>85</v>
      </c>
      <c r="K94" s="70">
        <v>86</v>
      </c>
      <c r="L94" s="51" t="s">
        <v>641</v>
      </c>
      <c r="M94" s="70">
        <v>90</v>
      </c>
      <c r="N94" s="141">
        <f t="array" ref="N94">(IF(COUNT(V94,X94,AG94,AI94,AK94,AM94)&lt;5,SUM(V94,X94,AG94,AI94,AK94,AM94),SUM(LARGE((V94,X94,AG94,AI94,AK94,AM94),{1;2;3;4;5}))))+(IF(COUNT(W94,Y94,AC94,AH94,AJ94,AL94)&lt;5,SUM(W94,Y94,AC94,AH94,AJ94,AL94),SUM(LARGE((W94,Y94,AC94,AH94,AJ94,AL94),{1;2;3;4;5}))))+U94</f>
        <v>90</v>
      </c>
      <c r="O94" s="796">
        <v>90</v>
      </c>
      <c r="P94" s="132">
        <f t="array" ref="P94">IF(S94="n",((IF(COUNT(V94,X94,AG94,AI94,AK94,AM94)&lt;5,SUM(V94,X94,AG94,AI94,AK94,AM94),SUM(LARGE((V94,X94,AG94,AI94,AK94,AM94),{1;2;3;4;5}))))+(IF(COUNT(W94,AA94,AE94,AH94,AJ94,AL94)&lt;5,SUM(W94,AA94,AE94,AH94,AJ94,AL94),SUM(LARGE((W94,AA94,AE94,AH94,AJ94,AL94),{1;2;3;4;5}))))+U94),0)</f>
        <v>90</v>
      </c>
      <c r="Q94" s="797">
        <v>0</v>
      </c>
      <c r="R94" s="132">
        <f t="array" ref="R94">IF(T94="j",((IF(COUNT(V94,X94,AG94,AI94,AK94,AM94)&lt;5,SUM(V94,X94,AG94,AI94,AK94,AM94),SUM(LARGE((V94,X94,AG94,AI94,AK94,AM94),{1;2;3;4;5}))))+(IF(COUNT(W94,AB94,AC94,AH94,AJ94,AL94)&lt;5,SUM(W94,AB94,AC94,AH94,AJ94,AL94),SUM(LARGE((W94,AB94,AC94,AH94,AJ94,AL94),{1;2;3;4;5}))))+U94),0)</f>
        <v>0</v>
      </c>
      <c r="S94" s="676" t="s">
        <v>33</v>
      </c>
      <c r="T94" s="676"/>
      <c r="U94" s="915"/>
      <c r="V94" s="316" t="s">
        <v>156</v>
      </c>
      <c r="W94" s="315">
        <v>47</v>
      </c>
      <c r="X94" s="315">
        <v>43</v>
      </c>
      <c r="Y94" s="316" t="s">
        <v>156</v>
      </c>
      <c r="Z94" s="960"/>
      <c r="AA94" s="961"/>
      <c r="AB94" s="962"/>
      <c r="AC94" s="137"/>
      <c r="AD94" s="960"/>
      <c r="AE94" s="961"/>
      <c r="AF94" s="732"/>
      <c r="AG94" s="137"/>
      <c r="AH94" s="137"/>
      <c r="AI94" s="137"/>
      <c r="AJ94" s="137"/>
      <c r="AK94" s="137"/>
      <c r="AL94" s="137"/>
      <c r="AM94" s="137"/>
      <c r="AN94" s="30">
        <f t="shared" si="31"/>
        <v>2</v>
      </c>
      <c r="AO94" s="312">
        <f t="shared" si="32"/>
        <v>0</v>
      </c>
      <c r="AP94" s="291">
        <f t="shared" si="33"/>
        <v>0</v>
      </c>
      <c r="AQ94" s="31">
        <f t="shared" si="34"/>
        <v>0</v>
      </c>
      <c r="AS94" s="101"/>
    </row>
    <row r="95" spans="1:45" x14ac:dyDescent="0.2">
      <c r="A95" s="47">
        <v>62</v>
      </c>
      <c r="B95" s="141">
        <f t="shared" si="24"/>
        <v>62</v>
      </c>
      <c r="C95" s="139">
        <f t="shared" si="25"/>
        <v>10083</v>
      </c>
      <c r="D95" s="49" t="s">
        <v>151</v>
      </c>
      <c r="E95" s="141" t="str">
        <f t="shared" si="26"/>
        <v/>
      </c>
      <c r="F95" s="138">
        <f t="shared" si="27"/>
        <v>0</v>
      </c>
      <c r="G95" s="383" t="s">
        <v>151</v>
      </c>
      <c r="H95" s="141" t="str">
        <f t="shared" si="28"/>
        <v/>
      </c>
      <c r="I95" s="221">
        <f t="shared" si="29"/>
        <v>0</v>
      </c>
      <c r="J95" s="71">
        <f t="shared" si="30"/>
        <v>87</v>
      </c>
      <c r="K95" s="70">
        <v>87</v>
      </c>
      <c r="L95" s="53" t="s">
        <v>145</v>
      </c>
      <c r="M95" s="302">
        <v>83</v>
      </c>
      <c r="N95" s="141">
        <f t="array" ref="N95">(IF(COUNT(V95,X95,AG95,AI95,AK95,AM95)&lt;5,SUM(V95,X95,AG95,AI95,AK95,AM95),SUM(LARGE((V95,X95,AG95,AI95,AK95,AM95),{1;2;3;4;5}))))+(IF(COUNT(W95,Y95,AC95,AH95,AJ95,AL95)&lt;5,SUM(W95,Y95,AC95,AH95,AJ95,AL95),SUM(LARGE((W95,Y95,AC95,AH95,AJ95,AL95),{1;2;3;4;5}))))+U95</f>
        <v>83</v>
      </c>
      <c r="O95" s="796">
        <v>0</v>
      </c>
      <c r="P95" s="132">
        <f t="array" ref="P95">IF(S95="n",((IF(COUNT(V95,X95,AG95,AI95,AK95,AM95)&lt;5,SUM(V95,X95,AG95,AI95,AK95,AM95),SUM(LARGE((V95,X95,AG95,AI95,AK95,AM95),{1;2;3;4;5}))))+(IF(COUNT(W95,AA95,AE95,AH95,AJ95,AL95)&lt;5,SUM(W95,AA95,AE95,AH95,AJ95,AL95),SUM(LARGE((W95,AA95,AE95,AH95,AJ95,AL95),{1;2;3;4;5}))))+U95),0)</f>
        <v>0</v>
      </c>
      <c r="Q95" s="797">
        <v>0</v>
      </c>
      <c r="R95" s="132">
        <f t="array" ref="R95">IF(T95="j",((IF(COUNT(V95,X95,AG95,AI95,AK95,AM95)&lt;5,SUM(V95,X95,AG95,AI95,AK95,AM95),SUM(LARGE((V95,X95,AG95,AI95,AK95,AM95),{1;2;3;4;5}))))+(IF(COUNT(W95,AB95,AC95,AH95,AJ95,AL95)&lt;5,SUM(W95,AB95,AC95,AH95,AJ95,AL95),SUM(LARGE((W95,AB95,AC95,AH95,AJ95,AL95),{1;2;3;4;5}))))+U95),0)</f>
        <v>0</v>
      </c>
      <c r="S95" s="676"/>
      <c r="T95" s="676"/>
      <c r="U95" s="915">
        <v>1</v>
      </c>
      <c r="V95" s="316" t="s">
        <v>156</v>
      </c>
      <c r="W95" s="316" t="s">
        <v>156</v>
      </c>
      <c r="X95" s="137"/>
      <c r="Y95" s="315">
        <v>42</v>
      </c>
      <c r="Z95" s="960">
        <v>42</v>
      </c>
      <c r="AA95" s="961"/>
      <c r="AB95" s="962"/>
      <c r="AC95" s="315">
        <v>21</v>
      </c>
      <c r="AD95" s="960">
        <v>21</v>
      </c>
      <c r="AE95" s="961"/>
      <c r="AF95" s="732"/>
      <c r="AG95" s="137">
        <v>19</v>
      </c>
      <c r="AH95" s="137"/>
      <c r="AI95" s="137"/>
      <c r="AJ95" s="137"/>
      <c r="AK95" s="137"/>
      <c r="AL95" s="137"/>
      <c r="AM95" s="137"/>
      <c r="AN95" s="30">
        <f t="shared" si="31"/>
        <v>3</v>
      </c>
      <c r="AO95" s="312">
        <f t="shared" si="32"/>
        <v>0</v>
      </c>
      <c r="AP95" s="291">
        <f t="shared" si="33"/>
        <v>0</v>
      </c>
      <c r="AQ95" s="31">
        <f t="shared" si="34"/>
        <v>0</v>
      </c>
      <c r="AR95" s="4" t="e">
        <f>COUNTIF(V95:W95,"=  ")+COUNTIF(X95:AH95,"=  ")+COUNTIF(AJ95,"=  ")+COUNTIF(AL95,"=  ")+COUNTIF(#REF!,"=  ")+COUNTIF(#REF!,"=  ")+COUNTIF(#REF!,"=  ")</f>
        <v>#REF!</v>
      </c>
      <c r="AS95" s="101" t="e">
        <f>COUNTIF(Y95,"=  ")+COUNTIF(AI95,"=  ")+COUNTIF(AK95,"=  ")+COUNTIF(AM95,"=  ")+COUNTIF(AC95,"=  ")+COUNTIF(#REF!,"=  ")</f>
        <v>#REF!</v>
      </c>
    </row>
    <row r="96" spans="1:45" x14ac:dyDescent="0.2">
      <c r="A96" s="47">
        <v>63</v>
      </c>
      <c r="B96" s="141">
        <f t="shared" si="24"/>
        <v>63</v>
      </c>
      <c r="C96" s="139">
        <f t="shared" si="25"/>
        <v>10080</v>
      </c>
      <c r="D96" s="49" t="s">
        <v>151</v>
      </c>
      <c r="E96" s="141" t="str">
        <f t="shared" si="26"/>
        <v/>
      </c>
      <c r="F96" s="138">
        <f t="shared" si="27"/>
        <v>0</v>
      </c>
      <c r="G96" s="383" t="s">
        <v>151</v>
      </c>
      <c r="H96" s="141" t="str">
        <f t="shared" si="28"/>
        <v/>
      </c>
      <c r="I96" s="221">
        <f t="shared" si="29"/>
        <v>0</v>
      </c>
      <c r="J96" s="71">
        <f t="shared" si="30"/>
        <v>88</v>
      </c>
      <c r="K96" s="70">
        <v>88</v>
      </c>
      <c r="L96" s="53" t="s">
        <v>76</v>
      </c>
      <c r="M96" s="302">
        <v>80</v>
      </c>
      <c r="N96" s="141">
        <f t="array" ref="N96">(IF(COUNT(V96,X96,AG96,AI96,AK96,AM96)&lt;5,SUM(V96,X96,AG96,AI96,AK96,AM96),SUM(LARGE((V96,X96,AG96,AI96,AK96,AM96),{1;2;3;4;5}))))+(IF(COUNT(W96,Y96,AC96,AH96,AJ96,AL96)&lt;5,SUM(W96,Y96,AC96,AH96,AJ96,AL96),SUM(LARGE((W96,Y96,AC96,AH96,AJ96,AL96),{1;2;3;4;5}))))+U96</f>
        <v>80</v>
      </c>
      <c r="O96" s="796">
        <v>0</v>
      </c>
      <c r="P96" s="132">
        <f t="array" ref="P96">IF(S96="n",((IF(COUNT(V96,X96,AG96,AI96,AK96,AM96)&lt;5,SUM(V96,X96,AG96,AI96,AK96,AM96),SUM(LARGE((V96,X96,AG96,AI96,AK96,AM96),{1;2;3;4;5}))))+(IF(COUNT(W96,AA96,AE96,AH96,AJ96,AL96)&lt;5,SUM(W96,AA96,AE96,AH96,AJ96,AL96),SUM(LARGE((W96,AA96,AE96,AH96,AJ96,AL96),{1;2;3;4;5}))))+U96),0)</f>
        <v>0</v>
      </c>
      <c r="Q96" s="797">
        <v>0</v>
      </c>
      <c r="R96" s="132">
        <f t="array" ref="R96">IF(T96="j",((IF(COUNT(V96,X96,AG96,AI96,AK96,AM96)&lt;5,SUM(V96,X96,AG96,AI96,AK96,AM96),SUM(LARGE((V96,X96,AG96,AI96,AK96,AM96),{1;2;3;4;5}))))+(IF(COUNT(W96,AB96,AC96,AH96,AJ96,AL96)&lt;5,SUM(W96,AB96,AC96,AH96,AJ96,AL96),SUM(LARGE((W96,AB96,AC96,AH96,AJ96,AL96),{1;2;3;4;5}))))+U96),0)</f>
        <v>0</v>
      </c>
      <c r="S96" s="676"/>
      <c r="T96" s="676"/>
      <c r="U96" s="915">
        <v>1</v>
      </c>
      <c r="V96" s="316" t="s">
        <v>156</v>
      </c>
      <c r="W96" s="316" t="s">
        <v>156</v>
      </c>
      <c r="X96" s="137"/>
      <c r="Y96" s="137"/>
      <c r="Z96" s="960"/>
      <c r="AA96" s="961"/>
      <c r="AB96" s="962"/>
      <c r="AC96" s="137"/>
      <c r="AD96" s="960"/>
      <c r="AE96" s="961"/>
      <c r="AF96" s="732"/>
      <c r="AG96" s="137"/>
      <c r="AH96" s="137"/>
      <c r="AI96" s="137"/>
      <c r="AJ96" s="137"/>
      <c r="AK96" s="137">
        <v>79</v>
      </c>
      <c r="AL96" s="137"/>
      <c r="AM96" s="137"/>
      <c r="AN96" s="30">
        <f t="shared" si="31"/>
        <v>1</v>
      </c>
      <c r="AO96" s="312">
        <f t="shared" si="32"/>
        <v>0</v>
      </c>
      <c r="AP96" s="291">
        <f t="shared" si="33"/>
        <v>0</v>
      </c>
      <c r="AQ96" s="31">
        <f t="shared" si="34"/>
        <v>0</v>
      </c>
      <c r="AR96" s="4" t="e">
        <f>COUNTIF(V96:W96,"=  ")+COUNTIF(X96:AH96,"=  ")+COUNTIF(AJ96,"=  ")+COUNTIF(AL96,"=  ")+COUNTIF(#REF!,"=  ")+COUNTIF(#REF!,"=  ")+COUNTIF(#REF!,"=  ")</f>
        <v>#REF!</v>
      </c>
      <c r="AS96" s="101" t="e">
        <f>COUNTIF(Y96,"=  ")+COUNTIF(AI96,"=  ")+COUNTIF(AK96,"=  ")+COUNTIF(AM96,"=  ")+COUNTIF(AC96,"=  ")+COUNTIF(#REF!,"=  ")</f>
        <v>#REF!</v>
      </c>
    </row>
    <row r="97" spans="1:45" x14ac:dyDescent="0.2">
      <c r="A97" s="47">
        <v>64</v>
      </c>
      <c r="B97" s="141">
        <f t="shared" si="24"/>
        <v>64</v>
      </c>
      <c r="C97" s="139">
        <f t="shared" si="25"/>
        <v>10079</v>
      </c>
      <c r="D97" s="49" t="s">
        <v>151</v>
      </c>
      <c r="E97" s="141" t="str">
        <f t="shared" si="26"/>
        <v/>
      </c>
      <c r="F97" s="138">
        <f t="shared" si="27"/>
        <v>0</v>
      </c>
      <c r="G97" s="383" t="s">
        <v>151</v>
      </c>
      <c r="H97" s="141" t="str">
        <f t="shared" si="28"/>
        <v/>
      </c>
      <c r="I97" s="221">
        <f t="shared" si="29"/>
        <v>0</v>
      </c>
      <c r="J97" s="71">
        <f t="shared" si="30"/>
        <v>89</v>
      </c>
      <c r="K97" s="70">
        <v>89</v>
      </c>
      <c r="L97" s="211" t="s">
        <v>840</v>
      </c>
      <c r="M97" s="70">
        <v>79</v>
      </c>
      <c r="N97" s="141">
        <f t="array" ref="N97">(IF(COUNT(V97,X97,AG97,AI97,AK97,AM97)&lt;5,SUM(V97,X97,AG97,AI97,AK97,AM97),SUM(LARGE((V97,X97,AG97,AI97,AK97,AM97),{1;2;3;4;5}))))+(IF(COUNT(W97,Y97,AC97,AH97,AJ97,AL97)&lt;5,SUM(W97,Y97,AC97,AH97,AJ97,AL97),SUM(LARGE((W97,Y97,AC97,AH97,AJ97,AL97),{1;2;3;4;5}))))+U97</f>
        <v>79</v>
      </c>
      <c r="O97" s="796">
        <v>0</v>
      </c>
      <c r="P97" s="132">
        <f t="array" ref="P97">IF(S97="n",((IF(COUNT(V97,X97,AG97,AI97,AK97,AM97)&lt;5,SUM(V97,X97,AG97,AI97,AK97,AM97),SUM(LARGE((V97,X97,AG97,AI97,AK97,AM97),{1;2;3;4;5}))))+(IF(COUNT(W97,AA97,AE97,AH97,AJ97,AL97)&lt;5,SUM(W97,AA97,AE97,AH97,AJ97,AL97),SUM(LARGE((W97,AA97,AE97,AH97,AJ97,AL97),{1;2;3;4;5}))))+U97),0)</f>
        <v>0</v>
      </c>
      <c r="Q97" s="797">
        <v>0</v>
      </c>
      <c r="R97" s="132">
        <f t="array" ref="R97">IF(T97="j",((IF(COUNT(V97,X97,AG97,AI97,AK97,AM97)&lt;5,SUM(V97,X97,AG97,AI97,AK97,AM97),SUM(LARGE((V97,X97,AG97,AI97,AK97,AM97),{1;2;3;4;5}))))+(IF(COUNT(W97,AB97,AC97,AH97,AJ97,AL97)&lt;5,SUM(W97,AB97,AC97,AH97,AJ97,AL97),SUM(LARGE((W97,AB97,AC97,AH97,AJ97,AL97),{1;2;3;4;5}))))+U97),0)</f>
        <v>0</v>
      </c>
      <c r="S97" s="676"/>
      <c r="T97" s="676"/>
      <c r="U97" s="915"/>
      <c r="V97" s="316" t="s">
        <v>156</v>
      </c>
      <c r="W97" s="316" t="s">
        <v>156</v>
      </c>
      <c r="X97" s="315"/>
      <c r="Y97" s="137"/>
      <c r="Z97" s="960"/>
      <c r="AA97" s="961"/>
      <c r="AB97" s="962"/>
      <c r="AC97" s="137"/>
      <c r="AD97" s="960"/>
      <c r="AE97" s="961"/>
      <c r="AF97" s="732"/>
      <c r="AG97" s="137">
        <v>79</v>
      </c>
      <c r="AH97" s="137"/>
      <c r="AI97" s="137"/>
      <c r="AJ97" s="137"/>
      <c r="AK97" s="137"/>
      <c r="AL97" s="137"/>
      <c r="AM97" s="137"/>
      <c r="AN97" s="30">
        <f t="shared" si="31"/>
        <v>1</v>
      </c>
      <c r="AO97" s="312">
        <f t="shared" si="32"/>
        <v>0</v>
      </c>
      <c r="AP97" s="291">
        <f t="shared" si="33"/>
        <v>0</v>
      </c>
      <c r="AQ97" s="31">
        <f t="shared" si="34"/>
        <v>0</v>
      </c>
      <c r="AS97" s="101"/>
    </row>
    <row r="98" spans="1:45" x14ac:dyDescent="0.2">
      <c r="A98" s="47">
        <v>64</v>
      </c>
      <c r="B98" s="141">
        <f t="shared" si="24"/>
        <v>64</v>
      </c>
      <c r="C98" s="139">
        <f t="shared" si="25"/>
        <v>10079</v>
      </c>
      <c r="D98" s="49" t="s">
        <v>151</v>
      </c>
      <c r="E98" s="141" t="str">
        <f t="shared" si="26"/>
        <v/>
      </c>
      <c r="F98" s="138">
        <f t="shared" si="27"/>
        <v>0</v>
      </c>
      <c r="G98" s="383" t="s">
        <v>151</v>
      </c>
      <c r="H98" s="141" t="str">
        <f t="shared" si="28"/>
        <v/>
      </c>
      <c r="I98" s="221">
        <f t="shared" si="29"/>
        <v>0</v>
      </c>
      <c r="J98" s="71">
        <f t="shared" si="30"/>
        <v>89</v>
      </c>
      <c r="K98" s="70">
        <v>89</v>
      </c>
      <c r="L98" s="211" t="s">
        <v>841</v>
      </c>
      <c r="M98" s="70">
        <v>79</v>
      </c>
      <c r="N98" s="141">
        <f t="array" ref="N98">(IF(COUNT(V98,X98,AG98,AI98,AK98,AM98)&lt;5,SUM(V98,X98,AG98,AI98,AK98,AM98),SUM(LARGE((V98,X98,AG98,AI98,AK98,AM98),{1;2;3;4;5}))))+(IF(COUNT(W98,Y98,AC98,AH98,AJ98,AL98)&lt;5,SUM(W98,Y98,AC98,AH98,AJ98,AL98),SUM(LARGE((W98,Y98,AC98,AH98,AJ98,AL98),{1;2;3;4;5}))))+U98</f>
        <v>79</v>
      </c>
      <c r="O98" s="796">
        <v>0</v>
      </c>
      <c r="P98" s="132">
        <f t="array" ref="P98">IF(S98="n",((IF(COUNT(V98,X98,AG98,AI98,AK98,AM98)&lt;5,SUM(V98,X98,AG98,AI98,AK98,AM98),SUM(LARGE((V98,X98,AG98,AI98,AK98,AM98),{1;2;3;4;5}))))+(IF(COUNT(W98,AA98,AE98,AH98,AJ98,AL98)&lt;5,SUM(W98,AA98,AE98,AH98,AJ98,AL98),SUM(LARGE((W98,AA98,AE98,AH98,AJ98,AL98),{1;2;3;4;5}))))+U98),0)</f>
        <v>0</v>
      </c>
      <c r="Q98" s="797">
        <v>0</v>
      </c>
      <c r="R98" s="132">
        <f t="array" ref="R98">IF(T98="j",((IF(COUNT(V98,X98,AG98,AI98,AK98,AM98)&lt;5,SUM(V98,X98,AG98,AI98,AK98,AM98),SUM(LARGE((V98,X98,AG98,AI98,AK98,AM98),{1;2;3;4;5}))))+(IF(COUNT(W98,AB98,AC98,AH98,AJ98,AL98)&lt;5,SUM(W98,AB98,AC98,AH98,AJ98,AL98),SUM(LARGE((W98,AB98,AC98,AH98,AJ98,AL98),{1;2;3;4;5}))))+U98),0)</f>
        <v>0</v>
      </c>
      <c r="S98" s="676"/>
      <c r="T98" s="676"/>
      <c r="U98" s="915"/>
      <c r="V98" s="316" t="s">
        <v>156</v>
      </c>
      <c r="W98" s="316" t="s">
        <v>156</v>
      </c>
      <c r="X98" s="315"/>
      <c r="Y98" s="137"/>
      <c r="Z98" s="960"/>
      <c r="AA98" s="961"/>
      <c r="AB98" s="962"/>
      <c r="AC98" s="137"/>
      <c r="AD98" s="960"/>
      <c r="AE98" s="961"/>
      <c r="AF98" s="732"/>
      <c r="AG98" s="137">
        <v>79</v>
      </c>
      <c r="AH98" s="137"/>
      <c r="AI98" s="137"/>
      <c r="AJ98" s="137"/>
      <c r="AK98" s="137"/>
      <c r="AL98" s="137"/>
      <c r="AM98" s="137"/>
      <c r="AN98" s="30">
        <f t="shared" si="31"/>
        <v>1</v>
      </c>
      <c r="AO98" s="312">
        <f t="shared" si="32"/>
        <v>0</v>
      </c>
      <c r="AP98" s="291">
        <f t="shared" si="33"/>
        <v>0</v>
      </c>
      <c r="AQ98" s="31">
        <f t="shared" si="34"/>
        <v>0</v>
      </c>
      <c r="AS98" s="101"/>
    </row>
    <row r="99" spans="1:45" x14ac:dyDescent="0.2">
      <c r="A99" s="47">
        <v>64</v>
      </c>
      <c r="B99" s="141">
        <f t="shared" si="24"/>
        <v>64</v>
      </c>
      <c r="C99" s="139">
        <f t="shared" si="25"/>
        <v>10079</v>
      </c>
      <c r="D99" s="49" t="s">
        <v>151</v>
      </c>
      <c r="E99" s="141" t="str">
        <f t="shared" si="26"/>
        <v/>
      </c>
      <c r="F99" s="138">
        <f t="shared" si="27"/>
        <v>0</v>
      </c>
      <c r="G99" s="383" t="s">
        <v>151</v>
      </c>
      <c r="H99" s="141" t="str">
        <f t="shared" si="28"/>
        <v/>
      </c>
      <c r="I99" s="221">
        <f t="shared" si="29"/>
        <v>0</v>
      </c>
      <c r="J99" s="71">
        <f t="shared" si="30"/>
        <v>89</v>
      </c>
      <c r="K99" s="70">
        <v>89</v>
      </c>
      <c r="L99" s="53" t="s">
        <v>859</v>
      </c>
      <c r="M99" s="302">
        <v>79</v>
      </c>
      <c r="N99" s="141">
        <f t="array" ref="N99">(IF(COUNT(V99,X99,AG99,AI99,AK99,AM99)&lt;5,SUM(V99,X99,AG99,AI99,AK99,AM99),SUM(LARGE((V99,X99,AG99,AI99,AK99,AM99),{1;2;3;4;5}))))+(IF(COUNT(W99,Y99,AC99,AH99,AJ99,AL99)&lt;5,SUM(W99,Y99,AC99,AH99,AJ99,AL99),SUM(LARGE((W99,Y99,AC99,AH99,AJ99,AL99),{1;2;3;4;5}))))+U99</f>
        <v>79</v>
      </c>
      <c r="O99" s="796">
        <v>0</v>
      </c>
      <c r="P99" s="132">
        <f t="array" ref="P99">IF(S99="n",((IF(COUNT(V99,X99,AG99,AI99,AK99,AM99)&lt;5,SUM(V99,X99,AG99,AI99,AK99,AM99),SUM(LARGE((V99,X99,AG99,AI99,AK99,AM99),{1;2;3;4;5}))))+(IF(COUNT(W99,AA99,AE99,AH99,AJ99,AL99)&lt;5,SUM(W99,AA99,AE99,AH99,AJ99,AL99),SUM(LARGE((W99,AA99,AE99,AH99,AJ99,AL99),{1;2;3;4;5}))))+U99),0)</f>
        <v>0</v>
      </c>
      <c r="Q99" s="797">
        <v>0</v>
      </c>
      <c r="R99" s="132">
        <f t="array" ref="R99">IF(T99="j",((IF(COUNT(V99,X99,AG99,AI99,AK99,AM99)&lt;5,SUM(V99,X99,AG99,AI99,AK99,AM99),SUM(LARGE((V99,X99,AG99,AI99,AK99,AM99),{1;2;3;4;5}))))+(IF(COUNT(W99,AB99,AC99,AH99,AJ99,AL99)&lt;5,SUM(W99,AB99,AC99,AH99,AJ99,AL99),SUM(LARGE((W99,AB99,AC99,AH99,AJ99,AL99),{1;2;3;4;5}))))+U99),0)</f>
        <v>0</v>
      </c>
      <c r="S99" s="676"/>
      <c r="T99" s="676"/>
      <c r="U99" s="915"/>
      <c r="V99" s="316" t="s">
        <v>156</v>
      </c>
      <c r="W99" s="316" t="s">
        <v>156</v>
      </c>
      <c r="X99" s="315"/>
      <c r="Y99" s="137"/>
      <c r="Z99" s="960"/>
      <c r="AA99" s="961"/>
      <c r="AB99" s="962"/>
      <c r="AC99" s="137"/>
      <c r="AD99" s="960"/>
      <c r="AE99" s="961"/>
      <c r="AF99" s="732"/>
      <c r="AG99" s="137"/>
      <c r="AH99" s="137"/>
      <c r="AI99" s="137"/>
      <c r="AJ99" s="137"/>
      <c r="AK99" s="137">
        <v>79</v>
      </c>
      <c r="AL99" s="137"/>
      <c r="AM99" s="137"/>
      <c r="AN99" s="30">
        <f t="shared" si="31"/>
        <v>1</v>
      </c>
      <c r="AO99" s="312">
        <f t="shared" si="32"/>
        <v>0</v>
      </c>
      <c r="AP99" s="291">
        <f t="shared" si="33"/>
        <v>0</v>
      </c>
      <c r="AQ99" s="31">
        <f t="shared" si="34"/>
        <v>0</v>
      </c>
      <c r="AS99" s="101"/>
    </row>
    <row r="100" spans="1:45" x14ac:dyDescent="0.2">
      <c r="A100" s="47" t="s">
        <v>151</v>
      </c>
      <c r="B100" s="141" t="str">
        <f t="shared" si="24"/>
        <v/>
      </c>
      <c r="C100" s="139">
        <f t="shared" si="25"/>
        <v>0</v>
      </c>
      <c r="D100" s="49">
        <v>27</v>
      </c>
      <c r="E100" s="141">
        <f t="shared" si="26"/>
        <v>27</v>
      </c>
      <c r="F100" s="138">
        <f t="shared" si="27"/>
        <v>10079</v>
      </c>
      <c r="G100" s="383" t="s">
        <v>151</v>
      </c>
      <c r="H100" s="141" t="str">
        <f t="shared" si="28"/>
        <v/>
      </c>
      <c r="I100" s="221">
        <f t="shared" si="29"/>
        <v>0</v>
      </c>
      <c r="J100" s="71">
        <f t="shared" si="30"/>
        <v>89</v>
      </c>
      <c r="K100" s="70">
        <v>92</v>
      </c>
      <c r="L100" s="51" t="s">
        <v>207</v>
      </c>
      <c r="M100" s="70">
        <v>79</v>
      </c>
      <c r="N100" s="141">
        <f t="array" ref="N100">(IF(COUNT(V100,X100,AG100,AI100,AK100,AM100)&lt;5,SUM(V100,X100,AG100,AI100,AK100,AM100),SUM(LARGE((V100,X100,AG100,AI100,AK100,AM100),{1;2;3;4;5}))))+(IF(COUNT(W100,Y100,AC100,AH100,AJ100,AL100)&lt;5,SUM(W100,Y100,AC100,AH100,AJ100,AL100),SUM(LARGE((W100,Y100,AC100,AH100,AJ100,AL100),{1;2;3;4;5}))))+U100</f>
        <v>79</v>
      </c>
      <c r="O100" s="796">
        <v>79</v>
      </c>
      <c r="P100" s="132">
        <f t="array" ref="P100">IF(S100="n",((IF(COUNT(V100,X100,AG100,AI100,AK100,AM100)&lt;5,SUM(V100,X100,AG100,AI100,AK100,AM100),SUM(LARGE((V100,X100,AG100,AI100,AK100,AM100),{1;2;3;4;5}))))+(IF(COUNT(W100,AA100,AE100,AH100,AJ100,AL100)&lt;5,SUM(W100,AA100,AE100,AH100,AJ100,AL100),SUM(LARGE((W100,AA100,AE100,AH100,AJ100,AL100),{1;2;3;4;5}))))+U100),0)</f>
        <v>79</v>
      </c>
      <c r="Q100" s="797">
        <v>0</v>
      </c>
      <c r="R100" s="132">
        <f t="array" ref="R100">IF(T100="j",((IF(COUNT(V100,X100,AG100,AI100,AK100,AM100)&lt;5,SUM(V100,X100,AG100,AI100,AK100,AM100),SUM(LARGE((V100,X100,AG100,AI100,AK100,AM100),{1;2;3;4;5}))))+(IF(COUNT(W100,AB100,AC100,AH100,AJ100,AL100)&lt;5,SUM(W100,AB100,AC100,AH100,AJ100,AL100),SUM(LARGE((W100,AB100,AC100,AH100,AJ100,AL100),{1;2;3;4;5}))))+U100),0)</f>
        <v>0</v>
      </c>
      <c r="S100" s="676" t="s">
        <v>33</v>
      </c>
      <c r="T100" s="676"/>
      <c r="U100" s="915">
        <v>1</v>
      </c>
      <c r="V100" s="316" t="s">
        <v>156</v>
      </c>
      <c r="W100" s="315">
        <v>78</v>
      </c>
      <c r="X100" s="137"/>
      <c r="Y100" s="316" t="s">
        <v>156</v>
      </c>
      <c r="Z100" s="960"/>
      <c r="AA100" s="961"/>
      <c r="AB100" s="962"/>
      <c r="AC100" s="137"/>
      <c r="AD100" s="960"/>
      <c r="AE100" s="961"/>
      <c r="AF100" s="732"/>
      <c r="AG100" s="137"/>
      <c r="AH100" s="137"/>
      <c r="AI100" s="137"/>
      <c r="AJ100" s="137"/>
      <c r="AK100" s="137"/>
      <c r="AL100" s="137"/>
      <c r="AM100" s="137"/>
      <c r="AN100" s="30">
        <f t="shared" si="31"/>
        <v>1</v>
      </c>
      <c r="AO100" s="312">
        <f t="shared" si="32"/>
        <v>0</v>
      </c>
      <c r="AP100" s="291">
        <f t="shared" si="33"/>
        <v>0</v>
      </c>
      <c r="AQ100" s="31">
        <f t="shared" si="34"/>
        <v>0</v>
      </c>
      <c r="AR100" s="4" t="e">
        <f>COUNTIF(V100:W100,"=  ")+COUNTIF(X100:AH100,"=  ")+COUNTIF(AJ100,"=  ")+COUNTIF(AL100,"=  ")+COUNTIF(#REF!,"=  ")+COUNTIF(#REF!,"=  ")+COUNTIF(#REF!,"=  ")</f>
        <v>#REF!</v>
      </c>
      <c r="AS100" s="101" t="e">
        <f>COUNTIF(Y100,"=  ")+COUNTIF(AI100,"=  ")+COUNTIF(AK100,"=  ")+COUNTIF(AM100,"=  ")+COUNTIF(AC100,"=  ")+COUNTIF(#REF!,"=  ")</f>
        <v>#REF!</v>
      </c>
    </row>
    <row r="101" spans="1:45" x14ac:dyDescent="0.2">
      <c r="A101" s="47">
        <v>67</v>
      </c>
      <c r="B101" s="141">
        <f t="shared" si="24"/>
        <v>67</v>
      </c>
      <c r="C101" s="139">
        <f t="shared" si="25"/>
        <v>10078</v>
      </c>
      <c r="D101" s="49" t="s">
        <v>151</v>
      </c>
      <c r="E101" s="141" t="str">
        <f t="shared" si="26"/>
        <v/>
      </c>
      <c r="F101" s="138">
        <f t="shared" si="27"/>
        <v>0</v>
      </c>
      <c r="G101" s="383">
        <v>8</v>
      </c>
      <c r="H101" s="141">
        <f t="shared" si="28"/>
        <v>8</v>
      </c>
      <c r="I101" s="221">
        <f t="shared" si="29"/>
        <v>10078</v>
      </c>
      <c r="J101" s="71">
        <f t="shared" si="30"/>
        <v>93</v>
      </c>
      <c r="K101" s="70">
        <v>93</v>
      </c>
      <c r="L101" s="296" t="s">
        <v>871</v>
      </c>
      <c r="M101" s="70">
        <v>78</v>
      </c>
      <c r="N101" s="141">
        <f t="array" ref="N101">(IF(COUNT(V101,X101,AG101,AI101,AK101,AM101)&lt;5,SUM(V101,X101,AG101,AI101,AK101,AM101),SUM(LARGE((V101,X101,AG101,AI101,AK101,AM101),{1;2;3;4;5}))))+(IF(COUNT(W101,Y101,AC101,AH101,AJ101,AL101)&lt;5,SUM(W101,Y101,AC101,AH101,AJ101,AL101),SUM(LARGE((W101,Y101,AC101,AH101,AJ101,AL101),{1;2;3;4;5}))))+U101</f>
        <v>78</v>
      </c>
      <c r="O101" s="796">
        <v>0</v>
      </c>
      <c r="P101" s="132">
        <f t="array" ref="P101">IF(S101="n",((IF(COUNT(V101,X101,AG101,AI101,AK101,AM101)&lt;5,SUM(V101,X101,AG101,AI101,AK101,AM101),SUM(LARGE((V101,X101,AG101,AI101,AK101,AM101),{1;2;3;4;5}))))+(IF(COUNT(W101,AA101,AE101,AH101,AJ101,AL101)&lt;5,SUM(W101,AA101,AE101,AH101,AJ101,AL101),SUM(LARGE((W101,AA101,AE101,AH101,AJ101,AL101),{1;2;3;4;5}))))+U101),0)</f>
        <v>0</v>
      </c>
      <c r="Q101" s="797">
        <v>78</v>
      </c>
      <c r="R101" s="132">
        <f t="array" ref="R101">IF(T101="j",((IF(COUNT(V101,X101,AG101,AI101,AK101,AM101)&lt;5,SUM(V101,X101,AG101,AI101,AK101,AM101),SUM(LARGE((V101,X101,AG101,AI101,AK101,AM101),{1;2;3;4;5}))))+(IF(COUNT(W101,AB101,AC101,AH101,AJ101,AL101)&lt;5,SUM(W101,AB101,AC101,AH101,AJ101,AL101),SUM(LARGE((W101,AB101,AC101,AH101,AJ101,AL101),{1;2;3;4;5}))))+U101),0)</f>
        <v>78</v>
      </c>
      <c r="S101" s="676"/>
      <c r="T101" s="676" t="s">
        <v>46</v>
      </c>
      <c r="U101" s="915"/>
      <c r="V101" s="316" t="s">
        <v>156</v>
      </c>
      <c r="W101" s="316" t="s">
        <v>156</v>
      </c>
      <c r="X101" s="315"/>
      <c r="Y101" s="137"/>
      <c r="Z101" s="960"/>
      <c r="AA101" s="961"/>
      <c r="AB101" s="962"/>
      <c r="AC101" s="137"/>
      <c r="AD101" s="960"/>
      <c r="AE101" s="961"/>
      <c r="AF101" s="732"/>
      <c r="AG101" s="137"/>
      <c r="AH101" s="137"/>
      <c r="AI101" s="137"/>
      <c r="AJ101" s="137"/>
      <c r="AK101" s="137"/>
      <c r="AL101" s="137">
        <v>78</v>
      </c>
      <c r="AM101" s="137"/>
      <c r="AN101" s="30">
        <f t="shared" si="31"/>
        <v>1</v>
      </c>
      <c r="AO101" s="312">
        <f t="shared" si="32"/>
        <v>0</v>
      </c>
      <c r="AP101" s="291">
        <f t="shared" si="33"/>
        <v>0</v>
      </c>
      <c r="AQ101" s="31">
        <f t="shared" si="34"/>
        <v>0</v>
      </c>
      <c r="AS101" s="101"/>
    </row>
    <row r="102" spans="1:45" x14ac:dyDescent="0.2">
      <c r="A102" s="47">
        <v>68</v>
      </c>
      <c r="B102" s="141">
        <f t="shared" si="24"/>
        <v>68</v>
      </c>
      <c r="C102" s="139">
        <f t="shared" si="25"/>
        <v>10074</v>
      </c>
      <c r="D102" s="49" t="s">
        <v>151</v>
      </c>
      <c r="E102" s="141" t="str">
        <f t="shared" si="26"/>
        <v/>
      </c>
      <c r="F102" s="138">
        <f t="shared" si="27"/>
        <v>0</v>
      </c>
      <c r="G102" s="383" t="s">
        <v>151</v>
      </c>
      <c r="H102" s="141" t="str">
        <f t="shared" si="28"/>
        <v/>
      </c>
      <c r="I102" s="221">
        <f t="shared" si="29"/>
        <v>0</v>
      </c>
      <c r="J102" s="71">
        <f t="shared" si="30"/>
        <v>94</v>
      </c>
      <c r="K102" s="70">
        <v>94</v>
      </c>
      <c r="L102" s="211" t="s">
        <v>842</v>
      </c>
      <c r="M102" s="70">
        <v>74</v>
      </c>
      <c r="N102" s="141">
        <f t="array" ref="N102">(IF(COUNT(V102,X102,AG102,AI102,AK102,AM102)&lt;5,SUM(V102,X102,AG102,AI102,AK102,AM102),SUM(LARGE((V102,X102,AG102,AI102,AK102,AM102),{1;2;3;4;5}))))+(IF(COUNT(W102,Y102,AC102,AH102,AJ102,AL102)&lt;5,SUM(W102,Y102,AC102,AH102,AJ102,AL102),SUM(LARGE((W102,Y102,AC102,AH102,AJ102,AL102),{1;2;3;4;5}))))+U102</f>
        <v>74</v>
      </c>
      <c r="O102" s="796">
        <v>0</v>
      </c>
      <c r="P102" s="132">
        <f t="array" ref="P102">IF(S102="n",((IF(COUNT(V102,X102,AG102,AI102,AK102,AM102)&lt;5,SUM(V102,X102,AG102,AI102,AK102,AM102),SUM(LARGE((V102,X102,AG102,AI102,AK102,AM102),{1;2;3;4;5}))))+(IF(COUNT(W102,AA102,AE102,AH102,AJ102,AL102)&lt;5,SUM(W102,AA102,AE102,AH102,AJ102,AL102),SUM(LARGE((W102,AA102,AE102,AH102,AJ102,AL102),{1;2;3;4;5}))))+U102),0)</f>
        <v>0</v>
      </c>
      <c r="Q102" s="797">
        <v>0</v>
      </c>
      <c r="R102" s="132">
        <f t="array" ref="R102">IF(T102="j",((IF(COUNT(V102,X102,AG102,AI102,AK102,AM102)&lt;5,SUM(V102,X102,AG102,AI102,AK102,AM102),SUM(LARGE((V102,X102,AG102,AI102,AK102,AM102),{1;2;3;4;5}))))+(IF(COUNT(W102,AB102,AC102,AH102,AJ102,AL102)&lt;5,SUM(W102,AB102,AC102,AH102,AJ102,AL102),SUM(LARGE((W102,AB102,AC102,AH102,AJ102,AL102),{1;2;3;4;5}))))+U102),0)</f>
        <v>0</v>
      </c>
      <c r="S102" s="676"/>
      <c r="T102" s="676"/>
      <c r="U102" s="915"/>
      <c r="V102" s="316" t="s">
        <v>156</v>
      </c>
      <c r="W102" s="316" t="s">
        <v>156</v>
      </c>
      <c r="X102" s="315"/>
      <c r="Y102" s="137"/>
      <c r="Z102" s="960"/>
      <c r="AA102" s="961"/>
      <c r="AB102" s="962"/>
      <c r="AC102" s="137"/>
      <c r="AD102" s="960"/>
      <c r="AE102" s="961"/>
      <c r="AF102" s="732"/>
      <c r="AG102" s="137">
        <v>74</v>
      </c>
      <c r="AH102" s="137"/>
      <c r="AI102" s="137"/>
      <c r="AJ102" s="137"/>
      <c r="AK102" s="137"/>
      <c r="AL102" s="137"/>
      <c r="AM102" s="137"/>
      <c r="AN102" s="30">
        <f t="shared" si="31"/>
        <v>1</v>
      </c>
      <c r="AO102" s="312">
        <f t="shared" si="32"/>
        <v>0</v>
      </c>
      <c r="AP102" s="291">
        <f t="shared" si="33"/>
        <v>0</v>
      </c>
      <c r="AQ102" s="31">
        <f t="shared" si="34"/>
        <v>0</v>
      </c>
      <c r="AS102" s="101"/>
    </row>
    <row r="103" spans="1:45" x14ac:dyDescent="0.2">
      <c r="A103" s="47" t="s">
        <v>151</v>
      </c>
      <c r="B103" s="141" t="str">
        <f t="shared" si="24"/>
        <v/>
      </c>
      <c r="C103" s="139">
        <f t="shared" si="25"/>
        <v>0</v>
      </c>
      <c r="D103" s="49">
        <v>28</v>
      </c>
      <c r="E103" s="141">
        <f t="shared" si="26"/>
        <v>28</v>
      </c>
      <c r="F103" s="138">
        <f t="shared" si="27"/>
        <v>10070</v>
      </c>
      <c r="G103" s="383" t="s">
        <v>151</v>
      </c>
      <c r="H103" s="141" t="str">
        <f t="shared" si="28"/>
        <v/>
      </c>
      <c r="I103" s="221">
        <f t="shared" si="29"/>
        <v>0</v>
      </c>
      <c r="J103" s="71">
        <f t="shared" si="30"/>
        <v>95</v>
      </c>
      <c r="K103" s="70">
        <v>95</v>
      </c>
      <c r="L103" s="51" t="s">
        <v>213</v>
      </c>
      <c r="M103" s="70">
        <v>70</v>
      </c>
      <c r="N103" s="141">
        <f t="array" ref="N103">(IF(COUNT(V103,X103,AG103,AI103,AK103,AM103)&lt;5,SUM(V103,X103,AG103,AI103,AK103,AM103),SUM(LARGE((V103,X103,AG103,AI103,AK103,AM103),{1;2;3;4;5}))))+(IF(COUNT(W103,Y103,AC103,AH103,AJ103,AL103)&lt;5,SUM(W103,Y103,AC103,AH103,AJ103,AL103),SUM(LARGE((W103,Y103,AC103,AH103,AJ103,AL103),{1;2;3;4;5}))))+U103</f>
        <v>70</v>
      </c>
      <c r="O103" s="796">
        <v>70</v>
      </c>
      <c r="P103" s="132">
        <f t="array" ref="P103">IF(S103="n",((IF(COUNT(V103,X103,AG103,AI103,AK103,AM103)&lt;5,SUM(V103,X103,AG103,AI103,AK103,AM103),SUM(LARGE((V103,X103,AG103,AI103,AK103,AM103),{1;2;3;4;5}))))+(IF(COUNT(W103,AA103,AE103,AH103,AJ103,AL103)&lt;5,SUM(W103,AA103,AE103,AH103,AJ103,AL103),SUM(LARGE((W103,AA103,AE103,AH103,AJ103,AL103),{1;2;3;4;5}))))+U103),0)</f>
        <v>70</v>
      </c>
      <c r="Q103" s="797">
        <v>0</v>
      </c>
      <c r="R103" s="132">
        <f t="array" ref="R103">IF(T103="j",((IF(COUNT(V103,X103,AG103,AI103,AK103,AM103)&lt;5,SUM(V103,X103,AG103,AI103,AK103,AM103),SUM(LARGE((V103,X103,AG103,AI103,AK103,AM103),{1;2;3;4;5}))))+(IF(COUNT(W103,AB103,AC103,AH103,AJ103,AL103)&lt;5,SUM(W103,AB103,AC103,AH103,AJ103,AL103),SUM(LARGE((W103,AB103,AC103,AH103,AJ103,AL103),{1;2;3;4;5}))))+U103),0)</f>
        <v>0</v>
      </c>
      <c r="S103" s="676" t="s">
        <v>33</v>
      </c>
      <c r="T103" s="676"/>
      <c r="U103" s="915">
        <v>1</v>
      </c>
      <c r="V103" s="316" t="s">
        <v>156</v>
      </c>
      <c r="W103" s="316" t="s">
        <v>156</v>
      </c>
      <c r="X103" s="137"/>
      <c r="Y103" s="137"/>
      <c r="Z103" s="960"/>
      <c r="AA103" s="961"/>
      <c r="AB103" s="962"/>
      <c r="AC103" s="137"/>
      <c r="AD103" s="960"/>
      <c r="AE103" s="961"/>
      <c r="AF103" s="732"/>
      <c r="AG103" s="137">
        <v>69</v>
      </c>
      <c r="AH103" s="137"/>
      <c r="AI103" s="137"/>
      <c r="AJ103" s="137"/>
      <c r="AK103" s="137"/>
      <c r="AL103" s="137"/>
      <c r="AM103" s="137"/>
      <c r="AN103" s="30">
        <f t="shared" si="31"/>
        <v>1</v>
      </c>
      <c r="AO103" s="312">
        <f t="shared" si="32"/>
        <v>0</v>
      </c>
      <c r="AP103" s="291">
        <f t="shared" si="33"/>
        <v>0</v>
      </c>
      <c r="AQ103" s="31">
        <f t="shared" si="34"/>
        <v>0</v>
      </c>
      <c r="AR103" s="4" t="e">
        <f>COUNTIF(V103:W103,"=  ")+COUNTIF(X103:AH103,"=  ")+COUNTIF(AJ103,"=  ")+COUNTIF(AL103,"=  ")+COUNTIF(#REF!,"=  ")+COUNTIF(#REF!,"=  ")+COUNTIF(#REF!,"=  ")</f>
        <v>#REF!</v>
      </c>
      <c r="AS103" s="101" t="e">
        <f>COUNTIF(Y103,"=  ")+COUNTIF(AI103,"=  ")+COUNTIF(AK103,"=  ")+COUNTIF(AM103,"=  ")+COUNTIF(AC103,"=  ")+COUNTIF(#REF!,"=  ")</f>
        <v>#REF!</v>
      </c>
    </row>
    <row r="104" spans="1:45" x14ac:dyDescent="0.2">
      <c r="A104" s="47">
        <v>69</v>
      </c>
      <c r="B104" s="141">
        <f t="shared" si="24"/>
        <v>69</v>
      </c>
      <c r="C104" s="139">
        <f t="shared" si="25"/>
        <v>10069</v>
      </c>
      <c r="D104" s="49" t="s">
        <v>151</v>
      </c>
      <c r="E104" s="141" t="str">
        <f t="shared" si="26"/>
        <v/>
      </c>
      <c r="F104" s="138">
        <f t="shared" si="27"/>
        <v>0</v>
      </c>
      <c r="G104" s="383" t="s">
        <v>151</v>
      </c>
      <c r="H104" s="141" t="str">
        <f t="shared" si="28"/>
        <v/>
      </c>
      <c r="I104" s="221">
        <f t="shared" si="29"/>
        <v>0</v>
      </c>
      <c r="J104" s="71">
        <f t="shared" si="30"/>
        <v>96</v>
      </c>
      <c r="K104" s="70">
        <v>96</v>
      </c>
      <c r="L104" s="211" t="s">
        <v>843</v>
      </c>
      <c r="M104" s="70">
        <v>69</v>
      </c>
      <c r="N104" s="141">
        <f t="array" ref="N104">(IF(COUNT(V104,X104,AG104,AI104,AK104,AM104)&lt;5,SUM(V104,X104,AG104,AI104,AK104,AM104),SUM(LARGE((V104,X104,AG104,AI104,AK104,AM104),{1;2;3;4;5}))))+(IF(COUNT(W104,Y104,AC104,AH104,AJ104,AL104)&lt;5,SUM(W104,Y104,AC104,AH104,AJ104,AL104),SUM(LARGE((W104,Y104,AC104,AH104,AJ104,AL104),{1;2;3;4;5}))))+U104</f>
        <v>69</v>
      </c>
      <c r="O104" s="796">
        <v>0</v>
      </c>
      <c r="P104" s="132">
        <f t="array" ref="P104">IF(S104="n",((IF(COUNT(V104,X104,AG104,AI104,AK104,AM104)&lt;5,SUM(V104,X104,AG104,AI104,AK104,AM104),SUM(LARGE((V104,X104,AG104,AI104,AK104,AM104),{1;2;3;4;5}))))+(IF(COUNT(W104,AA104,AE104,AH104,AJ104,AL104)&lt;5,SUM(W104,AA104,AE104,AH104,AJ104,AL104),SUM(LARGE((W104,AA104,AE104,AH104,AJ104,AL104),{1;2;3;4;5}))))+U104),0)</f>
        <v>0</v>
      </c>
      <c r="Q104" s="797">
        <v>0</v>
      </c>
      <c r="R104" s="132">
        <f t="array" ref="R104">IF(T104="j",((IF(COUNT(V104,X104,AG104,AI104,AK104,AM104)&lt;5,SUM(V104,X104,AG104,AI104,AK104,AM104),SUM(LARGE((V104,X104,AG104,AI104,AK104,AM104),{1;2;3;4;5}))))+(IF(COUNT(W104,AB104,AC104,AH104,AJ104,AL104)&lt;5,SUM(W104,AB104,AC104,AH104,AJ104,AL104),SUM(LARGE((W104,AB104,AC104,AH104,AJ104,AL104),{1;2;3;4;5}))))+U104),0)</f>
        <v>0</v>
      </c>
      <c r="S104" s="676"/>
      <c r="T104" s="676"/>
      <c r="U104" s="915"/>
      <c r="V104" s="316" t="s">
        <v>156</v>
      </c>
      <c r="W104" s="316" t="s">
        <v>156</v>
      </c>
      <c r="X104" s="315"/>
      <c r="Y104" s="137"/>
      <c r="Z104" s="960"/>
      <c r="AA104" s="961"/>
      <c r="AB104" s="962"/>
      <c r="AC104" s="137"/>
      <c r="AD104" s="960"/>
      <c r="AE104" s="961"/>
      <c r="AF104" s="732"/>
      <c r="AG104" s="137">
        <v>69</v>
      </c>
      <c r="AH104" s="137"/>
      <c r="AI104" s="137"/>
      <c r="AJ104" s="137"/>
      <c r="AK104" s="137"/>
      <c r="AL104" s="137"/>
      <c r="AM104" s="137"/>
      <c r="AN104" s="30">
        <f t="shared" si="31"/>
        <v>1</v>
      </c>
      <c r="AO104" s="312">
        <f t="shared" si="32"/>
        <v>0</v>
      </c>
      <c r="AP104" s="291">
        <f t="shared" si="33"/>
        <v>0</v>
      </c>
      <c r="AQ104" s="31">
        <f t="shared" si="34"/>
        <v>0</v>
      </c>
      <c r="AS104" s="101"/>
    </row>
    <row r="105" spans="1:45" x14ac:dyDescent="0.2">
      <c r="A105" s="47" t="s">
        <v>151</v>
      </c>
      <c r="B105" s="141" t="str">
        <f t="shared" ref="B105:B136" si="35">IF(N105=0,"",IF(S105="n","",RANK(C105,C$9:C$161,0)))</f>
        <v/>
      </c>
      <c r="C105" s="139">
        <f t="shared" ref="C105:C136" si="36">IF(S105="n",0,N105+10000)</f>
        <v>0</v>
      </c>
      <c r="D105" s="49">
        <v>23</v>
      </c>
      <c r="E105" s="141">
        <f t="shared" ref="E105:E136" si="37">IF(S105="n",RANK(F105,F$9:F$161,0),"")</f>
        <v>23</v>
      </c>
      <c r="F105" s="138">
        <f t="shared" ref="F105:F136" si="38">IF(AND((T105="j"),(S105="n")),N105+10000,IF((S105="n"),P105+10000,0))</f>
        <v>10119</v>
      </c>
      <c r="G105" s="383" t="s">
        <v>151</v>
      </c>
      <c r="H105" s="141" t="str">
        <f t="shared" ref="H105:H136" si="39">IF(T105="j",RANK(I105,I$9:I$161,0),"")</f>
        <v/>
      </c>
      <c r="I105" s="221">
        <f t="shared" ref="I105:I136" si="40">IF((T105="j"),R105+10000,0)</f>
        <v>0</v>
      </c>
      <c r="J105" s="71">
        <f t="shared" ref="J105:J136" si="41">RANK(N105,$N$9:$N$161,0)</f>
        <v>97</v>
      </c>
      <c r="K105" s="70">
        <v>97</v>
      </c>
      <c r="L105" s="51" t="s">
        <v>723</v>
      </c>
      <c r="M105" s="70">
        <v>57</v>
      </c>
      <c r="N105" s="141">
        <f t="array" ref="N105">(IF(COUNT(V105,X105,AG105,AI105,AK105,AM105)&lt;5,SUM(V105,X105,AG105,AI105,AK105,AM105),SUM(LARGE((V105,X105,AG105,AI105,AK105,AM105),{1;2;3;4;5}))))+(IF(COUNT(W105,Y105,AC105,AH105,AJ105,AL105)&lt;5,SUM(W105,Y105,AC105,AH105,AJ105,AL105),SUM(LARGE((W105,Y105,AC105,AH105,AJ105,AL105),{1;2;3;4;5}))))+U105</f>
        <v>57</v>
      </c>
      <c r="O105" s="796">
        <v>119</v>
      </c>
      <c r="P105" s="132">
        <f t="array" ref="P105">IF(S105="n",((IF(COUNT(V105,X105,AG105,AI105,AK105,AM105)&lt;5,SUM(V105,X105,AG105,AI105,AK105,AM105),SUM(LARGE((V105,X105,AG105,AI105,AK105,AM105),{1;2;3;4;5}))))+(IF(COUNT(W105,AA105,AE105,AH105,AJ105,AL105)&lt;5,SUM(W105,AA105,AE105,AH105,AJ105,AL105),SUM(LARGE((W105,AA105,AE105,AH105,AJ105,AL105),{1;2;3;4;5}))))+U105),0)</f>
        <v>119</v>
      </c>
      <c r="Q105" s="797">
        <v>0</v>
      </c>
      <c r="R105" s="132">
        <f t="array" ref="R105">IF(T105="j",((IF(COUNT(V105,X105,AG105,AI105,AK105,AM105)&lt;5,SUM(V105,X105,AG105,AI105,AK105,AM105),SUM(LARGE((V105,X105,AG105,AI105,AK105,AM105),{1;2;3;4;5}))))+(IF(COUNT(W105,AB105,AC105,AH105,AJ105,AL105)&lt;5,SUM(W105,AB105,AC105,AH105,AJ105,AL105),SUM(LARGE((W105,AB105,AC105,AH105,AJ105,AL105),{1;2;3;4;5}))))+U105),0)</f>
        <v>0</v>
      </c>
      <c r="S105" s="676" t="s">
        <v>33</v>
      </c>
      <c r="T105" s="676"/>
      <c r="U105" s="915"/>
      <c r="V105" s="316" t="s">
        <v>156</v>
      </c>
      <c r="W105" s="316" t="s">
        <v>156</v>
      </c>
      <c r="X105" s="315"/>
      <c r="Y105" s="137"/>
      <c r="Z105" s="960"/>
      <c r="AA105" s="961"/>
      <c r="AB105" s="962"/>
      <c r="AC105" s="315">
        <v>57</v>
      </c>
      <c r="AD105" s="960"/>
      <c r="AE105" s="961">
        <v>119</v>
      </c>
      <c r="AF105" s="732"/>
      <c r="AG105" s="137"/>
      <c r="AH105" s="137"/>
      <c r="AI105" s="137"/>
      <c r="AJ105" s="137"/>
      <c r="AK105" s="137"/>
      <c r="AL105" s="137"/>
      <c r="AM105" s="137"/>
      <c r="AN105" s="30">
        <f t="shared" ref="AN105:AN136" si="42">COUNTIF(V105:Y105,"&gt;=0")+COUNTIF(AC105,"&gt;=0")+COUNTIF(AG105:AM105,"&gt;=0")</f>
        <v>1</v>
      </c>
      <c r="AO105" s="312">
        <f t="shared" ref="AO105:AO136" si="43">COUNTIF(V105,"&gt;=97")+COUNTIF(X105,"&gt;=97")+COUNTIF(AG105,"&gt;=97")+COUNTIF(AI105,"&gt;=97")+COUNTIF(AK105,"&gt;=97")+COUNTIF(AM105,"&gt;=97")+COUNTIF(W105,"&gt;=146")+COUNTIF(Y105,"&gt;=146")+COUNTIF(AC105,"&gt;=146")+COUNTIF(AH105,"&gt;=146")+COUNTIF(AJ105,"&gt;=146")+COUNTIF(AL105,"&gt;=146")+IF((S105="n"),(COUNTIF(Y105,"=83")+COUNTIF(Y105,"=93")+COUNTIF(Y105,"=105")+COUNTIF(AC105,"=83")+COUNTIF(AC105,"=93")+COUNTIF(AC105,"=105")))+IF((T105="j"),(COUNTIF(Y105,"=33")+COUNTIF(Y105,"=42")+COUNTIF(Y105,"=53")+COUNTIF(AC105,"=33")+COUNTIF(AC105,"=42")+COUNTIF(AC105,"=53")))</f>
        <v>0</v>
      </c>
      <c r="AP105" s="291">
        <f t="shared" ref="AP105:AP136" si="44">COUNTIF(V105,"=115")+COUNTIF(X105,"=115")+COUNTIF(AG105,"=115")+COUNTIF(AI105,"=115")+COUNTIF(AK105,"=115")+COUNTIF(AM105,"=115")+COUNTIF(V105:AM105,"=173")</f>
        <v>0</v>
      </c>
      <c r="AQ105" s="31">
        <f t="shared" ref="AQ105:AQ136" si="45">COUNTIF(V105:X105,"=173")+COUNTIF(Z105:AB105,"=173")+COUNTIF(AD105:AM105,"=173")</f>
        <v>0</v>
      </c>
      <c r="AS105" s="101"/>
    </row>
    <row r="106" spans="1:45" x14ac:dyDescent="0.2">
      <c r="A106" s="47" t="s">
        <v>151</v>
      </c>
      <c r="B106" s="141" t="str">
        <f t="shared" si="35"/>
        <v/>
      </c>
      <c r="C106" s="139">
        <f t="shared" si="36"/>
        <v>0</v>
      </c>
      <c r="D106" s="49">
        <v>29</v>
      </c>
      <c r="E106" s="141">
        <f t="shared" si="37"/>
        <v>29</v>
      </c>
      <c r="F106" s="138">
        <f t="shared" si="38"/>
        <v>10056</v>
      </c>
      <c r="G106" s="383" t="s">
        <v>151</v>
      </c>
      <c r="H106" s="141" t="str">
        <f t="shared" si="39"/>
        <v/>
      </c>
      <c r="I106" s="221">
        <f t="shared" si="40"/>
        <v>0</v>
      </c>
      <c r="J106" s="71">
        <f t="shared" si="41"/>
        <v>98</v>
      </c>
      <c r="K106" s="70">
        <v>98</v>
      </c>
      <c r="L106" s="293" t="s">
        <v>845</v>
      </c>
      <c r="M106" s="377">
        <v>56</v>
      </c>
      <c r="N106" s="141">
        <f t="array" ref="N106">(IF(COUNT(V106,X106,AG106,AI106,AK106,AM106)&lt;5,SUM(V106,X106,AG106,AI106,AK106,AM106),SUM(LARGE((V106,X106,AG106,AI106,AK106,AM106),{1;2;3;4;5}))))+(IF(COUNT(W106,Y106,AC106,AH106,AJ106,AL106)&lt;5,SUM(W106,Y106,AC106,AH106,AJ106,AL106),SUM(LARGE((W106,Y106,AC106,AH106,AJ106,AL106),{1;2;3;4;5}))))+U106</f>
        <v>56</v>
      </c>
      <c r="O106" s="796">
        <v>56</v>
      </c>
      <c r="P106" s="132">
        <f t="array" ref="P106">IF(S106="n",((IF(COUNT(V106,X106,AG106,AI106,AK106,AM106)&lt;5,SUM(V106,X106,AG106,AI106,AK106,AM106),SUM(LARGE((V106,X106,AG106,AI106,AK106,AM106),{1;2;3;4;5}))))+(IF(COUNT(W106,AA106,AE106,AH106,AJ106,AL106)&lt;5,SUM(W106,AA106,AE106,AH106,AJ106,AL106),SUM(LARGE((W106,AA106,AE106,AH106,AJ106,AL106),{1;2;3;4;5}))))+U106),0)</f>
        <v>56</v>
      </c>
      <c r="Q106" s="797">
        <v>0</v>
      </c>
      <c r="R106" s="132">
        <f t="array" ref="R106">IF(T106="j",((IF(COUNT(V106,X106,AG106,AI106,AK106,AM106)&lt;5,SUM(V106,X106,AG106,AI106,AK106,AM106),SUM(LARGE((V106,X106,AG106,AI106,AK106,AM106),{1;2;3;4;5}))))+(IF(COUNT(W106,AB106,AC106,AH106,AJ106,AL106)&lt;5,SUM(W106,AB106,AC106,AH106,AJ106,AL106),SUM(LARGE((W106,AB106,AC106,AH106,AJ106,AL106),{1;2;3;4;5}))))+U106),0)</f>
        <v>0</v>
      </c>
      <c r="S106" s="676" t="s">
        <v>33</v>
      </c>
      <c r="T106" s="676"/>
      <c r="U106" s="915"/>
      <c r="V106" s="316" t="s">
        <v>156</v>
      </c>
      <c r="W106" s="316" t="s">
        <v>156</v>
      </c>
      <c r="X106" s="315"/>
      <c r="Y106" s="137"/>
      <c r="Z106" s="960"/>
      <c r="AA106" s="961"/>
      <c r="AB106" s="962"/>
      <c r="AC106" s="137"/>
      <c r="AD106" s="960"/>
      <c r="AE106" s="961"/>
      <c r="AF106" s="732"/>
      <c r="AG106" s="137">
        <v>56</v>
      </c>
      <c r="AH106" s="137"/>
      <c r="AI106" s="137"/>
      <c r="AJ106" s="137"/>
      <c r="AK106" s="137"/>
      <c r="AL106" s="137"/>
      <c r="AM106" s="137"/>
      <c r="AN106" s="30">
        <f t="shared" si="42"/>
        <v>1</v>
      </c>
      <c r="AO106" s="312">
        <f t="shared" si="43"/>
        <v>0</v>
      </c>
      <c r="AP106" s="291">
        <f t="shared" si="44"/>
        <v>0</v>
      </c>
      <c r="AQ106" s="31">
        <f t="shared" si="45"/>
        <v>0</v>
      </c>
      <c r="AS106" s="101"/>
    </row>
    <row r="107" spans="1:45" x14ac:dyDescent="0.2">
      <c r="A107" s="47">
        <v>70</v>
      </c>
      <c r="B107" s="141">
        <f t="shared" si="35"/>
        <v>70</v>
      </c>
      <c r="C107" s="139">
        <f t="shared" si="36"/>
        <v>10056</v>
      </c>
      <c r="D107" s="49" t="s">
        <v>151</v>
      </c>
      <c r="E107" s="141" t="str">
        <f t="shared" si="37"/>
        <v/>
      </c>
      <c r="F107" s="138">
        <f t="shared" si="38"/>
        <v>0</v>
      </c>
      <c r="G107" s="383" t="s">
        <v>151</v>
      </c>
      <c r="H107" s="141" t="str">
        <f t="shared" si="39"/>
        <v/>
      </c>
      <c r="I107" s="221">
        <f t="shared" si="40"/>
        <v>0</v>
      </c>
      <c r="J107" s="71">
        <f t="shared" si="41"/>
        <v>98</v>
      </c>
      <c r="K107" s="70">
        <v>98</v>
      </c>
      <c r="L107" s="44" t="s">
        <v>844</v>
      </c>
      <c r="M107" s="377">
        <v>56</v>
      </c>
      <c r="N107" s="141">
        <f t="array" ref="N107">(IF(COUNT(V107,X107,AG107,AI107,AK107,AM107)&lt;5,SUM(V107,X107,AG107,AI107,AK107,AM107),SUM(LARGE((V107,X107,AG107,AI107,AK107,AM107),{1;2;3;4;5}))))+(IF(COUNT(W107,Y107,AC107,AH107,AJ107,AL107)&lt;5,SUM(W107,Y107,AC107,AH107,AJ107,AL107),SUM(LARGE((W107,Y107,AC107,AH107,AJ107,AL107),{1;2;3;4;5}))))+U107</f>
        <v>56</v>
      </c>
      <c r="O107" s="796">
        <v>0</v>
      </c>
      <c r="P107" s="132">
        <f t="array" ref="P107">IF(S107="n",((IF(COUNT(V107,X107,AG107,AI107,AK107,AM107)&lt;5,SUM(V107,X107,AG107,AI107,AK107,AM107),SUM(LARGE((V107,X107,AG107,AI107,AK107,AM107),{1;2;3;4;5}))))+(IF(COUNT(W107,AA107,AE107,AH107,AJ107,AL107)&lt;5,SUM(W107,AA107,AE107,AH107,AJ107,AL107),SUM(LARGE((W107,AA107,AE107,AH107,AJ107,AL107),{1;2;3;4;5}))))+U107),0)</f>
        <v>0</v>
      </c>
      <c r="Q107" s="797">
        <v>0</v>
      </c>
      <c r="R107" s="132">
        <f t="array" ref="R107">IF(T107="j",((IF(COUNT(V107,X107,AG107,AI107,AK107,AM107)&lt;5,SUM(V107,X107,AG107,AI107,AK107,AM107),SUM(LARGE((V107,X107,AG107,AI107,AK107,AM107),{1;2;3;4;5}))))+(IF(COUNT(W107,AB107,AC107,AH107,AJ107,AL107)&lt;5,SUM(W107,AB107,AC107,AH107,AJ107,AL107),SUM(LARGE((W107,AB107,AC107,AH107,AJ107,AL107),{1;2;3;4;5}))))+U107),0)</f>
        <v>0</v>
      </c>
      <c r="S107" s="676"/>
      <c r="T107" s="676"/>
      <c r="U107" s="915"/>
      <c r="V107" s="316" t="s">
        <v>156</v>
      </c>
      <c r="W107" s="316" t="s">
        <v>156</v>
      </c>
      <c r="X107" s="315"/>
      <c r="Y107" s="137"/>
      <c r="Z107" s="960"/>
      <c r="AA107" s="961"/>
      <c r="AB107" s="962"/>
      <c r="AC107" s="137"/>
      <c r="AD107" s="960"/>
      <c r="AE107" s="961"/>
      <c r="AF107" s="732"/>
      <c r="AG107" s="137">
        <v>56</v>
      </c>
      <c r="AH107" s="137"/>
      <c r="AI107" s="137"/>
      <c r="AJ107" s="137"/>
      <c r="AK107" s="137"/>
      <c r="AL107" s="137"/>
      <c r="AM107" s="137"/>
      <c r="AN107" s="30">
        <f t="shared" si="42"/>
        <v>1</v>
      </c>
      <c r="AO107" s="312">
        <f t="shared" si="43"/>
        <v>0</v>
      </c>
      <c r="AP107" s="291">
        <f t="shared" si="44"/>
        <v>0</v>
      </c>
      <c r="AQ107" s="31">
        <f t="shared" si="45"/>
        <v>0</v>
      </c>
      <c r="AS107" s="101"/>
    </row>
    <row r="108" spans="1:45" x14ac:dyDescent="0.2">
      <c r="A108" s="47" t="s">
        <v>151</v>
      </c>
      <c r="B108" s="141" t="str">
        <f t="shared" si="35"/>
        <v/>
      </c>
      <c r="C108" s="139">
        <f t="shared" si="36"/>
        <v>0</v>
      </c>
      <c r="D108" s="49">
        <v>29</v>
      </c>
      <c r="E108" s="141">
        <f t="shared" si="37"/>
        <v>29</v>
      </c>
      <c r="F108" s="138">
        <f t="shared" si="38"/>
        <v>10056</v>
      </c>
      <c r="G108" s="383" t="s">
        <v>151</v>
      </c>
      <c r="H108" s="141" t="str">
        <f t="shared" si="39"/>
        <v/>
      </c>
      <c r="I108" s="221">
        <f t="shared" si="40"/>
        <v>0</v>
      </c>
      <c r="J108" s="71">
        <f t="shared" si="41"/>
        <v>98</v>
      </c>
      <c r="K108" s="70">
        <v>98</v>
      </c>
      <c r="L108" s="51" t="s">
        <v>860</v>
      </c>
      <c r="M108" s="377">
        <v>56</v>
      </c>
      <c r="N108" s="141">
        <f t="array" ref="N108">(IF(COUNT(V108,X108,AG108,AI108,AK108,AM108)&lt;5,SUM(V108,X108,AG108,AI108,AK108,AM108),SUM(LARGE((V108,X108,AG108,AI108,AK108,AM108),{1;2;3;4;5}))))+(IF(COUNT(W108,Y108,AC108,AH108,AJ108,AL108)&lt;5,SUM(W108,Y108,AC108,AH108,AJ108,AL108),SUM(LARGE((W108,Y108,AC108,AH108,AJ108,AL108),{1;2;3;4;5}))))+U108</f>
        <v>56</v>
      </c>
      <c r="O108" s="796">
        <v>56</v>
      </c>
      <c r="P108" s="132">
        <f t="array" ref="P108">IF(S108="n",((IF(COUNT(V108,X108,AG108,AI108,AK108,AM108)&lt;5,SUM(V108,X108,AG108,AI108,AK108,AM108),SUM(LARGE((V108,X108,AG108,AI108,AK108,AM108),{1;2;3;4;5}))))+(IF(COUNT(W108,AA108,AE108,AH108,AJ108,AL108)&lt;5,SUM(W108,AA108,AE108,AH108,AJ108,AL108),SUM(LARGE((W108,AA108,AE108,AH108,AJ108,AL108),{1;2;3;4;5}))))+U108),0)</f>
        <v>56</v>
      </c>
      <c r="Q108" s="797">
        <v>0</v>
      </c>
      <c r="R108" s="132">
        <f t="array" ref="R108">IF(T108="j",((IF(COUNT(V108,X108,AG108,AI108,AK108,AM108)&lt;5,SUM(V108,X108,AG108,AI108,AK108,AM108),SUM(LARGE((V108,X108,AG108,AI108,AK108,AM108),{1;2;3;4;5}))))+(IF(COUNT(W108,AB108,AC108,AH108,AJ108,AL108)&lt;5,SUM(W108,AB108,AC108,AH108,AJ108,AL108),SUM(LARGE((W108,AB108,AC108,AH108,AJ108,AL108),{1;2;3;4;5}))))+U108),0)</f>
        <v>0</v>
      </c>
      <c r="S108" s="676" t="s">
        <v>33</v>
      </c>
      <c r="T108" s="676"/>
      <c r="U108" s="915"/>
      <c r="V108" s="316" t="s">
        <v>156</v>
      </c>
      <c r="W108" s="316" t="s">
        <v>156</v>
      </c>
      <c r="X108" s="315"/>
      <c r="Y108" s="137"/>
      <c r="Z108" s="960"/>
      <c r="AA108" s="961"/>
      <c r="AB108" s="962"/>
      <c r="AC108" s="137"/>
      <c r="AD108" s="960"/>
      <c r="AE108" s="961"/>
      <c r="AF108" s="732"/>
      <c r="AG108" s="137"/>
      <c r="AH108" s="137"/>
      <c r="AI108" s="137"/>
      <c r="AJ108" s="137"/>
      <c r="AK108" s="137">
        <v>56</v>
      </c>
      <c r="AL108" s="137"/>
      <c r="AM108" s="137"/>
      <c r="AN108" s="30">
        <f t="shared" si="42"/>
        <v>1</v>
      </c>
      <c r="AO108" s="312">
        <f t="shared" si="43"/>
        <v>0</v>
      </c>
      <c r="AP108" s="291">
        <f t="shared" si="44"/>
        <v>0</v>
      </c>
      <c r="AQ108" s="31">
        <f t="shared" si="45"/>
        <v>0</v>
      </c>
      <c r="AS108" s="101"/>
    </row>
    <row r="109" spans="1:45" x14ac:dyDescent="0.2">
      <c r="A109" s="47">
        <v>70</v>
      </c>
      <c r="B109" s="141">
        <f t="shared" si="35"/>
        <v>70</v>
      </c>
      <c r="C109" s="139">
        <f t="shared" si="36"/>
        <v>10056</v>
      </c>
      <c r="D109" s="49" t="s">
        <v>151</v>
      </c>
      <c r="E109" s="141" t="str">
        <f t="shared" si="37"/>
        <v/>
      </c>
      <c r="F109" s="138">
        <f t="shared" si="38"/>
        <v>0</v>
      </c>
      <c r="G109" s="383" t="s">
        <v>151</v>
      </c>
      <c r="H109" s="141" t="str">
        <f t="shared" si="39"/>
        <v/>
      </c>
      <c r="I109" s="221">
        <f t="shared" si="40"/>
        <v>0</v>
      </c>
      <c r="J109" s="71">
        <f t="shared" si="41"/>
        <v>98</v>
      </c>
      <c r="K109" s="70">
        <v>98</v>
      </c>
      <c r="L109" s="263" t="s">
        <v>861</v>
      </c>
      <c r="M109" s="377">
        <v>56</v>
      </c>
      <c r="N109" s="141">
        <f t="array" ref="N109">(IF(COUNT(V109,X109,AG109,AI109,AK109,AM109)&lt;5,SUM(V109,X109,AG109,AI109,AK109,AM109),SUM(LARGE((V109,X109,AG109,AI109,AK109,AM109),{1;2;3;4;5}))))+(IF(COUNT(W109,Y109,AC109,AH109,AJ109,AL109)&lt;5,SUM(W109,Y109,AC109,AH109,AJ109,AL109),SUM(LARGE((W109,Y109,AC109,AH109,AJ109,AL109),{1;2;3;4;5}))))+U109</f>
        <v>56</v>
      </c>
      <c r="O109" s="796">
        <v>0</v>
      </c>
      <c r="P109" s="132">
        <f t="array" ref="P109">IF(S109="n",((IF(COUNT(V109,X109,AG109,AI109,AK109,AM109)&lt;5,SUM(V109,X109,AG109,AI109,AK109,AM109),SUM(LARGE((V109,X109,AG109,AI109,AK109,AM109),{1;2;3;4;5}))))+(IF(COUNT(W109,AA109,AE109,AH109,AJ109,AL109)&lt;5,SUM(W109,AA109,AE109,AH109,AJ109,AL109),SUM(LARGE((W109,AA109,AE109,AH109,AJ109,AL109),{1;2;3;4;5}))))+U109),0)</f>
        <v>0</v>
      </c>
      <c r="Q109" s="797">
        <v>0</v>
      </c>
      <c r="R109" s="132">
        <f t="array" ref="R109">IF(T109="j",((IF(COUNT(V109,X109,AG109,AI109,AK109,AM109)&lt;5,SUM(V109,X109,AG109,AI109,AK109,AM109),SUM(LARGE((V109,X109,AG109,AI109,AK109,AM109),{1;2;3;4;5}))))+(IF(COUNT(W109,AB109,AC109,AH109,AJ109,AL109)&lt;5,SUM(W109,AB109,AC109,AH109,AJ109,AL109),SUM(LARGE((W109,AB109,AC109,AH109,AJ109,AL109),{1;2;3;4;5}))))+U109),0)</f>
        <v>0</v>
      </c>
      <c r="S109" s="676"/>
      <c r="T109" s="676"/>
      <c r="U109" s="915"/>
      <c r="V109" s="316" t="s">
        <v>156</v>
      </c>
      <c r="W109" s="316" t="s">
        <v>156</v>
      </c>
      <c r="X109" s="315"/>
      <c r="Y109" s="137"/>
      <c r="Z109" s="960"/>
      <c r="AA109" s="961"/>
      <c r="AB109" s="962"/>
      <c r="AC109" s="137"/>
      <c r="AD109" s="960"/>
      <c r="AE109" s="961"/>
      <c r="AF109" s="732"/>
      <c r="AG109" s="137"/>
      <c r="AH109" s="137"/>
      <c r="AI109" s="137"/>
      <c r="AJ109" s="137"/>
      <c r="AK109" s="137">
        <v>56</v>
      </c>
      <c r="AL109" s="137"/>
      <c r="AM109" s="137"/>
      <c r="AN109" s="30">
        <f t="shared" si="42"/>
        <v>1</v>
      </c>
      <c r="AO109" s="312">
        <f t="shared" si="43"/>
        <v>0</v>
      </c>
      <c r="AP109" s="291">
        <f t="shared" si="44"/>
        <v>0</v>
      </c>
      <c r="AQ109" s="31">
        <f t="shared" si="45"/>
        <v>0</v>
      </c>
      <c r="AS109" s="101"/>
    </row>
    <row r="110" spans="1:45" x14ac:dyDescent="0.2">
      <c r="A110" s="47">
        <v>72</v>
      </c>
      <c r="B110" s="141">
        <f t="shared" si="35"/>
        <v>72</v>
      </c>
      <c r="C110" s="139">
        <f t="shared" si="36"/>
        <v>10050</v>
      </c>
      <c r="D110" s="49" t="s">
        <v>151</v>
      </c>
      <c r="E110" s="141" t="str">
        <f t="shared" si="37"/>
        <v/>
      </c>
      <c r="F110" s="138">
        <f t="shared" si="38"/>
        <v>0</v>
      </c>
      <c r="G110" s="383" t="s">
        <v>151</v>
      </c>
      <c r="H110" s="141" t="str">
        <f t="shared" si="39"/>
        <v/>
      </c>
      <c r="I110" s="221">
        <f t="shared" si="40"/>
        <v>0</v>
      </c>
      <c r="J110" s="71">
        <f t="shared" si="41"/>
        <v>102</v>
      </c>
      <c r="K110" s="70">
        <v>102</v>
      </c>
      <c r="L110" s="211" t="s">
        <v>181</v>
      </c>
      <c r="M110" s="70">
        <v>50</v>
      </c>
      <c r="N110" s="141">
        <f t="array" ref="N110">(IF(COUNT(V110,X110,AG110,AI110,AK110,AM110)&lt;5,SUM(V110,X110,AG110,AI110,AK110,AM110),SUM(LARGE((V110,X110,AG110,AI110,AK110,AM110),{1;2;3;4;5}))))+(IF(COUNT(W110,Y110,AC110,AH110,AJ110,AL110)&lt;5,SUM(W110,Y110,AC110,AH110,AJ110,AL110),SUM(LARGE((W110,Y110,AC110,AH110,AJ110,AL110),{1;2;3;4;5}))))+U110</f>
        <v>50</v>
      </c>
      <c r="O110" s="796">
        <v>0</v>
      </c>
      <c r="P110" s="132">
        <f t="array" ref="P110">IF(S110="n",((IF(COUNT(V110,X110,AG110,AI110,AK110,AM110)&lt;5,SUM(V110,X110,AG110,AI110,AK110,AM110),SUM(LARGE((V110,X110,AG110,AI110,AK110,AM110),{1;2;3;4;5}))))+(IF(COUNT(W110,AA110,AE110,AH110,AJ110,AL110)&lt;5,SUM(W110,AA110,AE110,AH110,AJ110,AL110),SUM(LARGE((W110,AA110,AE110,AH110,AJ110,AL110),{1;2;3;4;5}))))+U110),0)</f>
        <v>0</v>
      </c>
      <c r="Q110" s="797">
        <v>0</v>
      </c>
      <c r="R110" s="132">
        <f t="array" ref="R110">IF(T110="j",((IF(COUNT(V110,X110,AG110,AI110,AK110,AM110)&lt;5,SUM(V110,X110,AG110,AI110,AK110,AM110),SUM(LARGE((V110,X110,AG110,AI110,AK110,AM110),{1;2;3;4;5}))))+(IF(COUNT(W110,AB110,AC110,AH110,AJ110,AL110)&lt;5,SUM(W110,AB110,AC110,AH110,AJ110,AL110),SUM(LARGE((W110,AB110,AC110,AH110,AJ110,AL110),{1;2;3;4;5}))))+U110),0)</f>
        <v>0</v>
      </c>
      <c r="S110" s="676"/>
      <c r="T110" s="676"/>
      <c r="U110" s="915">
        <v>1</v>
      </c>
      <c r="V110" s="316" t="s">
        <v>156</v>
      </c>
      <c r="W110" s="316" t="s">
        <v>156</v>
      </c>
      <c r="X110" s="137"/>
      <c r="Y110" s="137"/>
      <c r="Z110" s="960"/>
      <c r="AA110" s="961"/>
      <c r="AB110" s="962"/>
      <c r="AC110" s="137"/>
      <c r="AD110" s="960"/>
      <c r="AE110" s="961"/>
      <c r="AF110" s="732"/>
      <c r="AG110" s="137">
        <v>49</v>
      </c>
      <c r="AH110" s="137"/>
      <c r="AI110" s="137"/>
      <c r="AJ110" s="137"/>
      <c r="AK110" s="137"/>
      <c r="AL110" s="137"/>
      <c r="AM110" s="137"/>
      <c r="AN110" s="30">
        <f t="shared" si="42"/>
        <v>1</v>
      </c>
      <c r="AO110" s="312">
        <f t="shared" si="43"/>
        <v>0</v>
      </c>
      <c r="AP110" s="291">
        <f t="shared" si="44"/>
        <v>0</v>
      </c>
      <c r="AQ110" s="31">
        <f t="shared" si="45"/>
        <v>0</v>
      </c>
      <c r="AR110" s="4" t="e">
        <f>COUNTIF(V110:W110,"=  ")+COUNTIF(X110:AH110,"=  ")+COUNTIF(AJ110,"=  ")+COUNTIF(AL110,"=  ")+COUNTIF(#REF!,"=  ")+COUNTIF(#REF!,"=  ")+COUNTIF(#REF!,"=  ")</f>
        <v>#REF!</v>
      </c>
      <c r="AS110" s="101" t="e">
        <f>COUNTIF(Y110,"=  ")+COUNTIF(AI110,"=  ")+COUNTIF(AK110,"=  ")+COUNTIF(AM110,"=  ")+COUNTIF(AC110,"=  ")+COUNTIF(#REF!,"=  ")</f>
        <v>#REF!</v>
      </c>
    </row>
    <row r="111" spans="1:45" x14ac:dyDescent="0.2">
      <c r="A111" s="47" t="s">
        <v>151</v>
      </c>
      <c r="B111" s="141" t="str">
        <f t="shared" si="35"/>
        <v/>
      </c>
      <c r="C111" s="139">
        <f t="shared" si="36"/>
        <v>0</v>
      </c>
      <c r="D111" s="49">
        <v>31</v>
      </c>
      <c r="E111" s="141">
        <f t="shared" si="37"/>
        <v>31</v>
      </c>
      <c r="F111" s="138">
        <f t="shared" si="38"/>
        <v>10046</v>
      </c>
      <c r="G111" s="383" t="s">
        <v>151</v>
      </c>
      <c r="H111" s="141" t="str">
        <f t="shared" si="39"/>
        <v/>
      </c>
      <c r="I111" s="221">
        <f t="shared" si="40"/>
        <v>0</v>
      </c>
      <c r="J111" s="71">
        <f t="shared" si="41"/>
        <v>103</v>
      </c>
      <c r="K111" s="70">
        <v>103</v>
      </c>
      <c r="L111" s="51" t="s">
        <v>640</v>
      </c>
      <c r="M111" s="70">
        <v>46</v>
      </c>
      <c r="N111" s="141">
        <f t="array" ref="N111">(IF(COUNT(V111,X111,AG111,AI111,AK111,AM111)&lt;5,SUM(V111,X111,AG111,AI111,AK111,AM111),SUM(LARGE((V111,X111,AG111,AI111,AK111,AM111),{1;2;3;4;5}))))+(IF(COUNT(W111,Y111,AC111,AH111,AJ111,AL111)&lt;5,SUM(W111,Y111,AC111,AH111,AJ111,AL111),SUM(LARGE((W111,Y111,AC111,AH111,AJ111,AL111),{1;2;3;4;5}))))+U111</f>
        <v>46</v>
      </c>
      <c r="O111" s="796">
        <v>46</v>
      </c>
      <c r="P111" s="132">
        <f t="array" ref="P111">IF(S111="n",((IF(COUNT(V111,X111,AG111,AI111,AK111,AM111)&lt;5,SUM(V111,X111,AG111,AI111,AK111,AM111),SUM(LARGE((V111,X111,AG111,AI111,AK111,AM111),{1;2;3;4;5}))))+(IF(COUNT(W111,AA111,AE111,AH111,AJ111,AL111)&lt;5,SUM(W111,AA111,AE111,AH111,AJ111,AL111),SUM(LARGE((W111,AA111,AE111,AH111,AJ111,AL111),{1;2;3;4;5}))))+U111),0)</f>
        <v>46</v>
      </c>
      <c r="Q111" s="797">
        <v>0</v>
      </c>
      <c r="R111" s="132">
        <f t="array" ref="R111">IF(T111="j",((IF(COUNT(V111,X111,AG111,AI111,AK111,AM111)&lt;5,SUM(V111,X111,AG111,AI111,AK111,AM111),SUM(LARGE((V111,X111,AG111,AI111,AK111,AM111),{1;2;3;4;5}))))+(IF(COUNT(W111,AB111,AC111,AH111,AJ111,AL111)&lt;5,SUM(W111,AB111,AC111,AH111,AJ111,AL111),SUM(LARGE((W111,AB111,AC111,AH111,AJ111,AL111),{1;2;3;4;5}))))+U111),0)</f>
        <v>0</v>
      </c>
      <c r="S111" s="676" t="s">
        <v>33</v>
      </c>
      <c r="T111" s="676"/>
      <c r="U111" s="915"/>
      <c r="V111" s="316" t="s">
        <v>156</v>
      </c>
      <c r="W111" s="316" t="s">
        <v>156</v>
      </c>
      <c r="X111" s="315">
        <v>46</v>
      </c>
      <c r="Y111" s="137"/>
      <c r="Z111" s="960"/>
      <c r="AA111" s="961"/>
      <c r="AB111" s="962"/>
      <c r="AC111" s="137"/>
      <c r="AD111" s="960"/>
      <c r="AE111" s="961"/>
      <c r="AF111" s="732"/>
      <c r="AG111" s="137"/>
      <c r="AH111" s="137"/>
      <c r="AI111" s="137"/>
      <c r="AJ111" s="137"/>
      <c r="AK111" s="137"/>
      <c r="AL111" s="137"/>
      <c r="AM111" s="137"/>
      <c r="AN111" s="30">
        <f t="shared" si="42"/>
        <v>1</v>
      </c>
      <c r="AO111" s="312">
        <f t="shared" si="43"/>
        <v>0</v>
      </c>
      <c r="AP111" s="291">
        <f t="shared" si="44"/>
        <v>0</v>
      </c>
      <c r="AQ111" s="31">
        <f t="shared" si="45"/>
        <v>0</v>
      </c>
      <c r="AR111" s="4" t="e">
        <f>COUNTIF(V111:W111,"=  ")+COUNTIF(X111:AH111,"=  ")+COUNTIF(AJ111,"=  ")+COUNTIF(AL111,"=  ")+COUNTIF(#REF!,"=  ")+COUNTIF(#REF!,"=  ")+COUNTIF(#REF!,"=  ")</f>
        <v>#REF!</v>
      </c>
      <c r="AS111" s="101" t="e">
        <f>COUNTIF(Y111,"=  ")+COUNTIF(AI111,"=  ")+COUNTIF(AK111,"=  ")+COUNTIF(AM111,"=  ")+COUNTIF(AC111,"=  ")+COUNTIF(#REF!,"=  ")</f>
        <v>#REF!</v>
      </c>
    </row>
    <row r="112" spans="1:45" x14ac:dyDescent="0.2">
      <c r="A112" s="47">
        <v>73</v>
      </c>
      <c r="B112" s="141">
        <f t="shared" si="35"/>
        <v>73</v>
      </c>
      <c r="C112" s="139">
        <f t="shared" si="36"/>
        <v>10043</v>
      </c>
      <c r="D112" s="49" t="s">
        <v>151</v>
      </c>
      <c r="E112" s="141" t="str">
        <f t="shared" si="37"/>
        <v/>
      </c>
      <c r="F112" s="138">
        <f t="shared" si="38"/>
        <v>0</v>
      </c>
      <c r="G112" s="383" t="s">
        <v>151</v>
      </c>
      <c r="H112" s="141" t="str">
        <f t="shared" si="39"/>
        <v/>
      </c>
      <c r="I112" s="221">
        <f t="shared" si="40"/>
        <v>0</v>
      </c>
      <c r="J112" s="71">
        <f t="shared" si="41"/>
        <v>104</v>
      </c>
      <c r="K112" s="70">
        <v>104</v>
      </c>
      <c r="L112" s="211" t="s">
        <v>846</v>
      </c>
      <c r="M112" s="70">
        <v>43</v>
      </c>
      <c r="N112" s="141">
        <f t="array" ref="N112">(IF(COUNT(V112,X112,AG112,AI112,AK112,AM112)&lt;5,SUM(V112,X112,AG112,AI112,AK112,AM112),SUM(LARGE((V112,X112,AG112,AI112,AK112,AM112),{1;2;3;4;5}))))+(IF(COUNT(W112,Y112,AC112,AH112,AJ112,AL112)&lt;5,SUM(W112,Y112,AC112,AH112,AJ112,AL112),SUM(LARGE((W112,Y112,AC112,AH112,AJ112,AL112),{1;2;3;4;5}))))+U112</f>
        <v>43</v>
      </c>
      <c r="O112" s="796">
        <v>0</v>
      </c>
      <c r="P112" s="132">
        <f t="array" ref="P112">IF(S112="n",((IF(COUNT(V112,X112,AG112,AI112,AK112,AM112)&lt;5,SUM(V112,X112,AG112,AI112,AK112,AM112),SUM(LARGE((V112,X112,AG112,AI112,AK112,AM112),{1;2;3;4;5}))))+(IF(COUNT(W112,AA112,AE112,AH112,AJ112,AL112)&lt;5,SUM(W112,AA112,AE112,AH112,AJ112,AL112),SUM(LARGE((W112,AA112,AE112,AH112,AJ112,AL112),{1;2;3;4;5}))))+U112),0)</f>
        <v>0</v>
      </c>
      <c r="Q112" s="797">
        <v>0</v>
      </c>
      <c r="R112" s="132">
        <f t="array" ref="R112">IF(T112="j",((IF(COUNT(V112,X112,AG112,AI112,AK112,AM112)&lt;5,SUM(V112,X112,AG112,AI112,AK112,AM112),SUM(LARGE((V112,X112,AG112,AI112,AK112,AM112),{1;2;3;4;5}))))+(IF(COUNT(W112,AB112,AC112,AH112,AJ112,AL112)&lt;5,SUM(W112,AB112,AC112,AH112,AJ112,AL112),SUM(LARGE((W112,AB112,AC112,AH112,AJ112,AL112),{1;2;3;4;5}))))+U112),0)</f>
        <v>0</v>
      </c>
      <c r="S112" s="676"/>
      <c r="T112" s="676"/>
      <c r="U112" s="915"/>
      <c r="V112" s="316" t="s">
        <v>156</v>
      </c>
      <c r="W112" s="316" t="s">
        <v>156</v>
      </c>
      <c r="X112" s="315"/>
      <c r="Y112" s="137"/>
      <c r="Z112" s="960"/>
      <c r="AA112" s="961"/>
      <c r="AB112" s="962"/>
      <c r="AC112" s="137"/>
      <c r="AD112" s="960"/>
      <c r="AE112" s="961"/>
      <c r="AF112" s="732"/>
      <c r="AG112" s="137">
        <v>43</v>
      </c>
      <c r="AH112" s="137"/>
      <c r="AI112" s="137"/>
      <c r="AJ112" s="137"/>
      <c r="AK112" s="137"/>
      <c r="AL112" s="137"/>
      <c r="AM112" s="137"/>
      <c r="AN112" s="30">
        <f t="shared" si="42"/>
        <v>1</v>
      </c>
      <c r="AO112" s="312">
        <f t="shared" si="43"/>
        <v>0</v>
      </c>
      <c r="AP112" s="291">
        <f t="shared" si="44"/>
        <v>0</v>
      </c>
      <c r="AQ112" s="31">
        <f t="shared" si="45"/>
        <v>0</v>
      </c>
      <c r="AS112" s="101"/>
    </row>
    <row r="113" spans="1:45" x14ac:dyDescent="0.2">
      <c r="A113" s="47">
        <v>73</v>
      </c>
      <c r="B113" s="141">
        <f t="shared" si="35"/>
        <v>73</v>
      </c>
      <c r="C113" s="139">
        <f t="shared" si="36"/>
        <v>10043</v>
      </c>
      <c r="D113" s="49" t="s">
        <v>151</v>
      </c>
      <c r="E113" s="141" t="str">
        <f t="shared" si="37"/>
        <v/>
      </c>
      <c r="F113" s="138">
        <f t="shared" si="38"/>
        <v>0</v>
      </c>
      <c r="G113" s="383" t="s">
        <v>151</v>
      </c>
      <c r="H113" s="141" t="str">
        <f t="shared" si="39"/>
        <v/>
      </c>
      <c r="I113" s="221">
        <f t="shared" si="40"/>
        <v>0</v>
      </c>
      <c r="J113" s="71">
        <f t="shared" si="41"/>
        <v>104</v>
      </c>
      <c r="K113" s="70">
        <v>104</v>
      </c>
      <c r="L113" s="211" t="s">
        <v>847</v>
      </c>
      <c r="M113" s="70">
        <v>43</v>
      </c>
      <c r="N113" s="141">
        <f t="array" ref="N113">(IF(COUNT(V113,X113,AG113,AI113,AK113,AM113)&lt;5,SUM(V113,X113,AG113,AI113,AK113,AM113),SUM(LARGE((V113,X113,AG113,AI113,AK113,AM113),{1;2;3;4;5}))))+(IF(COUNT(W113,Y113,AC113,AH113,AJ113,AL113)&lt;5,SUM(W113,Y113,AC113,AH113,AJ113,AL113),SUM(LARGE((W113,Y113,AC113,AH113,AJ113,AL113),{1;2;3;4;5}))))+U113</f>
        <v>43</v>
      </c>
      <c r="O113" s="796">
        <v>0</v>
      </c>
      <c r="P113" s="132">
        <f t="array" ref="P113">IF(S113="n",((IF(COUNT(V113,X113,AG113,AI113,AK113,AM113)&lt;5,SUM(V113,X113,AG113,AI113,AK113,AM113),SUM(LARGE((V113,X113,AG113,AI113,AK113,AM113),{1;2;3;4;5}))))+(IF(COUNT(W113,AA113,AE113,AH113,AJ113,AL113)&lt;5,SUM(W113,AA113,AE113,AH113,AJ113,AL113),SUM(LARGE((W113,AA113,AE113,AH113,AJ113,AL113),{1;2;3;4;5}))))+U113),0)</f>
        <v>0</v>
      </c>
      <c r="Q113" s="797">
        <v>0</v>
      </c>
      <c r="R113" s="132">
        <f t="array" ref="R113">IF(T113="j",((IF(COUNT(V113,X113,AG113,AI113,AK113,AM113)&lt;5,SUM(V113,X113,AG113,AI113,AK113,AM113),SUM(LARGE((V113,X113,AG113,AI113,AK113,AM113),{1;2;3;4;5}))))+(IF(COUNT(W113,AB113,AC113,AH113,AJ113,AL113)&lt;5,SUM(W113,AB113,AC113,AH113,AJ113,AL113),SUM(LARGE((W113,AB113,AC113,AH113,AJ113,AL113),{1;2;3;4;5}))))+U113),0)</f>
        <v>0</v>
      </c>
      <c r="S113" s="676"/>
      <c r="T113" s="676"/>
      <c r="U113" s="915"/>
      <c r="V113" s="316" t="s">
        <v>156</v>
      </c>
      <c r="W113" s="316" t="s">
        <v>156</v>
      </c>
      <c r="X113" s="315"/>
      <c r="Y113" s="137"/>
      <c r="Z113" s="960"/>
      <c r="AA113" s="961"/>
      <c r="AB113" s="962"/>
      <c r="AC113" s="137"/>
      <c r="AD113" s="960"/>
      <c r="AE113" s="961"/>
      <c r="AF113" s="732"/>
      <c r="AG113" s="137">
        <v>43</v>
      </c>
      <c r="AH113" s="137"/>
      <c r="AI113" s="137"/>
      <c r="AJ113" s="137"/>
      <c r="AK113" s="137"/>
      <c r="AL113" s="137"/>
      <c r="AM113" s="137"/>
      <c r="AN113" s="30">
        <f t="shared" si="42"/>
        <v>1</v>
      </c>
      <c r="AO113" s="312">
        <f t="shared" si="43"/>
        <v>0</v>
      </c>
      <c r="AP113" s="291">
        <f t="shared" si="44"/>
        <v>0</v>
      </c>
      <c r="AQ113" s="31">
        <f t="shared" si="45"/>
        <v>0</v>
      </c>
      <c r="AS113" s="101"/>
    </row>
    <row r="114" spans="1:45" x14ac:dyDescent="0.2">
      <c r="A114" s="47">
        <v>75</v>
      </c>
      <c r="B114" s="141">
        <f t="shared" si="35"/>
        <v>75</v>
      </c>
      <c r="C114" s="139">
        <f t="shared" si="36"/>
        <v>10042</v>
      </c>
      <c r="D114" s="49" t="s">
        <v>151</v>
      </c>
      <c r="E114" s="141" t="str">
        <f t="shared" si="37"/>
        <v/>
      </c>
      <c r="F114" s="138">
        <f t="shared" si="38"/>
        <v>0</v>
      </c>
      <c r="G114" s="383" t="s">
        <v>151</v>
      </c>
      <c r="H114" s="141" t="str">
        <f t="shared" si="39"/>
        <v/>
      </c>
      <c r="I114" s="221">
        <f t="shared" si="40"/>
        <v>0</v>
      </c>
      <c r="J114" s="71">
        <f t="shared" si="41"/>
        <v>106</v>
      </c>
      <c r="K114" s="70">
        <v>106</v>
      </c>
      <c r="L114" s="211" t="s">
        <v>857</v>
      </c>
      <c r="M114" s="70">
        <v>42</v>
      </c>
      <c r="N114" s="141">
        <f t="array" ref="N114">(IF(COUNT(V114,X114,AG114,AI114,AK114,AM114)&lt;5,SUM(V114,X114,AG114,AI114,AK114,AM114),SUM(LARGE((V114,X114,AG114,AI114,AK114,AM114),{1;2;3;4;5}))))+(IF(COUNT(W114,Y114,AC114,AH114,AJ114,AL114)&lt;5,SUM(W114,Y114,AC114,AH114,AJ114,AL114),SUM(LARGE((W114,Y114,AC114,AH114,AJ114,AL114),{1;2;3;4;5}))))+U114</f>
        <v>42</v>
      </c>
      <c r="O114" s="796">
        <v>0</v>
      </c>
      <c r="P114" s="132">
        <f t="array" ref="P114">IF(S114="n",((IF(COUNT(V114,X114,AG114,AI114,AK114,AM114)&lt;5,SUM(V114,X114,AG114,AI114,AK114,AM114),SUM(LARGE((V114,X114,AG114,AI114,AK114,AM114),{1;2;3;4;5}))))+(IF(COUNT(W114,AA114,AE114,AH114,AJ114,AL114)&lt;5,SUM(W114,AA114,AE114,AH114,AJ114,AL114),SUM(LARGE((W114,AA114,AE114,AH114,AJ114,AL114),{1;2;3;4;5}))))+U114),0)</f>
        <v>0</v>
      </c>
      <c r="Q114" s="797">
        <v>0</v>
      </c>
      <c r="R114" s="132">
        <f t="array" ref="R114">IF(T114="j",((IF(COUNT(V114,X114,AG114,AI114,AK114,AM114)&lt;5,SUM(V114,X114,AG114,AI114,AK114,AM114),SUM(LARGE((V114,X114,AG114,AI114,AK114,AM114),{1;2;3;4;5}))))+(IF(COUNT(W114,AB114,AC114,AH114,AJ114,AL114)&lt;5,SUM(W114,AB114,AC114,AH114,AJ114,AL114),SUM(LARGE((W114,AB114,AC114,AH114,AJ114,AL114),{1;2;3;4;5}))))+U114),0)</f>
        <v>0</v>
      </c>
      <c r="S114" s="676"/>
      <c r="T114" s="676"/>
      <c r="U114" s="915"/>
      <c r="V114" s="316" t="s">
        <v>156</v>
      </c>
      <c r="W114" s="316" t="s">
        <v>156</v>
      </c>
      <c r="X114" s="315"/>
      <c r="Y114" s="137"/>
      <c r="Z114" s="960"/>
      <c r="AA114" s="961"/>
      <c r="AB114" s="962"/>
      <c r="AC114" s="137"/>
      <c r="AD114" s="960"/>
      <c r="AE114" s="961"/>
      <c r="AF114" s="732"/>
      <c r="AG114" s="137"/>
      <c r="AH114" s="137">
        <v>42</v>
      </c>
      <c r="AI114" s="137"/>
      <c r="AJ114" s="137"/>
      <c r="AK114" s="137"/>
      <c r="AL114" s="137"/>
      <c r="AM114" s="137"/>
      <c r="AN114" s="30">
        <f t="shared" si="42"/>
        <v>1</v>
      </c>
      <c r="AO114" s="312">
        <f t="shared" si="43"/>
        <v>0</v>
      </c>
      <c r="AP114" s="291">
        <f t="shared" si="44"/>
        <v>0</v>
      </c>
      <c r="AQ114" s="31">
        <f t="shared" si="45"/>
        <v>0</v>
      </c>
      <c r="AS114" s="101"/>
    </row>
    <row r="115" spans="1:45" x14ac:dyDescent="0.2">
      <c r="A115" s="47">
        <v>75</v>
      </c>
      <c r="B115" s="141">
        <f t="shared" si="35"/>
        <v>75</v>
      </c>
      <c r="C115" s="139">
        <f t="shared" si="36"/>
        <v>10042</v>
      </c>
      <c r="D115" s="49" t="s">
        <v>151</v>
      </c>
      <c r="E115" s="141" t="str">
        <f t="shared" si="37"/>
        <v/>
      </c>
      <c r="F115" s="138">
        <f t="shared" si="38"/>
        <v>0</v>
      </c>
      <c r="G115" s="383" t="s">
        <v>151</v>
      </c>
      <c r="H115" s="141" t="str">
        <f t="shared" si="39"/>
        <v/>
      </c>
      <c r="I115" s="221">
        <f t="shared" si="40"/>
        <v>0</v>
      </c>
      <c r="J115" s="71">
        <f t="shared" si="41"/>
        <v>106</v>
      </c>
      <c r="K115" s="70">
        <v>106</v>
      </c>
      <c r="L115" s="211" t="s">
        <v>858</v>
      </c>
      <c r="M115" s="70">
        <v>42</v>
      </c>
      <c r="N115" s="141">
        <f t="array" ref="N115">(IF(COUNT(V115,X115,AG115,AI115,AK115,AM115)&lt;5,SUM(V115,X115,AG115,AI115,AK115,AM115),SUM(LARGE((V115,X115,AG115,AI115,AK115,AM115),{1;2;3;4;5}))))+(IF(COUNT(W115,Y115,AC115,AH115,AJ115,AL115)&lt;5,SUM(W115,Y115,AC115,AH115,AJ115,AL115),SUM(LARGE((W115,Y115,AC115,AH115,AJ115,AL115),{1;2;3;4;5}))))+U115</f>
        <v>42</v>
      </c>
      <c r="O115" s="796">
        <v>0</v>
      </c>
      <c r="P115" s="132">
        <f t="array" ref="P115">IF(S115="n",((IF(COUNT(V115,X115,AG115,AI115,AK115,AM115)&lt;5,SUM(V115,X115,AG115,AI115,AK115,AM115),SUM(LARGE((V115,X115,AG115,AI115,AK115,AM115),{1;2;3;4;5}))))+(IF(COUNT(W115,AA115,AE115,AH115,AJ115,AL115)&lt;5,SUM(W115,AA115,AE115,AH115,AJ115,AL115),SUM(LARGE((W115,AA115,AE115,AH115,AJ115,AL115),{1;2;3;4;5}))))+U115),0)</f>
        <v>0</v>
      </c>
      <c r="Q115" s="797">
        <v>0</v>
      </c>
      <c r="R115" s="132">
        <f t="array" ref="R115">IF(T115="j",((IF(COUNT(V115,X115,AG115,AI115,AK115,AM115)&lt;5,SUM(V115,X115,AG115,AI115,AK115,AM115),SUM(LARGE((V115,X115,AG115,AI115,AK115,AM115),{1;2;3;4;5}))))+(IF(COUNT(W115,AB115,AC115,AH115,AJ115,AL115)&lt;5,SUM(W115,AB115,AC115,AH115,AJ115,AL115),SUM(LARGE((W115,AB115,AC115,AH115,AJ115,AL115),{1;2;3;4;5}))))+U115),0)</f>
        <v>0</v>
      </c>
      <c r="S115" s="676"/>
      <c r="T115" s="676"/>
      <c r="U115" s="915"/>
      <c r="V115" s="316" t="s">
        <v>156</v>
      </c>
      <c r="W115" s="316" t="s">
        <v>156</v>
      </c>
      <c r="X115" s="315"/>
      <c r="Y115" s="137"/>
      <c r="Z115" s="960"/>
      <c r="AA115" s="961"/>
      <c r="AB115" s="962"/>
      <c r="AC115" s="137"/>
      <c r="AD115" s="960"/>
      <c r="AE115" s="961"/>
      <c r="AF115" s="732"/>
      <c r="AG115" s="137"/>
      <c r="AH115" s="137">
        <v>42</v>
      </c>
      <c r="AI115" s="137"/>
      <c r="AJ115" s="137"/>
      <c r="AK115" s="137"/>
      <c r="AL115" s="137"/>
      <c r="AM115" s="137"/>
      <c r="AN115" s="30">
        <f t="shared" si="42"/>
        <v>1</v>
      </c>
      <c r="AO115" s="312">
        <f t="shared" si="43"/>
        <v>0</v>
      </c>
      <c r="AP115" s="291">
        <f t="shared" si="44"/>
        <v>0</v>
      </c>
      <c r="AQ115" s="31">
        <f t="shared" si="45"/>
        <v>0</v>
      </c>
      <c r="AS115" s="101"/>
    </row>
    <row r="116" spans="1:45" x14ac:dyDescent="0.2">
      <c r="A116" s="47">
        <v>77</v>
      </c>
      <c r="B116" s="141">
        <f t="shared" si="35"/>
        <v>77</v>
      </c>
      <c r="C116" s="139">
        <f t="shared" si="36"/>
        <v>10041</v>
      </c>
      <c r="D116" s="49" t="s">
        <v>151</v>
      </c>
      <c r="E116" s="141" t="str">
        <f t="shared" si="37"/>
        <v/>
      </c>
      <c r="F116" s="138">
        <f t="shared" si="38"/>
        <v>0</v>
      </c>
      <c r="G116" s="383" t="s">
        <v>151</v>
      </c>
      <c r="H116" s="141" t="str">
        <f t="shared" si="39"/>
        <v/>
      </c>
      <c r="I116" s="221">
        <f t="shared" si="40"/>
        <v>0</v>
      </c>
      <c r="J116" s="71">
        <f t="shared" si="41"/>
        <v>108</v>
      </c>
      <c r="K116" s="70">
        <v>108</v>
      </c>
      <c r="L116" s="263" t="s">
        <v>325</v>
      </c>
      <c r="M116" s="70">
        <v>41</v>
      </c>
      <c r="N116" s="141">
        <f t="array" ref="N116">(IF(COUNT(V116,X116,AG116,AI116,AK116,AM116)&lt;5,SUM(V116,X116,AG116,AI116,AK116,AM116),SUM(LARGE((V116,X116,AG116,AI116,AK116,AM116),{1;2;3;4;5}))))+(IF(COUNT(W116,Y116,AC116,AH116,AJ116,AL116)&lt;5,SUM(W116,Y116,AC116,AH116,AJ116,AL116),SUM(LARGE((W116,Y116,AC116,AH116,AJ116,AL116),{1;2;3;4;5}))))+U116</f>
        <v>41</v>
      </c>
      <c r="O116" s="796">
        <v>0</v>
      </c>
      <c r="P116" s="132">
        <f t="array" ref="P116">IF(S116="n",((IF(COUNT(V116,X116,AG116,AI116,AK116,AM116)&lt;5,SUM(V116,X116,AG116,AI116,AK116,AM116),SUM(LARGE((V116,X116,AG116,AI116,AK116,AM116),{1;2;3;4;5}))))+(IF(COUNT(W116,AA116,AE116,AH116,AJ116,AL116)&lt;5,SUM(W116,AA116,AE116,AH116,AJ116,AL116),SUM(LARGE((W116,AA116,AE116,AH116,AJ116,AL116),{1;2;3;4;5}))))+U116),0)</f>
        <v>0</v>
      </c>
      <c r="Q116" s="797">
        <v>0</v>
      </c>
      <c r="R116" s="132">
        <f t="array" ref="R116">IF(T116="j",((IF(COUNT(V116,X116,AG116,AI116,AK116,AM116)&lt;5,SUM(V116,X116,AG116,AI116,AK116,AM116),SUM(LARGE((V116,X116,AG116,AI116,AK116,AM116),{1;2;3;4;5}))))+(IF(COUNT(W116,AB116,AC116,AH116,AJ116,AL116)&lt;5,SUM(W116,AB116,AC116,AH116,AJ116,AL116),SUM(LARGE((W116,AB116,AC116,AH116,AJ116,AL116),{1;2;3;4;5}))))+U116),0)</f>
        <v>0</v>
      </c>
      <c r="S116" s="676"/>
      <c r="T116" s="676"/>
      <c r="U116" s="915">
        <v>1</v>
      </c>
      <c r="V116" s="316" t="s">
        <v>156</v>
      </c>
      <c r="W116" s="316" t="s">
        <v>156</v>
      </c>
      <c r="X116" s="137"/>
      <c r="Y116" s="137"/>
      <c r="Z116" s="960"/>
      <c r="AA116" s="961"/>
      <c r="AB116" s="962"/>
      <c r="AC116" s="315">
        <v>40</v>
      </c>
      <c r="AD116" s="960">
        <v>40</v>
      </c>
      <c r="AE116" s="961"/>
      <c r="AF116" s="732"/>
      <c r="AG116" s="137"/>
      <c r="AH116" s="137"/>
      <c r="AI116" s="137"/>
      <c r="AJ116" s="137"/>
      <c r="AK116" s="137"/>
      <c r="AL116" s="137"/>
      <c r="AM116" s="137"/>
      <c r="AN116" s="30">
        <f t="shared" si="42"/>
        <v>1</v>
      </c>
      <c r="AO116" s="312">
        <f t="shared" si="43"/>
        <v>0</v>
      </c>
      <c r="AP116" s="291">
        <f t="shared" si="44"/>
        <v>0</v>
      </c>
      <c r="AQ116" s="31">
        <f t="shared" si="45"/>
        <v>0</v>
      </c>
      <c r="AR116" s="4" t="e">
        <f>COUNTIF(V116:W116,"=  ")+COUNTIF(X116:AH116,"=  ")+COUNTIF(AJ116,"=  ")+COUNTIF(AL116,"=  ")+COUNTIF(#REF!,"=  ")+COUNTIF(#REF!,"=  ")+COUNTIF(#REF!,"=  ")</f>
        <v>#REF!</v>
      </c>
      <c r="AS116" s="101" t="e">
        <f>COUNTIF(Y116,"=  ")+COUNTIF(AI116,"=  ")+COUNTIF(AK116,"=  ")+COUNTIF(AM116,"=  ")+COUNTIF(AC116,"=  ")+COUNTIF(#REF!,"=  ")</f>
        <v>#REF!</v>
      </c>
    </row>
    <row r="117" spans="1:45" x14ac:dyDescent="0.2">
      <c r="A117" s="47">
        <v>77</v>
      </c>
      <c r="B117" s="141">
        <f t="shared" si="35"/>
        <v>77</v>
      </c>
      <c r="C117" s="139">
        <f t="shared" si="36"/>
        <v>10041</v>
      </c>
      <c r="D117" s="49" t="s">
        <v>151</v>
      </c>
      <c r="E117" s="141" t="str">
        <f t="shared" si="37"/>
        <v/>
      </c>
      <c r="F117" s="138">
        <f t="shared" si="38"/>
        <v>0</v>
      </c>
      <c r="G117" s="383" t="s">
        <v>151</v>
      </c>
      <c r="H117" s="141" t="str">
        <f t="shared" si="39"/>
        <v/>
      </c>
      <c r="I117" s="221">
        <f t="shared" si="40"/>
        <v>0</v>
      </c>
      <c r="J117" s="71">
        <f t="shared" si="41"/>
        <v>108</v>
      </c>
      <c r="K117" s="70">
        <v>108</v>
      </c>
      <c r="L117" s="211" t="s">
        <v>85</v>
      </c>
      <c r="M117" s="70">
        <v>41</v>
      </c>
      <c r="N117" s="141">
        <f t="array" ref="N117">(IF(COUNT(V117,X117,AG117,AI117,AK117,AM117)&lt;5,SUM(V117,X117,AG117,AI117,AK117,AM117),SUM(LARGE((V117,X117,AG117,AI117,AK117,AM117),{1;2;3;4;5}))))+(IF(COUNT(W117,Y117,AC117,AH117,AJ117,AL117)&lt;5,SUM(W117,Y117,AC117,AH117,AJ117,AL117),SUM(LARGE((W117,Y117,AC117,AH117,AJ117,AL117),{1;2;3;4;5}))))+U117</f>
        <v>41</v>
      </c>
      <c r="O117" s="796">
        <v>0</v>
      </c>
      <c r="P117" s="132">
        <f t="array" ref="P117">IF(S117="n",((IF(COUNT(V117,X117,AG117,AI117,AK117,AM117)&lt;5,SUM(V117,X117,AG117,AI117,AK117,AM117),SUM(LARGE((V117,X117,AG117,AI117,AK117,AM117),{1;2;3;4;5}))))+(IF(COUNT(W117,AA117,AE117,AH117,AJ117,AL117)&lt;5,SUM(W117,AA117,AE117,AH117,AJ117,AL117),SUM(LARGE((W117,AA117,AE117,AH117,AJ117,AL117),{1;2;3;4;5}))))+U117),0)</f>
        <v>0</v>
      </c>
      <c r="Q117" s="797">
        <v>0</v>
      </c>
      <c r="R117" s="132">
        <f t="array" ref="R117">IF(T117="j",((IF(COUNT(V117,X117,AG117,AI117,AK117,AM117)&lt;5,SUM(V117,X117,AG117,AI117,AK117,AM117),SUM(LARGE((V117,X117,AG117,AI117,AK117,AM117),{1;2;3;4;5}))))+(IF(COUNT(W117,AB117,AC117,AH117,AJ117,AL117)&lt;5,SUM(W117,AB117,AC117,AH117,AJ117,AL117),SUM(LARGE((W117,AB117,AC117,AH117,AJ117,AL117),{1;2;3;4;5}))))+U117),0)</f>
        <v>0</v>
      </c>
      <c r="S117" s="676"/>
      <c r="T117" s="676"/>
      <c r="U117" s="915">
        <v>1</v>
      </c>
      <c r="V117" s="316" t="s">
        <v>156</v>
      </c>
      <c r="W117" s="316" t="s">
        <v>156</v>
      </c>
      <c r="X117" s="137"/>
      <c r="Y117" s="137"/>
      <c r="Z117" s="960"/>
      <c r="AA117" s="961"/>
      <c r="AB117" s="962"/>
      <c r="AC117" s="137"/>
      <c r="AD117" s="960"/>
      <c r="AE117" s="961"/>
      <c r="AF117" s="732"/>
      <c r="AG117" s="137"/>
      <c r="AH117" s="137"/>
      <c r="AI117" s="137"/>
      <c r="AJ117" s="137"/>
      <c r="AK117" s="137">
        <v>40</v>
      </c>
      <c r="AL117" s="137"/>
      <c r="AM117" s="137"/>
      <c r="AN117" s="30">
        <f t="shared" si="42"/>
        <v>1</v>
      </c>
      <c r="AO117" s="312">
        <f t="shared" si="43"/>
        <v>0</v>
      </c>
      <c r="AP117" s="291">
        <f t="shared" si="44"/>
        <v>0</v>
      </c>
      <c r="AQ117" s="31">
        <f t="shared" si="45"/>
        <v>0</v>
      </c>
      <c r="AR117" s="4" t="e">
        <f>COUNTIF(V117:W117,"=  ")+COUNTIF(X117:AH117,"=  ")+COUNTIF(AJ117,"=  ")+COUNTIF(AL117,"=  ")+COUNTIF(#REF!,"=  ")+COUNTIF(#REF!,"=  ")+COUNTIF(#REF!,"=  ")</f>
        <v>#REF!</v>
      </c>
      <c r="AS117" s="101" t="e">
        <f>COUNTIF(Y117,"=  ")+COUNTIF(AI117,"=  ")+COUNTIF(AK117,"=  ")+COUNTIF(AM117,"=  ")+COUNTIF(AC117,"=  ")+COUNTIF(#REF!,"=  ")</f>
        <v>#REF!</v>
      </c>
    </row>
    <row r="118" spans="1:45" x14ac:dyDescent="0.2">
      <c r="A118" s="47" t="s">
        <v>151</v>
      </c>
      <c r="B118" s="141" t="str">
        <f t="shared" si="35"/>
        <v/>
      </c>
      <c r="C118" s="139">
        <f t="shared" si="36"/>
        <v>0</v>
      </c>
      <c r="D118" s="49">
        <v>32</v>
      </c>
      <c r="E118" s="141">
        <f t="shared" si="37"/>
        <v>32</v>
      </c>
      <c r="F118" s="138">
        <f t="shared" si="38"/>
        <v>10040</v>
      </c>
      <c r="G118" s="383" t="s">
        <v>151</v>
      </c>
      <c r="H118" s="141" t="str">
        <f t="shared" si="39"/>
        <v/>
      </c>
      <c r="I118" s="221">
        <f t="shared" si="40"/>
        <v>0</v>
      </c>
      <c r="J118" s="71">
        <f t="shared" si="41"/>
        <v>110</v>
      </c>
      <c r="K118" s="70">
        <v>110</v>
      </c>
      <c r="L118" s="51" t="s">
        <v>848</v>
      </c>
      <c r="M118" s="70">
        <v>40</v>
      </c>
      <c r="N118" s="141">
        <f t="array" ref="N118">(IF(COUNT(V118,X118,AG118,AI118,AK118,AM118)&lt;5,SUM(V118,X118,AG118,AI118,AK118,AM118),SUM(LARGE((V118,X118,AG118,AI118,AK118,AM118),{1;2;3;4;5}))))+(IF(COUNT(W118,Y118,AC118,AH118,AJ118,AL118)&lt;5,SUM(W118,Y118,AC118,AH118,AJ118,AL118),SUM(LARGE((W118,Y118,AC118,AH118,AJ118,AL118),{1;2;3;4;5}))))+U118</f>
        <v>40</v>
      </c>
      <c r="O118" s="796">
        <v>40</v>
      </c>
      <c r="P118" s="132">
        <f t="array" ref="P118">IF(S118="n",((IF(COUNT(V118,X118,AG118,AI118,AK118,AM118)&lt;5,SUM(V118,X118,AG118,AI118,AK118,AM118),SUM(LARGE((V118,X118,AG118,AI118,AK118,AM118),{1;2;3;4;5}))))+(IF(COUNT(W118,AA118,AE118,AH118,AJ118,AL118)&lt;5,SUM(W118,AA118,AE118,AH118,AJ118,AL118),SUM(LARGE((W118,AA118,AE118,AH118,AJ118,AL118),{1;2;3;4;5}))))+U118),0)</f>
        <v>40</v>
      </c>
      <c r="Q118" s="797">
        <v>0</v>
      </c>
      <c r="R118" s="132">
        <f t="array" ref="R118">IF(T118="j",((IF(COUNT(V118,X118,AG118,AI118,AK118,AM118)&lt;5,SUM(V118,X118,AG118,AI118,AK118,AM118),SUM(LARGE((V118,X118,AG118,AI118,AK118,AM118),{1;2;3;4;5}))))+(IF(COUNT(W118,AB118,AC118,AH118,AJ118,AL118)&lt;5,SUM(W118,AB118,AC118,AH118,AJ118,AL118),SUM(LARGE((W118,AB118,AC118,AH118,AJ118,AL118),{1;2;3;4;5}))))+U118),0)</f>
        <v>0</v>
      </c>
      <c r="S118" s="676" t="s">
        <v>33</v>
      </c>
      <c r="T118" s="676"/>
      <c r="U118" s="915"/>
      <c r="V118" s="316" t="s">
        <v>156</v>
      </c>
      <c r="W118" s="316" t="s">
        <v>156</v>
      </c>
      <c r="X118" s="315"/>
      <c r="Y118" s="137"/>
      <c r="Z118" s="960"/>
      <c r="AA118" s="961"/>
      <c r="AB118" s="962"/>
      <c r="AC118" s="137"/>
      <c r="AD118" s="960"/>
      <c r="AE118" s="961"/>
      <c r="AF118" s="732"/>
      <c r="AG118" s="137">
        <v>40</v>
      </c>
      <c r="AH118" s="137"/>
      <c r="AI118" s="137"/>
      <c r="AJ118" s="137"/>
      <c r="AK118" s="137"/>
      <c r="AL118" s="137"/>
      <c r="AM118" s="137"/>
      <c r="AN118" s="30">
        <f t="shared" si="42"/>
        <v>1</v>
      </c>
      <c r="AO118" s="312">
        <f t="shared" si="43"/>
        <v>0</v>
      </c>
      <c r="AP118" s="291">
        <f t="shared" si="44"/>
        <v>0</v>
      </c>
      <c r="AQ118" s="31">
        <f t="shared" si="45"/>
        <v>0</v>
      </c>
      <c r="AS118" s="101"/>
    </row>
    <row r="119" spans="1:45" x14ac:dyDescent="0.2">
      <c r="A119" s="47">
        <v>79</v>
      </c>
      <c r="B119" s="141">
        <f t="shared" si="35"/>
        <v>79</v>
      </c>
      <c r="C119" s="139">
        <f t="shared" si="36"/>
        <v>10040</v>
      </c>
      <c r="D119" s="49" t="s">
        <v>151</v>
      </c>
      <c r="E119" s="141" t="str">
        <f t="shared" si="37"/>
        <v/>
      </c>
      <c r="F119" s="138">
        <f t="shared" si="38"/>
        <v>0</v>
      </c>
      <c r="G119" s="383" t="s">
        <v>151</v>
      </c>
      <c r="H119" s="141" t="str">
        <f t="shared" si="39"/>
        <v/>
      </c>
      <c r="I119" s="221">
        <f t="shared" si="40"/>
        <v>0</v>
      </c>
      <c r="J119" s="71">
        <f t="shared" si="41"/>
        <v>110</v>
      </c>
      <c r="K119" s="70">
        <v>110</v>
      </c>
      <c r="L119" s="211" t="s">
        <v>849</v>
      </c>
      <c r="M119" s="70">
        <v>40</v>
      </c>
      <c r="N119" s="141">
        <f t="array" ref="N119">(IF(COUNT(V119,X119,AG119,AI119,AK119,AM119)&lt;5,SUM(V119,X119,AG119,AI119,AK119,AM119),SUM(LARGE((V119,X119,AG119,AI119,AK119,AM119),{1;2;3;4;5}))))+(IF(COUNT(W119,Y119,AC119,AH119,AJ119,AL119)&lt;5,SUM(W119,Y119,AC119,AH119,AJ119,AL119),SUM(LARGE((W119,Y119,AC119,AH119,AJ119,AL119),{1;2;3;4;5}))))+U119</f>
        <v>40</v>
      </c>
      <c r="O119" s="796">
        <v>0</v>
      </c>
      <c r="P119" s="132">
        <f t="array" ref="P119">IF(S119="n",((IF(COUNT(V119,X119,AG119,AI119,AK119,AM119)&lt;5,SUM(V119,X119,AG119,AI119,AK119,AM119),SUM(LARGE((V119,X119,AG119,AI119,AK119,AM119),{1;2;3;4;5}))))+(IF(COUNT(W119,AA119,AE119,AH119,AJ119,AL119)&lt;5,SUM(W119,AA119,AE119,AH119,AJ119,AL119),SUM(LARGE((W119,AA119,AE119,AH119,AJ119,AL119),{1;2;3;4;5}))))+U119),0)</f>
        <v>0</v>
      </c>
      <c r="Q119" s="797">
        <v>0</v>
      </c>
      <c r="R119" s="132">
        <f t="array" ref="R119">IF(T119="j",((IF(COUNT(V119,X119,AG119,AI119,AK119,AM119)&lt;5,SUM(V119,X119,AG119,AI119,AK119,AM119),SUM(LARGE((V119,X119,AG119,AI119,AK119,AM119),{1;2;3;4;5}))))+(IF(COUNT(W119,AB119,AC119,AH119,AJ119,AL119)&lt;5,SUM(W119,AB119,AC119,AH119,AJ119,AL119),SUM(LARGE((W119,AB119,AC119,AH119,AJ119,AL119),{1;2;3;4;5}))))+U119),0)</f>
        <v>0</v>
      </c>
      <c r="S119" s="676"/>
      <c r="T119" s="676"/>
      <c r="U119" s="915"/>
      <c r="V119" s="316" t="s">
        <v>156</v>
      </c>
      <c r="W119" s="316" t="s">
        <v>156</v>
      </c>
      <c r="X119" s="315"/>
      <c r="Y119" s="137"/>
      <c r="Z119" s="960"/>
      <c r="AA119" s="961"/>
      <c r="AB119" s="962"/>
      <c r="AC119" s="137"/>
      <c r="AD119" s="960"/>
      <c r="AE119" s="961"/>
      <c r="AF119" s="732"/>
      <c r="AG119" s="137">
        <v>40</v>
      </c>
      <c r="AH119" s="137"/>
      <c r="AI119" s="137"/>
      <c r="AJ119" s="137"/>
      <c r="AK119" s="137"/>
      <c r="AL119" s="137"/>
      <c r="AM119" s="137"/>
      <c r="AN119" s="30">
        <f t="shared" si="42"/>
        <v>1</v>
      </c>
      <c r="AO119" s="312">
        <f t="shared" si="43"/>
        <v>0</v>
      </c>
      <c r="AP119" s="291">
        <f t="shared" si="44"/>
        <v>0</v>
      </c>
      <c r="AQ119" s="31">
        <f t="shared" si="45"/>
        <v>0</v>
      </c>
      <c r="AS119" s="101"/>
    </row>
    <row r="120" spans="1:45" x14ac:dyDescent="0.2">
      <c r="A120" s="47" t="s">
        <v>151</v>
      </c>
      <c r="B120" s="141" t="str">
        <f t="shared" si="35"/>
        <v/>
      </c>
      <c r="C120" s="139">
        <f t="shared" si="36"/>
        <v>0</v>
      </c>
      <c r="D120" s="49">
        <v>33</v>
      </c>
      <c r="E120" s="141">
        <f t="shared" si="37"/>
        <v>33</v>
      </c>
      <c r="F120" s="138">
        <f t="shared" si="38"/>
        <v>10038</v>
      </c>
      <c r="G120" s="383">
        <v>9</v>
      </c>
      <c r="H120" s="141">
        <f t="shared" si="39"/>
        <v>9</v>
      </c>
      <c r="I120" s="221">
        <f t="shared" si="40"/>
        <v>10038</v>
      </c>
      <c r="J120" s="71">
        <f t="shared" si="41"/>
        <v>112</v>
      </c>
      <c r="K120" s="70">
        <v>112</v>
      </c>
      <c r="L120" s="52" t="s">
        <v>165</v>
      </c>
      <c r="M120" s="70">
        <v>38</v>
      </c>
      <c r="N120" s="141">
        <f t="array" ref="N120">(IF(COUNT(V120,X120,AG120,AI120,AK120,AM120)&lt;5,SUM(V120,X120,AG120,AI120,AK120,AM120),SUM(LARGE((V120,X120,AG120,AI120,AK120,AM120),{1;2;3;4;5}))))+(IF(COUNT(W120,Y120,AC120,AH120,AJ120,AL120)&lt;5,SUM(W120,Y120,AC120,AH120,AJ120,AL120),SUM(LARGE((W120,Y120,AC120,AH120,AJ120,AL120),{1;2;3;4;5}))))+U120</f>
        <v>38</v>
      </c>
      <c r="O120" s="796">
        <v>38</v>
      </c>
      <c r="P120" s="132">
        <f t="array" ref="P120">IF(S120="n",((IF(COUNT(V120,X120,AG120,AI120,AK120,AM120)&lt;5,SUM(V120,X120,AG120,AI120,AK120,AM120),SUM(LARGE((V120,X120,AG120,AI120,AK120,AM120),{1;2;3;4;5}))))+(IF(COUNT(W120,AA120,AE120,AH120,AJ120,AL120)&lt;5,SUM(W120,AA120,AE120,AH120,AJ120,AL120),SUM(LARGE((W120,AA120,AE120,AH120,AJ120,AL120),{1;2;3;4;5}))))+U120),0)</f>
        <v>38</v>
      </c>
      <c r="Q120" s="797">
        <v>38</v>
      </c>
      <c r="R120" s="132">
        <f t="array" ref="R120">IF(T120="j",((IF(COUNT(V120,X120,AG120,AI120,AK120,AM120)&lt;5,SUM(V120,X120,AG120,AI120,AK120,AM120),SUM(LARGE((V120,X120,AG120,AI120,AK120,AM120),{1;2;3;4;5}))))+(IF(COUNT(W120,AB120,AC120,AH120,AJ120,AL120)&lt;5,SUM(W120,AB120,AC120,AH120,AJ120,AL120),SUM(LARGE((W120,AB120,AC120,AH120,AJ120,AL120),{1;2;3;4;5}))))+U120),0)</f>
        <v>38</v>
      </c>
      <c r="S120" s="676" t="s">
        <v>33</v>
      </c>
      <c r="T120" s="676" t="s">
        <v>46</v>
      </c>
      <c r="U120" s="915">
        <v>1</v>
      </c>
      <c r="V120" s="316" t="s">
        <v>156</v>
      </c>
      <c r="W120" s="316" t="s">
        <v>156</v>
      </c>
      <c r="X120" s="137"/>
      <c r="Y120" s="137"/>
      <c r="Z120" s="960"/>
      <c r="AA120" s="961"/>
      <c r="AB120" s="962"/>
      <c r="AC120" s="137"/>
      <c r="AD120" s="960"/>
      <c r="AE120" s="961"/>
      <c r="AF120" s="732"/>
      <c r="AG120" s="137">
        <v>37</v>
      </c>
      <c r="AH120" s="137"/>
      <c r="AI120" s="137"/>
      <c r="AJ120" s="137"/>
      <c r="AK120" s="137"/>
      <c r="AL120" s="137"/>
      <c r="AM120" s="137"/>
      <c r="AN120" s="30">
        <f t="shared" si="42"/>
        <v>1</v>
      </c>
      <c r="AO120" s="312">
        <f t="shared" si="43"/>
        <v>0</v>
      </c>
      <c r="AP120" s="291">
        <f t="shared" si="44"/>
        <v>0</v>
      </c>
      <c r="AQ120" s="31">
        <f t="shared" si="45"/>
        <v>0</v>
      </c>
      <c r="AR120" s="4" t="e">
        <f>COUNTIF(V120:W120,"=  ")+COUNTIF(X120:AH120,"=  ")+COUNTIF(AJ120,"=  ")+COUNTIF(AL120,"=  ")+COUNTIF(#REF!,"=  ")+COUNTIF(#REF!,"=  ")+COUNTIF(#REF!,"=  ")</f>
        <v>#REF!</v>
      </c>
      <c r="AS120" s="101" t="e">
        <f>COUNTIF(Y120,"=  ")+COUNTIF(AI120,"=  ")+COUNTIF(AK120,"=  ")+COUNTIF(AM120,"=  ")+COUNTIF(AC120,"=  ")+COUNTIF(#REF!,"=  ")</f>
        <v>#REF!</v>
      </c>
    </row>
    <row r="121" spans="1:45" x14ac:dyDescent="0.2">
      <c r="A121" s="47" t="s">
        <v>151</v>
      </c>
      <c r="B121" s="141" t="str">
        <f t="shared" si="35"/>
        <v/>
      </c>
      <c r="C121" s="139">
        <f t="shared" si="36"/>
        <v>0</v>
      </c>
      <c r="D121" s="49">
        <v>34</v>
      </c>
      <c r="E121" s="141">
        <f t="shared" si="37"/>
        <v>34</v>
      </c>
      <c r="F121" s="138">
        <f t="shared" si="38"/>
        <v>10037</v>
      </c>
      <c r="G121" s="383" t="s">
        <v>151</v>
      </c>
      <c r="H121" s="141" t="str">
        <f t="shared" si="39"/>
        <v/>
      </c>
      <c r="I121" s="221">
        <f t="shared" si="40"/>
        <v>0</v>
      </c>
      <c r="J121" s="71">
        <f t="shared" si="41"/>
        <v>113</v>
      </c>
      <c r="K121" s="70">
        <v>113</v>
      </c>
      <c r="L121" s="51" t="s">
        <v>850</v>
      </c>
      <c r="M121" s="70">
        <v>37</v>
      </c>
      <c r="N121" s="141">
        <f t="array" ref="N121">(IF(COUNT(V121,X121,AG121,AI121,AK121,AM121)&lt;5,SUM(V121,X121,AG121,AI121,AK121,AM121),SUM(LARGE((V121,X121,AG121,AI121,AK121,AM121),{1;2;3;4;5}))))+(IF(COUNT(W121,Y121,AC121,AH121,AJ121,AL121)&lt;5,SUM(W121,Y121,AC121,AH121,AJ121,AL121),SUM(LARGE((W121,Y121,AC121,AH121,AJ121,AL121),{1;2;3;4;5}))))+U121</f>
        <v>37</v>
      </c>
      <c r="O121" s="796">
        <v>37</v>
      </c>
      <c r="P121" s="132">
        <f t="array" ref="P121">IF(S121="n",((IF(COUNT(V121,X121,AG121,AI121,AK121,AM121)&lt;5,SUM(V121,X121,AG121,AI121,AK121,AM121),SUM(LARGE((V121,X121,AG121,AI121,AK121,AM121),{1;2;3;4;5}))))+(IF(COUNT(W121,AA121,AE121,AH121,AJ121,AL121)&lt;5,SUM(W121,AA121,AE121,AH121,AJ121,AL121),SUM(LARGE((W121,AA121,AE121,AH121,AJ121,AL121),{1;2;3;4;5}))))+U121),0)</f>
        <v>37</v>
      </c>
      <c r="Q121" s="797">
        <v>0</v>
      </c>
      <c r="R121" s="132">
        <f t="array" ref="R121">IF(T121="j",((IF(COUNT(V121,X121,AG121,AI121,AK121,AM121)&lt;5,SUM(V121,X121,AG121,AI121,AK121,AM121),SUM(LARGE((V121,X121,AG121,AI121,AK121,AM121),{1;2;3;4;5}))))+(IF(COUNT(W121,AB121,AC121,AH121,AJ121,AL121)&lt;5,SUM(W121,AB121,AC121,AH121,AJ121,AL121),SUM(LARGE((W121,AB121,AC121,AH121,AJ121,AL121),{1;2;3;4;5}))))+U121),0)</f>
        <v>0</v>
      </c>
      <c r="S121" s="676" t="s">
        <v>33</v>
      </c>
      <c r="T121" s="676"/>
      <c r="U121" s="915"/>
      <c r="V121" s="316" t="s">
        <v>156</v>
      </c>
      <c r="W121" s="316" t="s">
        <v>156</v>
      </c>
      <c r="X121" s="315"/>
      <c r="Y121" s="137"/>
      <c r="Z121" s="960"/>
      <c r="AA121" s="961"/>
      <c r="AB121" s="962"/>
      <c r="AC121" s="137"/>
      <c r="AD121" s="960"/>
      <c r="AE121" s="961"/>
      <c r="AF121" s="732"/>
      <c r="AG121" s="137">
        <v>37</v>
      </c>
      <c r="AH121" s="137"/>
      <c r="AI121" s="137"/>
      <c r="AJ121" s="137"/>
      <c r="AK121" s="137"/>
      <c r="AL121" s="137"/>
      <c r="AM121" s="137"/>
      <c r="AN121" s="30">
        <f t="shared" si="42"/>
        <v>1</v>
      </c>
      <c r="AO121" s="312">
        <f t="shared" si="43"/>
        <v>0</v>
      </c>
      <c r="AP121" s="291">
        <f t="shared" si="44"/>
        <v>0</v>
      </c>
      <c r="AQ121" s="31">
        <f t="shared" si="45"/>
        <v>0</v>
      </c>
      <c r="AS121" s="101"/>
    </row>
    <row r="122" spans="1:45" x14ac:dyDescent="0.2">
      <c r="A122" s="47">
        <v>80</v>
      </c>
      <c r="B122" s="141">
        <f t="shared" si="35"/>
        <v>80</v>
      </c>
      <c r="C122" s="139">
        <f t="shared" si="36"/>
        <v>10037</v>
      </c>
      <c r="D122" s="49" t="s">
        <v>151</v>
      </c>
      <c r="E122" s="141" t="str">
        <f t="shared" si="37"/>
        <v/>
      </c>
      <c r="F122" s="138">
        <f t="shared" si="38"/>
        <v>0</v>
      </c>
      <c r="G122" s="383" t="s">
        <v>151</v>
      </c>
      <c r="H122" s="141" t="str">
        <f t="shared" si="39"/>
        <v/>
      </c>
      <c r="I122" s="221">
        <f t="shared" si="40"/>
        <v>0</v>
      </c>
      <c r="J122" s="71">
        <f t="shared" si="41"/>
        <v>113</v>
      </c>
      <c r="K122" s="70">
        <v>113</v>
      </c>
      <c r="L122" s="211" t="s">
        <v>862</v>
      </c>
      <c r="M122" s="302">
        <v>37</v>
      </c>
      <c r="N122" s="141">
        <f t="array" ref="N122">(IF(COUNT(V122,X122,AG122,AI122,AK122,AM122)&lt;5,SUM(V122,X122,AG122,AI122,AK122,AM122),SUM(LARGE((V122,X122,AG122,AI122,AK122,AM122),{1;2;3;4;5}))))+(IF(COUNT(W122,Y122,AC122,AH122,AJ122,AL122)&lt;5,SUM(W122,Y122,AC122,AH122,AJ122,AL122),SUM(LARGE((W122,Y122,AC122,AH122,AJ122,AL122),{1;2;3;4;5}))))+U122</f>
        <v>37</v>
      </c>
      <c r="O122" s="796">
        <v>0</v>
      </c>
      <c r="P122" s="132">
        <f t="array" ref="P122">IF(S122="n",((IF(COUNT(V122,X122,AG122,AI122,AK122,AM122)&lt;5,SUM(V122,X122,AG122,AI122,AK122,AM122),SUM(LARGE((V122,X122,AG122,AI122,AK122,AM122),{1;2;3;4;5}))))+(IF(COUNT(W122,AA122,AE122,AH122,AJ122,AL122)&lt;5,SUM(W122,AA122,AE122,AH122,AJ122,AL122),SUM(LARGE((W122,AA122,AE122,AH122,AJ122,AL122),{1;2;3;4;5}))))+U122),0)</f>
        <v>0</v>
      </c>
      <c r="Q122" s="797">
        <v>0</v>
      </c>
      <c r="R122" s="132">
        <f t="array" ref="R122">IF(T122="j",((IF(COUNT(V122,X122,AG122,AI122,AK122,AM122)&lt;5,SUM(V122,X122,AG122,AI122,AK122,AM122),SUM(LARGE((V122,X122,AG122,AI122,AK122,AM122),{1;2;3;4;5}))))+(IF(COUNT(W122,AB122,AC122,AH122,AJ122,AL122)&lt;5,SUM(W122,AB122,AC122,AH122,AJ122,AL122),SUM(LARGE((W122,AB122,AC122,AH122,AJ122,AL122),{1;2;3;4;5}))))+U122),0)</f>
        <v>0</v>
      </c>
      <c r="S122" s="676"/>
      <c r="T122" s="676"/>
      <c r="U122" s="915"/>
      <c r="V122" s="316" t="s">
        <v>156</v>
      </c>
      <c r="W122" s="316" t="s">
        <v>156</v>
      </c>
      <c r="X122" s="315"/>
      <c r="Y122" s="137"/>
      <c r="Z122" s="960"/>
      <c r="AA122" s="961"/>
      <c r="AB122" s="962"/>
      <c r="AC122" s="137"/>
      <c r="AD122" s="960"/>
      <c r="AE122" s="961"/>
      <c r="AF122" s="732"/>
      <c r="AG122" s="137"/>
      <c r="AH122" s="137"/>
      <c r="AI122" s="137"/>
      <c r="AJ122" s="137"/>
      <c r="AK122" s="137">
        <v>37</v>
      </c>
      <c r="AL122" s="137"/>
      <c r="AM122" s="137"/>
      <c r="AN122" s="30">
        <f t="shared" si="42"/>
        <v>1</v>
      </c>
      <c r="AO122" s="312">
        <f t="shared" si="43"/>
        <v>0</v>
      </c>
      <c r="AP122" s="291">
        <f t="shared" si="44"/>
        <v>0</v>
      </c>
      <c r="AQ122" s="31">
        <f t="shared" si="45"/>
        <v>0</v>
      </c>
      <c r="AS122" s="101"/>
    </row>
    <row r="123" spans="1:45" x14ac:dyDescent="0.2">
      <c r="A123" s="47">
        <v>80</v>
      </c>
      <c r="B123" s="141" t="str">
        <f t="shared" si="35"/>
        <v/>
      </c>
      <c r="C123" s="139">
        <f t="shared" si="36"/>
        <v>0</v>
      </c>
      <c r="D123" s="49">
        <v>34</v>
      </c>
      <c r="E123" s="141">
        <f t="shared" si="37"/>
        <v>34</v>
      </c>
      <c r="F123" s="138">
        <f t="shared" si="38"/>
        <v>10037</v>
      </c>
      <c r="G123" s="383" t="s">
        <v>151</v>
      </c>
      <c r="H123" s="141" t="str">
        <f t="shared" si="39"/>
        <v/>
      </c>
      <c r="I123" s="221">
        <f t="shared" si="40"/>
        <v>0</v>
      </c>
      <c r="J123" s="71">
        <f t="shared" si="41"/>
        <v>113</v>
      </c>
      <c r="K123" s="70">
        <v>113</v>
      </c>
      <c r="L123" s="51" t="s">
        <v>863</v>
      </c>
      <c r="M123" s="377">
        <v>37</v>
      </c>
      <c r="N123" s="141">
        <f t="array" ref="N123">(IF(COUNT(V123,X123,AG123,AI123,AK123,AM123)&lt;5,SUM(V123,X123,AG123,AI123,AK123,AM123),SUM(LARGE((V123,X123,AG123,AI123,AK123,AM123),{1;2;3;4;5}))))+(IF(COUNT(W123,Y123,AC123,AH123,AJ123,AL123)&lt;5,SUM(W123,Y123,AC123,AH123,AJ123,AL123),SUM(LARGE((W123,Y123,AC123,AH123,AJ123,AL123),{1;2;3;4;5}))))+U123</f>
        <v>37</v>
      </c>
      <c r="O123" s="796">
        <v>37</v>
      </c>
      <c r="P123" s="132">
        <f t="array" ref="P123">IF(S123="n",((IF(COUNT(V123,X123,AG123,AI123,AK123,AM123)&lt;5,SUM(V123,X123,AG123,AI123,AK123,AM123),SUM(LARGE((V123,X123,AG123,AI123,AK123,AM123),{1;2;3;4;5}))))+(IF(COUNT(W123,AA123,AE123,AH123,AJ123,AL123)&lt;5,SUM(W123,AA123,AE123,AH123,AJ123,AL123),SUM(LARGE((W123,AA123,AE123,AH123,AJ123,AL123),{1;2;3;4;5}))))+U123),0)</f>
        <v>37</v>
      </c>
      <c r="Q123" s="797">
        <v>0</v>
      </c>
      <c r="R123" s="132">
        <f t="array" ref="R123">IF(T123="j",((IF(COUNT(V123,X123,AG123,AI123,AK123,AM123)&lt;5,SUM(V123,X123,AG123,AI123,AK123,AM123),SUM(LARGE((V123,X123,AG123,AI123,AK123,AM123),{1;2;3;4;5}))))+(IF(COUNT(W123,AB123,AC123,AH123,AJ123,AL123)&lt;5,SUM(W123,AB123,AC123,AH123,AJ123,AL123),SUM(LARGE((W123,AB123,AC123,AH123,AJ123,AL123),{1;2;3;4;5}))))+U123),0)</f>
        <v>0</v>
      </c>
      <c r="S123" s="676" t="s">
        <v>33</v>
      </c>
      <c r="T123" s="676"/>
      <c r="U123" s="915"/>
      <c r="V123" s="316" t="s">
        <v>156</v>
      </c>
      <c r="W123" s="316" t="s">
        <v>156</v>
      </c>
      <c r="X123" s="315"/>
      <c r="Y123" s="137"/>
      <c r="Z123" s="960"/>
      <c r="AA123" s="961"/>
      <c r="AB123" s="962"/>
      <c r="AC123" s="137"/>
      <c r="AD123" s="960"/>
      <c r="AE123" s="961"/>
      <c r="AF123" s="732"/>
      <c r="AG123" s="137"/>
      <c r="AH123" s="137"/>
      <c r="AI123" s="137"/>
      <c r="AJ123" s="137"/>
      <c r="AK123" s="137">
        <v>37</v>
      </c>
      <c r="AL123" s="137"/>
      <c r="AM123" s="137"/>
      <c r="AN123" s="30">
        <f t="shared" si="42"/>
        <v>1</v>
      </c>
      <c r="AO123" s="312">
        <f t="shared" si="43"/>
        <v>0</v>
      </c>
      <c r="AP123" s="291">
        <f t="shared" si="44"/>
        <v>0</v>
      </c>
      <c r="AQ123" s="31">
        <f t="shared" si="45"/>
        <v>0</v>
      </c>
      <c r="AS123" s="101"/>
    </row>
    <row r="124" spans="1:45" x14ac:dyDescent="0.2">
      <c r="A124" s="47">
        <v>82</v>
      </c>
      <c r="B124" s="141">
        <f t="shared" si="35"/>
        <v>81</v>
      </c>
      <c r="C124" s="139">
        <f t="shared" si="36"/>
        <v>10035</v>
      </c>
      <c r="D124" s="49" t="s">
        <v>151</v>
      </c>
      <c r="E124" s="141" t="str">
        <f t="shared" si="37"/>
        <v/>
      </c>
      <c r="F124" s="138">
        <f t="shared" si="38"/>
        <v>0</v>
      </c>
      <c r="G124" s="383" t="s">
        <v>151</v>
      </c>
      <c r="H124" s="141" t="str">
        <f t="shared" si="39"/>
        <v/>
      </c>
      <c r="I124" s="221">
        <f t="shared" si="40"/>
        <v>0</v>
      </c>
      <c r="J124" s="71">
        <f t="shared" si="41"/>
        <v>116</v>
      </c>
      <c r="K124" s="70">
        <v>116</v>
      </c>
      <c r="L124" s="53" t="s">
        <v>77</v>
      </c>
      <c r="M124" s="302">
        <v>35</v>
      </c>
      <c r="N124" s="141">
        <f t="array" ref="N124">(IF(COUNT(V124,X124,AG124,AI124,AK124,AM124)&lt;5,SUM(V124,X124,AG124,AI124,AK124,AM124),SUM(LARGE((V124,X124,AG124,AI124,AK124,AM124),{1;2;3;4;5}))))+(IF(COUNT(W124,Y124,AC124,AH124,AJ124,AL124)&lt;5,SUM(W124,Y124,AC124,AH124,AJ124,AL124),SUM(LARGE((W124,Y124,AC124,AH124,AJ124,AL124),{1;2;3;4;5}))))+U124</f>
        <v>35</v>
      </c>
      <c r="O124" s="796">
        <v>0</v>
      </c>
      <c r="P124" s="132">
        <f t="array" ref="P124">IF(S124="n",((IF(COUNT(V124,X124,AG124,AI124,AK124,AM124)&lt;5,SUM(V124,X124,AG124,AI124,AK124,AM124),SUM(LARGE((V124,X124,AG124,AI124,AK124,AM124),{1;2;3;4;5}))))+(IF(COUNT(W124,AA124,AE124,AH124,AJ124,AL124)&lt;5,SUM(W124,AA124,AE124,AH124,AJ124,AL124),SUM(LARGE((W124,AA124,AE124,AH124,AJ124,AL124),{1;2;3;4;5}))))+U124),0)</f>
        <v>0</v>
      </c>
      <c r="Q124" s="797">
        <v>0</v>
      </c>
      <c r="R124" s="132">
        <f t="array" ref="R124">IF(T124="j",((IF(COUNT(V124,X124,AG124,AI124,AK124,AM124)&lt;5,SUM(V124,X124,AG124,AI124,AK124,AM124),SUM(LARGE((V124,X124,AG124,AI124,AK124,AM124),{1;2;3;4;5}))))+(IF(COUNT(W124,AB124,AC124,AH124,AJ124,AL124)&lt;5,SUM(W124,AB124,AC124,AH124,AJ124,AL124),SUM(LARGE((W124,AB124,AC124,AH124,AJ124,AL124),{1;2;3;4;5}))))+U124),0)</f>
        <v>0</v>
      </c>
      <c r="S124" s="676"/>
      <c r="T124" s="676"/>
      <c r="U124" s="915">
        <v>1</v>
      </c>
      <c r="V124" s="316" t="s">
        <v>156</v>
      </c>
      <c r="W124" s="316" t="s">
        <v>156</v>
      </c>
      <c r="X124" s="137"/>
      <c r="Y124" s="137"/>
      <c r="Z124" s="960"/>
      <c r="AA124" s="961"/>
      <c r="AB124" s="962"/>
      <c r="AC124" s="137"/>
      <c r="AD124" s="960"/>
      <c r="AE124" s="961"/>
      <c r="AF124" s="732"/>
      <c r="AG124" s="137"/>
      <c r="AH124" s="137"/>
      <c r="AI124" s="137"/>
      <c r="AJ124" s="137"/>
      <c r="AK124" s="137">
        <v>34</v>
      </c>
      <c r="AL124" s="137"/>
      <c r="AM124" s="137"/>
      <c r="AN124" s="30">
        <f t="shared" si="42"/>
        <v>1</v>
      </c>
      <c r="AO124" s="312">
        <f t="shared" si="43"/>
        <v>0</v>
      </c>
      <c r="AP124" s="291">
        <f t="shared" si="44"/>
        <v>0</v>
      </c>
      <c r="AQ124" s="31">
        <f t="shared" si="45"/>
        <v>0</v>
      </c>
      <c r="AR124" s="4" t="e">
        <f>COUNTIF(V124:W124,"=  ")+COUNTIF(X124:AH124,"=  ")+COUNTIF(AJ124,"=  ")+COUNTIF(AL124,"=  ")+COUNTIF(#REF!,"=  ")+COUNTIF(#REF!,"=  ")+COUNTIF(#REF!,"=  ")</f>
        <v>#REF!</v>
      </c>
      <c r="AS124" s="101" t="e">
        <f>COUNTIF(Y124,"=  ")+COUNTIF(AI124,"=  ")+COUNTIF(AK124,"=  ")+COUNTIF(AM124,"=  ")+COUNTIF(AC124,"=  ")+COUNTIF(#REF!,"=  ")</f>
        <v>#REF!</v>
      </c>
    </row>
    <row r="125" spans="1:45" x14ac:dyDescent="0.2">
      <c r="A125" s="47">
        <v>83</v>
      </c>
      <c r="B125" s="141">
        <f t="shared" si="35"/>
        <v>82</v>
      </c>
      <c r="C125" s="139">
        <f t="shared" si="36"/>
        <v>10033</v>
      </c>
      <c r="D125" s="49" t="s">
        <v>151</v>
      </c>
      <c r="E125" s="141" t="str">
        <f t="shared" si="37"/>
        <v/>
      </c>
      <c r="F125" s="138">
        <f t="shared" si="38"/>
        <v>0</v>
      </c>
      <c r="G125" s="383">
        <v>6</v>
      </c>
      <c r="H125" s="141">
        <f t="shared" si="39"/>
        <v>6</v>
      </c>
      <c r="I125" s="221">
        <f t="shared" si="40"/>
        <v>10146</v>
      </c>
      <c r="J125" s="71">
        <f t="shared" si="41"/>
        <v>117</v>
      </c>
      <c r="K125" s="70">
        <v>117</v>
      </c>
      <c r="L125" s="81" t="s">
        <v>724</v>
      </c>
      <c r="M125" s="70">
        <v>33</v>
      </c>
      <c r="N125" s="141">
        <f t="array" ref="N125">(IF(COUNT(V125,X125,AG125,AI125,AK125,AM125)&lt;5,SUM(V125,X125,AG125,AI125,AK125,AM125),SUM(LARGE((V125,X125,AG125,AI125,AK125,AM125),{1;2;3;4;5}))))+(IF(COUNT(W125,Y125,AC125,AH125,AJ125,AL125)&lt;5,SUM(W125,Y125,AC125,AH125,AJ125,AL125),SUM(LARGE((W125,Y125,AC125,AH125,AJ125,AL125),{1;2;3;4;5}))))+U125</f>
        <v>33</v>
      </c>
      <c r="O125" s="796">
        <v>0</v>
      </c>
      <c r="P125" s="132">
        <f t="array" ref="P125">IF(S125="n",((IF(COUNT(V125,X125,AG125,AI125,AK125,AM125)&lt;5,SUM(V125,X125,AG125,AI125,AK125,AM125),SUM(LARGE((V125,X125,AG125,AI125,AK125,AM125),{1;2;3;4;5}))))+(IF(COUNT(W125,AA125,AE125,AH125,AJ125,AL125)&lt;5,SUM(W125,AA125,AE125,AH125,AJ125,AL125),SUM(LARGE((W125,AA125,AE125,AH125,AJ125,AL125),{1;2;3;4;5}))))+U125),0)</f>
        <v>0</v>
      </c>
      <c r="Q125" s="797">
        <v>146</v>
      </c>
      <c r="R125" s="132">
        <f t="array" ref="R125">IF(T125="j",((IF(COUNT(V125,X125,AG125,AI125,AK125,AM125)&lt;5,SUM(V125,X125,AG125,AI125,AK125,AM125),SUM(LARGE((V125,X125,AG125,AI125,AK125,AM125),{1;2;3;4;5}))))+(IF(COUNT(W125,AB125,AC125,AH125,AJ125,AL125)&lt;5,SUM(W125,AB125,AC125,AH125,AJ125,AL125),SUM(LARGE((W125,AB125,AC125,AH125,AJ125,AL125),{1;2;3;4;5}))))+U125),0)</f>
        <v>146</v>
      </c>
      <c r="S125" s="676"/>
      <c r="T125" s="676" t="s">
        <v>46</v>
      </c>
      <c r="U125" s="915"/>
      <c r="V125" s="316" t="s">
        <v>156</v>
      </c>
      <c r="W125" s="316" t="s">
        <v>156</v>
      </c>
      <c r="X125" s="315"/>
      <c r="Y125" s="315">
        <v>33</v>
      </c>
      <c r="Z125" s="960"/>
      <c r="AA125" s="961"/>
      <c r="AB125" s="967">
        <v>146</v>
      </c>
      <c r="AC125" s="137"/>
      <c r="AD125" s="960"/>
      <c r="AE125" s="961"/>
      <c r="AF125" s="732"/>
      <c r="AG125" s="137"/>
      <c r="AH125" s="137"/>
      <c r="AI125" s="137"/>
      <c r="AJ125" s="137"/>
      <c r="AK125" s="137"/>
      <c r="AL125" s="137"/>
      <c r="AM125" s="137"/>
      <c r="AN125" s="30">
        <f t="shared" si="42"/>
        <v>1</v>
      </c>
      <c r="AO125" s="312">
        <f t="shared" si="43"/>
        <v>1</v>
      </c>
      <c r="AP125" s="291">
        <f t="shared" si="44"/>
        <v>0</v>
      </c>
      <c r="AQ125" s="31">
        <f t="shared" si="45"/>
        <v>0</v>
      </c>
      <c r="AS125" s="101"/>
    </row>
    <row r="126" spans="1:45" x14ac:dyDescent="0.2">
      <c r="A126" s="47">
        <v>84</v>
      </c>
      <c r="B126" s="141">
        <f t="shared" si="35"/>
        <v>83</v>
      </c>
      <c r="C126" s="139">
        <f t="shared" si="36"/>
        <v>10031</v>
      </c>
      <c r="D126" s="49" t="s">
        <v>151</v>
      </c>
      <c r="E126" s="141" t="str">
        <f t="shared" si="37"/>
        <v/>
      </c>
      <c r="F126" s="138">
        <f t="shared" si="38"/>
        <v>0</v>
      </c>
      <c r="G126" s="383" t="s">
        <v>151</v>
      </c>
      <c r="H126" s="141" t="str">
        <f t="shared" si="39"/>
        <v/>
      </c>
      <c r="I126" s="221">
        <f t="shared" si="40"/>
        <v>0</v>
      </c>
      <c r="J126" s="71">
        <f t="shared" si="41"/>
        <v>118</v>
      </c>
      <c r="K126" s="70">
        <v>118</v>
      </c>
      <c r="L126" s="263" t="s">
        <v>866</v>
      </c>
      <c r="M126" s="377">
        <v>31</v>
      </c>
      <c r="N126" s="141">
        <f t="array" ref="N126">(IF(COUNT(V126,X126,AG126,AI126,AK126,AM126)&lt;5,SUM(V126,X126,AG126,AI126,AK126,AM126),SUM(LARGE((V126,X126,AG126,AI126,AK126,AM126),{1;2;3;4;5}))))+(IF(COUNT(W126,Y126,AC126,AH126,AJ126,AL126)&lt;5,SUM(W126,Y126,AC126,AH126,AJ126,AL126),SUM(LARGE((W126,Y126,AC126,AH126,AJ126,AL126),{1;2;3;4;5}))))+U126</f>
        <v>31</v>
      </c>
      <c r="O126" s="796">
        <v>0</v>
      </c>
      <c r="P126" s="132">
        <f t="array" ref="P126">IF(S126="n",((IF(COUNT(V126,X126,AG126,AI126,AK126,AM126)&lt;5,SUM(V126,X126,AG126,AI126,AK126,AM126),SUM(LARGE((V126,X126,AG126,AI126,AK126,AM126),{1;2;3;4;5}))))+(IF(COUNT(W126,AA126,AE126,AH126,AJ126,AL126)&lt;5,SUM(W126,AA126,AE126,AH126,AJ126,AL126),SUM(LARGE((W126,AA126,AE126,AH126,AJ126,AL126),{1;2;3;4;5}))))+U126),0)</f>
        <v>0</v>
      </c>
      <c r="Q126" s="797">
        <v>0</v>
      </c>
      <c r="R126" s="132">
        <f t="array" ref="R126">IF(T126="j",((IF(COUNT(V126,X126,AG126,AI126,AK126,AM126)&lt;5,SUM(V126,X126,AG126,AI126,AK126,AM126),SUM(LARGE((V126,X126,AG126,AI126,AK126,AM126),{1;2;3;4;5}))))+(IF(COUNT(W126,AB126,AC126,AH126,AJ126,AL126)&lt;5,SUM(W126,AB126,AC126,AH126,AJ126,AL126),SUM(LARGE((W126,AB126,AC126,AH126,AJ126,AL126),{1;2;3;4;5}))))+U126),0)</f>
        <v>0</v>
      </c>
      <c r="S126" s="676"/>
      <c r="T126" s="676"/>
      <c r="U126" s="915"/>
      <c r="V126" s="316" t="s">
        <v>156</v>
      </c>
      <c r="W126" s="316" t="s">
        <v>156</v>
      </c>
      <c r="X126" s="315"/>
      <c r="Y126" s="137"/>
      <c r="Z126" s="960"/>
      <c r="AA126" s="961"/>
      <c r="AB126" s="962"/>
      <c r="AC126" s="137"/>
      <c r="AD126" s="960"/>
      <c r="AE126" s="961"/>
      <c r="AF126" s="732"/>
      <c r="AG126" s="137"/>
      <c r="AH126" s="137"/>
      <c r="AI126" s="137"/>
      <c r="AJ126" s="137"/>
      <c r="AK126" s="137">
        <v>31</v>
      </c>
      <c r="AL126" s="137"/>
      <c r="AM126" s="137"/>
      <c r="AN126" s="30">
        <f t="shared" si="42"/>
        <v>1</v>
      </c>
      <c r="AO126" s="312">
        <f t="shared" si="43"/>
        <v>0</v>
      </c>
      <c r="AP126" s="291">
        <f t="shared" si="44"/>
        <v>0</v>
      </c>
      <c r="AQ126" s="31">
        <f t="shared" si="45"/>
        <v>0</v>
      </c>
      <c r="AS126" s="101"/>
    </row>
    <row r="127" spans="1:45" x14ac:dyDescent="0.2">
      <c r="A127" s="47">
        <v>84</v>
      </c>
      <c r="B127" s="141">
        <f t="shared" si="35"/>
        <v>83</v>
      </c>
      <c r="C127" s="139">
        <f t="shared" si="36"/>
        <v>10031</v>
      </c>
      <c r="D127" s="49" t="s">
        <v>151</v>
      </c>
      <c r="E127" s="141" t="str">
        <f t="shared" si="37"/>
        <v/>
      </c>
      <c r="F127" s="138">
        <f t="shared" si="38"/>
        <v>0</v>
      </c>
      <c r="G127" s="383" t="s">
        <v>151</v>
      </c>
      <c r="H127" s="141" t="str">
        <f t="shared" si="39"/>
        <v/>
      </c>
      <c r="I127" s="221">
        <f t="shared" si="40"/>
        <v>0</v>
      </c>
      <c r="J127" s="71">
        <f t="shared" si="41"/>
        <v>118</v>
      </c>
      <c r="K127" s="70">
        <v>118</v>
      </c>
      <c r="L127" s="263" t="s">
        <v>867</v>
      </c>
      <c r="M127" s="377">
        <v>31</v>
      </c>
      <c r="N127" s="141">
        <f t="array" ref="N127">(IF(COUNT(V127,X127,AG127,AI127,AK127,AM127)&lt;5,SUM(V127,X127,AG127,AI127,AK127,AM127),SUM(LARGE((V127,X127,AG127,AI127,AK127,AM127),{1;2;3;4;5}))))+(IF(COUNT(W127,Y127,AC127,AH127,AJ127,AL127)&lt;5,SUM(W127,Y127,AC127,AH127,AJ127,AL127),SUM(LARGE((W127,Y127,AC127,AH127,AJ127,AL127),{1;2;3;4;5}))))+U127</f>
        <v>31</v>
      </c>
      <c r="O127" s="796">
        <v>0</v>
      </c>
      <c r="P127" s="132">
        <f t="array" ref="P127">IF(S127="n",((IF(COUNT(V127,X127,AG127,AI127,AK127,AM127)&lt;5,SUM(V127,X127,AG127,AI127,AK127,AM127),SUM(LARGE((V127,X127,AG127,AI127,AK127,AM127),{1;2;3;4;5}))))+(IF(COUNT(W127,AA127,AE127,AH127,AJ127,AL127)&lt;5,SUM(W127,AA127,AE127,AH127,AJ127,AL127),SUM(LARGE((W127,AA127,AE127,AH127,AJ127,AL127),{1;2;3;4;5}))))+U127),0)</f>
        <v>0</v>
      </c>
      <c r="Q127" s="797">
        <v>0</v>
      </c>
      <c r="R127" s="132">
        <f t="array" ref="R127">IF(T127="j",((IF(COUNT(V127,X127,AG127,AI127,AK127,AM127)&lt;5,SUM(V127,X127,AG127,AI127,AK127,AM127),SUM(LARGE((V127,X127,AG127,AI127,AK127,AM127),{1;2;3;4;5}))))+(IF(COUNT(W127,AB127,AC127,AH127,AJ127,AL127)&lt;5,SUM(W127,AB127,AC127,AH127,AJ127,AL127),SUM(LARGE((W127,AB127,AC127,AH127,AJ127,AL127),{1;2;3;4;5}))))+U127),0)</f>
        <v>0</v>
      </c>
      <c r="S127" s="676"/>
      <c r="T127" s="676"/>
      <c r="U127" s="915"/>
      <c r="V127" s="316" t="s">
        <v>156</v>
      </c>
      <c r="W127" s="316" t="s">
        <v>156</v>
      </c>
      <c r="X127" s="315"/>
      <c r="Y127" s="137"/>
      <c r="Z127" s="960"/>
      <c r="AA127" s="961"/>
      <c r="AB127" s="962"/>
      <c r="AC127" s="137"/>
      <c r="AD127" s="960"/>
      <c r="AE127" s="961"/>
      <c r="AF127" s="732"/>
      <c r="AG127" s="137"/>
      <c r="AH127" s="137"/>
      <c r="AI127" s="137"/>
      <c r="AJ127" s="137"/>
      <c r="AK127" s="137">
        <v>31</v>
      </c>
      <c r="AL127" s="137"/>
      <c r="AM127" s="137"/>
      <c r="AN127" s="30">
        <f t="shared" si="42"/>
        <v>1</v>
      </c>
      <c r="AO127" s="312">
        <f t="shared" si="43"/>
        <v>0</v>
      </c>
      <c r="AP127" s="291">
        <f t="shared" si="44"/>
        <v>0</v>
      </c>
      <c r="AQ127" s="31">
        <f t="shared" si="45"/>
        <v>0</v>
      </c>
      <c r="AS127" s="101"/>
    </row>
    <row r="128" spans="1:45" x14ac:dyDescent="0.2">
      <c r="A128" s="47">
        <v>86</v>
      </c>
      <c r="B128" s="141">
        <f t="shared" si="35"/>
        <v>85</v>
      </c>
      <c r="C128" s="139">
        <f t="shared" si="36"/>
        <v>10028</v>
      </c>
      <c r="D128" s="49" t="s">
        <v>151</v>
      </c>
      <c r="E128" s="141" t="str">
        <f t="shared" si="37"/>
        <v/>
      </c>
      <c r="F128" s="138">
        <f t="shared" si="38"/>
        <v>0</v>
      </c>
      <c r="G128" s="383" t="s">
        <v>151</v>
      </c>
      <c r="H128" s="141" t="str">
        <f t="shared" si="39"/>
        <v/>
      </c>
      <c r="I128" s="221">
        <f t="shared" si="40"/>
        <v>0</v>
      </c>
      <c r="J128" s="71">
        <f t="shared" si="41"/>
        <v>120</v>
      </c>
      <c r="K128" s="70">
        <v>120</v>
      </c>
      <c r="L128" s="211" t="s">
        <v>852</v>
      </c>
      <c r="M128" s="70">
        <v>28</v>
      </c>
      <c r="N128" s="141">
        <f t="array" ref="N128">(IF(COUNT(V128,X128,AG128,AI128,AK128,AM128)&lt;5,SUM(V128,X128,AG128,AI128,AK128,AM128),SUM(LARGE((V128,X128,AG128,AI128,AK128,AM128),{1;2;3;4;5}))))+(IF(COUNT(W128,Y128,AC128,AH128,AJ128,AL128)&lt;5,SUM(W128,Y128,AC128,AH128,AJ128,AL128),SUM(LARGE((W128,Y128,AC128,AH128,AJ128,AL128),{1;2;3;4;5}))))+U128</f>
        <v>28</v>
      </c>
      <c r="O128" s="796">
        <v>0</v>
      </c>
      <c r="P128" s="132">
        <f t="array" ref="P128">IF(S128="n",((IF(COUNT(V128,X128,AG128,AI128,AK128,AM128)&lt;5,SUM(V128,X128,AG128,AI128,AK128,AM128),SUM(LARGE((V128,X128,AG128,AI128,AK128,AM128),{1;2;3;4;5}))))+(IF(COUNT(W128,AA128,AE128,AH128,AJ128,AL128)&lt;5,SUM(W128,AA128,AE128,AH128,AJ128,AL128),SUM(LARGE((W128,AA128,AE128,AH128,AJ128,AL128),{1;2;3;4;5}))))+U128),0)</f>
        <v>0</v>
      </c>
      <c r="Q128" s="797">
        <v>0</v>
      </c>
      <c r="R128" s="132">
        <f t="array" ref="R128">IF(T128="j",((IF(COUNT(V128,X128,AG128,AI128,AK128,AM128)&lt;5,SUM(V128,X128,AG128,AI128,AK128,AM128),SUM(LARGE((V128,X128,AG128,AI128,AK128,AM128),{1;2;3;4;5}))))+(IF(COUNT(W128,AB128,AC128,AH128,AJ128,AL128)&lt;5,SUM(W128,AB128,AC128,AH128,AJ128,AL128),SUM(LARGE((W128,AB128,AC128,AH128,AJ128,AL128),{1;2;3;4;5}))))+U128),0)</f>
        <v>0</v>
      </c>
      <c r="S128" s="676"/>
      <c r="T128" s="676"/>
      <c r="U128" s="915"/>
      <c r="V128" s="316" t="s">
        <v>156</v>
      </c>
      <c r="W128" s="316" t="s">
        <v>156</v>
      </c>
      <c r="X128" s="315"/>
      <c r="Y128" s="137"/>
      <c r="Z128" s="960"/>
      <c r="AA128" s="961"/>
      <c r="AB128" s="962"/>
      <c r="AC128" s="137"/>
      <c r="AD128" s="960"/>
      <c r="AE128" s="961"/>
      <c r="AF128" s="732"/>
      <c r="AG128" s="137">
        <v>28</v>
      </c>
      <c r="AH128" s="137"/>
      <c r="AI128" s="137"/>
      <c r="AJ128" s="137"/>
      <c r="AK128" s="137"/>
      <c r="AL128" s="137"/>
      <c r="AM128" s="137"/>
      <c r="AN128" s="30">
        <f t="shared" si="42"/>
        <v>1</v>
      </c>
      <c r="AO128" s="312">
        <f t="shared" si="43"/>
        <v>0</v>
      </c>
      <c r="AP128" s="291">
        <f t="shared" si="44"/>
        <v>0</v>
      </c>
      <c r="AQ128" s="31">
        <f t="shared" si="45"/>
        <v>0</v>
      </c>
      <c r="AS128" s="101"/>
    </row>
    <row r="129" spans="1:45" x14ac:dyDescent="0.2">
      <c r="A129" s="47">
        <v>86</v>
      </c>
      <c r="B129" s="141">
        <f t="shared" si="35"/>
        <v>85</v>
      </c>
      <c r="C129" s="139">
        <f t="shared" si="36"/>
        <v>10028</v>
      </c>
      <c r="D129" s="49" t="s">
        <v>151</v>
      </c>
      <c r="E129" s="141" t="str">
        <f t="shared" si="37"/>
        <v/>
      </c>
      <c r="F129" s="138">
        <f t="shared" si="38"/>
        <v>0</v>
      </c>
      <c r="G129" s="383" t="s">
        <v>151</v>
      </c>
      <c r="H129" s="141" t="str">
        <f t="shared" si="39"/>
        <v/>
      </c>
      <c r="I129" s="221">
        <f t="shared" si="40"/>
        <v>0</v>
      </c>
      <c r="J129" s="71">
        <f t="shared" si="41"/>
        <v>120</v>
      </c>
      <c r="K129" s="70">
        <v>120</v>
      </c>
      <c r="L129" s="211" t="s">
        <v>851</v>
      </c>
      <c r="M129" s="70">
        <v>28</v>
      </c>
      <c r="N129" s="141">
        <f t="array" ref="N129">(IF(COUNT(V129,X129,AG129,AI129,AK129,AM129)&lt;5,SUM(V129,X129,AG129,AI129,AK129,AM129),SUM(LARGE((V129,X129,AG129,AI129,AK129,AM129),{1;2;3;4;5}))))+(IF(COUNT(W129,Y129,AC129,AH129,AJ129,AL129)&lt;5,SUM(W129,Y129,AC129,AH129,AJ129,AL129),SUM(LARGE((W129,Y129,AC129,AH129,AJ129,AL129),{1;2;3;4;5}))))+U129</f>
        <v>28</v>
      </c>
      <c r="O129" s="796">
        <v>0</v>
      </c>
      <c r="P129" s="132">
        <f t="array" ref="P129">IF(S129="n",((IF(COUNT(V129,X129,AG129,AI129,AK129,AM129)&lt;5,SUM(V129,X129,AG129,AI129,AK129,AM129),SUM(LARGE((V129,X129,AG129,AI129,AK129,AM129),{1;2;3;4;5}))))+(IF(COUNT(W129,AA129,AE129,AH129,AJ129,AL129)&lt;5,SUM(W129,AA129,AE129,AH129,AJ129,AL129),SUM(LARGE((W129,AA129,AE129,AH129,AJ129,AL129),{1;2;3;4;5}))))+U129),0)</f>
        <v>0</v>
      </c>
      <c r="Q129" s="797">
        <v>0</v>
      </c>
      <c r="R129" s="132">
        <f t="array" ref="R129">IF(T129="j",((IF(COUNT(V129,X129,AG129,AI129,AK129,AM129)&lt;5,SUM(V129,X129,AG129,AI129,AK129,AM129),SUM(LARGE((V129,X129,AG129,AI129,AK129,AM129),{1;2;3;4;5}))))+(IF(COUNT(W129,AB129,AC129,AH129,AJ129,AL129)&lt;5,SUM(W129,AB129,AC129,AH129,AJ129,AL129),SUM(LARGE((W129,AB129,AC129,AH129,AJ129,AL129),{1;2;3;4;5}))))+U129),0)</f>
        <v>0</v>
      </c>
      <c r="S129" s="676"/>
      <c r="T129" s="676"/>
      <c r="U129" s="915"/>
      <c r="V129" s="316" t="s">
        <v>156</v>
      </c>
      <c r="W129" s="316" t="s">
        <v>156</v>
      </c>
      <c r="X129" s="315"/>
      <c r="Y129" s="137"/>
      <c r="Z129" s="960"/>
      <c r="AA129" s="961"/>
      <c r="AB129" s="962"/>
      <c r="AC129" s="137"/>
      <c r="AD129" s="960"/>
      <c r="AE129" s="961"/>
      <c r="AF129" s="732"/>
      <c r="AG129" s="137">
        <v>28</v>
      </c>
      <c r="AH129" s="137"/>
      <c r="AI129" s="137"/>
      <c r="AJ129" s="137"/>
      <c r="AK129" s="137"/>
      <c r="AL129" s="137"/>
      <c r="AM129" s="137"/>
      <c r="AN129" s="30">
        <f t="shared" si="42"/>
        <v>1</v>
      </c>
      <c r="AO129" s="312">
        <f t="shared" si="43"/>
        <v>0</v>
      </c>
      <c r="AP129" s="291">
        <f t="shared" si="44"/>
        <v>0</v>
      </c>
      <c r="AQ129" s="31">
        <f t="shared" si="45"/>
        <v>0</v>
      </c>
      <c r="AS129" s="101"/>
    </row>
    <row r="130" spans="1:45" x14ac:dyDescent="0.2">
      <c r="A130" s="47" t="s">
        <v>151</v>
      </c>
      <c r="B130" s="141" t="str">
        <f t="shared" si="35"/>
        <v/>
      </c>
      <c r="C130" s="139">
        <f t="shared" si="36"/>
        <v>0</v>
      </c>
      <c r="D130" s="49">
        <v>36</v>
      </c>
      <c r="E130" s="141">
        <f t="shared" si="37"/>
        <v>36</v>
      </c>
      <c r="F130" s="138">
        <f t="shared" si="38"/>
        <v>10028</v>
      </c>
      <c r="G130" s="383" t="s">
        <v>151</v>
      </c>
      <c r="H130" s="141" t="str">
        <f t="shared" si="39"/>
        <v/>
      </c>
      <c r="I130" s="221">
        <f t="shared" si="40"/>
        <v>0</v>
      </c>
      <c r="J130" s="71">
        <f t="shared" si="41"/>
        <v>120</v>
      </c>
      <c r="K130" s="70">
        <v>120</v>
      </c>
      <c r="L130" s="51" t="s">
        <v>864</v>
      </c>
      <c r="M130" s="70">
        <v>28</v>
      </c>
      <c r="N130" s="141">
        <f t="array" ref="N130">(IF(COUNT(V130,X130,AG130,AI130,AK130,AM130)&lt;5,SUM(V130,X130,AG130,AI130,AK130,AM130),SUM(LARGE((V130,X130,AG130,AI130,AK130,AM130),{1;2;3;4;5}))))+(IF(COUNT(W130,Y130,AC130,AH130,AJ130,AL130)&lt;5,SUM(W130,Y130,AC130,AH130,AJ130,AL130),SUM(LARGE((W130,Y130,AC130,AH130,AJ130,AL130),{1;2;3;4;5}))))+U130</f>
        <v>28</v>
      </c>
      <c r="O130" s="796">
        <v>28</v>
      </c>
      <c r="P130" s="132">
        <f t="array" ref="P130">IF(S130="n",((IF(COUNT(V130,X130,AG130,AI130,AK130,AM130)&lt;5,SUM(V130,X130,AG130,AI130,AK130,AM130),SUM(LARGE((V130,X130,AG130,AI130,AK130,AM130),{1;2;3;4;5}))))+(IF(COUNT(W130,AA130,AE130,AH130,AJ130,AL130)&lt;5,SUM(W130,AA130,AE130,AH130,AJ130,AL130),SUM(LARGE((W130,AA130,AE130,AH130,AJ130,AL130),{1;2;3;4;5}))))+U130),0)</f>
        <v>28</v>
      </c>
      <c r="Q130" s="797">
        <v>0</v>
      </c>
      <c r="R130" s="132">
        <f t="array" ref="R130">IF(T130="j",((IF(COUNT(V130,X130,AG130,AI130,AK130,AM130)&lt;5,SUM(V130,X130,AG130,AI130,AK130,AM130),SUM(LARGE((V130,X130,AG130,AI130,AK130,AM130),{1;2;3;4;5}))))+(IF(COUNT(W130,AB130,AC130,AH130,AJ130,AL130)&lt;5,SUM(W130,AB130,AC130,AH130,AJ130,AL130),SUM(LARGE((W130,AB130,AC130,AH130,AJ130,AL130),{1;2;3;4;5}))))+U130),0)</f>
        <v>0</v>
      </c>
      <c r="S130" s="676" t="s">
        <v>33</v>
      </c>
      <c r="T130" s="676"/>
      <c r="U130" s="915"/>
      <c r="V130" s="316" t="s">
        <v>156</v>
      </c>
      <c r="W130" s="316" t="s">
        <v>156</v>
      </c>
      <c r="X130" s="315"/>
      <c r="Y130" s="137"/>
      <c r="Z130" s="960"/>
      <c r="AA130" s="961"/>
      <c r="AB130" s="962"/>
      <c r="AC130" s="137"/>
      <c r="AD130" s="960"/>
      <c r="AE130" s="961"/>
      <c r="AF130" s="732"/>
      <c r="AG130" s="137"/>
      <c r="AH130" s="137"/>
      <c r="AI130" s="137"/>
      <c r="AJ130" s="137"/>
      <c r="AK130" s="137">
        <v>28</v>
      </c>
      <c r="AL130" s="137"/>
      <c r="AM130" s="137"/>
      <c r="AN130" s="30">
        <f t="shared" si="42"/>
        <v>1</v>
      </c>
      <c r="AO130" s="312">
        <f t="shared" si="43"/>
        <v>0</v>
      </c>
      <c r="AP130" s="291">
        <f t="shared" si="44"/>
        <v>0</v>
      </c>
      <c r="AQ130" s="31">
        <f t="shared" si="45"/>
        <v>0</v>
      </c>
      <c r="AS130" s="101"/>
    </row>
    <row r="131" spans="1:45" x14ac:dyDescent="0.2">
      <c r="A131" s="47">
        <v>86</v>
      </c>
      <c r="B131" s="141">
        <f t="shared" si="35"/>
        <v>85</v>
      </c>
      <c r="C131" s="139">
        <f t="shared" si="36"/>
        <v>10028</v>
      </c>
      <c r="D131" s="49" t="s">
        <v>151</v>
      </c>
      <c r="E131" s="141" t="str">
        <f t="shared" si="37"/>
        <v/>
      </c>
      <c r="F131" s="138">
        <f t="shared" si="38"/>
        <v>0</v>
      </c>
      <c r="G131" s="383">
        <v>10</v>
      </c>
      <c r="H131" s="141">
        <f t="shared" si="39"/>
        <v>10</v>
      </c>
      <c r="I131" s="221">
        <f t="shared" si="40"/>
        <v>10028</v>
      </c>
      <c r="J131" s="71">
        <f t="shared" si="41"/>
        <v>120</v>
      </c>
      <c r="K131" s="70">
        <v>120</v>
      </c>
      <c r="L131" s="81" t="s">
        <v>865</v>
      </c>
      <c r="M131" s="70">
        <v>28</v>
      </c>
      <c r="N131" s="141">
        <f t="array" ref="N131">(IF(COUNT(V131,X131,AG131,AI131,AK131,AM131)&lt;5,SUM(V131,X131,AG131,AI131,AK131,AM131),SUM(LARGE((V131,X131,AG131,AI131,AK131,AM131),{1;2;3;4;5}))))+(IF(COUNT(W131,Y131,AC131,AH131,AJ131,AL131)&lt;5,SUM(W131,Y131,AC131,AH131,AJ131,AL131),SUM(LARGE((W131,Y131,AC131,AH131,AJ131,AL131),{1;2;3;4;5}))))+U131</f>
        <v>28</v>
      </c>
      <c r="O131" s="796">
        <v>0</v>
      </c>
      <c r="P131" s="132">
        <f t="array" ref="P131">IF(S131="n",((IF(COUNT(V131,X131,AG131,AI131,AK131,AM131)&lt;5,SUM(V131,X131,AG131,AI131,AK131,AM131),SUM(LARGE((V131,X131,AG131,AI131,AK131,AM131),{1;2;3;4;5}))))+(IF(COUNT(W131,AA131,AE131,AH131,AJ131,AL131)&lt;5,SUM(W131,AA131,AE131,AH131,AJ131,AL131),SUM(LARGE((W131,AA131,AE131,AH131,AJ131,AL131),{1;2;3;4;5}))))+U131),0)</f>
        <v>0</v>
      </c>
      <c r="Q131" s="797">
        <v>28</v>
      </c>
      <c r="R131" s="132">
        <f t="array" ref="R131">IF(T131="j",((IF(COUNT(V131,X131,AG131,AI131,AK131,AM131)&lt;5,SUM(V131,X131,AG131,AI131,AK131,AM131),SUM(LARGE((V131,X131,AG131,AI131,AK131,AM131),{1;2;3;4;5}))))+(IF(COUNT(W131,AB131,AC131,AH131,AJ131,AL131)&lt;5,SUM(W131,AB131,AC131,AH131,AJ131,AL131),SUM(LARGE((W131,AB131,AC131,AH131,AJ131,AL131),{1;2;3;4;5}))))+U131),0)</f>
        <v>28</v>
      </c>
      <c r="S131" s="676"/>
      <c r="T131" s="676" t="s">
        <v>46</v>
      </c>
      <c r="U131" s="915"/>
      <c r="V131" s="316" t="s">
        <v>156</v>
      </c>
      <c r="W131" s="316" t="s">
        <v>156</v>
      </c>
      <c r="X131" s="315"/>
      <c r="Y131" s="137"/>
      <c r="Z131" s="960"/>
      <c r="AA131" s="961"/>
      <c r="AB131" s="962"/>
      <c r="AC131" s="137"/>
      <c r="AD131" s="960"/>
      <c r="AE131" s="961"/>
      <c r="AF131" s="732"/>
      <c r="AG131" s="137"/>
      <c r="AH131" s="137"/>
      <c r="AI131" s="137"/>
      <c r="AJ131" s="137"/>
      <c r="AK131" s="137">
        <v>28</v>
      </c>
      <c r="AL131" s="137"/>
      <c r="AM131" s="137"/>
      <c r="AN131" s="30">
        <f t="shared" si="42"/>
        <v>1</v>
      </c>
      <c r="AO131" s="312">
        <f t="shared" si="43"/>
        <v>0</v>
      </c>
      <c r="AP131" s="291">
        <f t="shared" si="44"/>
        <v>0</v>
      </c>
      <c r="AQ131" s="31">
        <f t="shared" si="45"/>
        <v>0</v>
      </c>
      <c r="AS131" s="101"/>
    </row>
    <row r="132" spans="1:45" x14ac:dyDescent="0.2">
      <c r="A132" s="47" t="s">
        <v>151</v>
      </c>
      <c r="B132" s="141" t="str">
        <f t="shared" si="35"/>
        <v/>
      </c>
      <c r="C132" s="139">
        <f t="shared" si="36"/>
        <v>0</v>
      </c>
      <c r="D132" s="49">
        <v>37</v>
      </c>
      <c r="E132" s="141">
        <f t="shared" si="37"/>
        <v>37</v>
      </c>
      <c r="F132" s="138">
        <f t="shared" si="38"/>
        <v>10025</v>
      </c>
      <c r="G132" s="383" t="s">
        <v>151</v>
      </c>
      <c r="H132" s="141" t="str">
        <f t="shared" si="39"/>
        <v/>
      </c>
      <c r="I132" s="221">
        <f t="shared" si="40"/>
        <v>0</v>
      </c>
      <c r="J132" s="71">
        <f t="shared" si="41"/>
        <v>124</v>
      </c>
      <c r="K132" s="70">
        <v>124</v>
      </c>
      <c r="L132" s="51" t="s">
        <v>868</v>
      </c>
      <c r="M132" s="377">
        <v>25</v>
      </c>
      <c r="N132" s="141">
        <f t="array" ref="N132">(IF(COUNT(V132,X132,AG132,AI132,AK132,AM132)&lt;5,SUM(V132,X132,AG132,AI132,AK132,AM132),SUM(LARGE((V132,X132,AG132,AI132,AK132,AM132),{1;2;3;4;5}))))+(IF(COUNT(W132,Y132,AC132,AH132,AJ132,AL132)&lt;5,SUM(W132,Y132,AC132,AH132,AJ132,AL132),SUM(LARGE((W132,Y132,AC132,AH132,AJ132,AL132),{1;2;3;4;5}))))+U132</f>
        <v>25</v>
      </c>
      <c r="O132" s="796">
        <v>25</v>
      </c>
      <c r="P132" s="132">
        <f t="array" ref="P132">IF(S132="n",((IF(COUNT(V132,X132,AG132,AI132,AK132,AM132)&lt;5,SUM(V132,X132,AG132,AI132,AK132,AM132),SUM(LARGE((V132,X132,AG132,AI132,AK132,AM132),{1;2;3;4;5}))))+(IF(COUNT(W132,AA132,AE132,AH132,AJ132,AL132)&lt;5,SUM(W132,AA132,AE132,AH132,AJ132,AL132),SUM(LARGE((W132,AA132,AE132,AH132,AJ132,AL132),{1;2;3;4;5}))))+U132),0)</f>
        <v>25</v>
      </c>
      <c r="Q132" s="797">
        <v>0</v>
      </c>
      <c r="R132" s="132">
        <f t="array" ref="R132">IF(T132="j",((IF(COUNT(V132,X132,AG132,AI132,AK132,AM132)&lt;5,SUM(V132,X132,AG132,AI132,AK132,AM132),SUM(LARGE((V132,X132,AG132,AI132,AK132,AM132),{1;2;3;4;5}))))+(IF(COUNT(W132,AB132,AC132,AH132,AJ132,AL132)&lt;5,SUM(W132,AB132,AC132,AH132,AJ132,AL132),SUM(LARGE((W132,AB132,AC132,AH132,AJ132,AL132),{1;2;3;4;5}))))+U132),0)</f>
        <v>0</v>
      </c>
      <c r="S132" s="676" t="s">
        <v>33</v>
      </c>
      <c r="T132" s="676"/>
      <c r="U132" s="915"/>
      <c r="V132" s="316" t="s">
        <v>156</v>
      </c>
      <c r="W132" s="316" t="s">
        <v>156</v>
      </c>
      <c r="X132" s="315"/>
      <c r="Y132" s="137"/>
      <c r="Z132" s="960"/>
      <c r="AA132" s="961"/>
      <c r="AB132" s="962"/>
      <c r="AC132" s="137"/>
      <c r="AD132" s="960"/>
      <c r="AE132" s="961"/>
      <c r="AF132" s="732"/>
      <c r="AG132" s="137"/>
      <c r="AH132" s="137"/>
      <c r="AI132" s="137"/>
      <c r="AJ132" s="137"/>
      <c r="AK132" s="137">
        <v>25</v>
      </c>
      <c r="AL132" s="137"/>
      <c r="AM132" s="137"/>
      <c r="AN132" s="30">
        <f t="shared" si="42"/>
        <v>1</v>
      </c>
      <c r="AO132" s="312">
        <f t="shared" si="43"/>
        <v>0</v>
      </c>
      <c r="AP132" s="291">
        <f t="shared" si="44"/>
        <v>0</v>
      </c>
      <c r="AQ132" s="31">
        <f t="shared" si="45"/>
        <v>0</v>
      </c>
      <c r="AS132" s="101"/>
    </row>
    <row r="133" spans="1:45" ht="12.75" customHeight="1" x14ac:dyDescent="0.2">
      <c r="A133" s="47" t="s">
        <v>151</v>
      </c>
      <c r="B133" s="141" t="str">
        <f t="shared" si="35"/>
        <v/>
      </c>
      <c r="C133" s="139">
        <f t="shared" si="36"/>
        <v>0</v>
      </c>
      <c r="D133" s="49">
        <v>37</v>
      </c>
      <c r="E133" s="141">
        <f t="shared" si="37"/>
        <v>37</v>
      </c>
      <c r="F133" s="138">
        <f t="shared" si="38"/>
        <v>10025</v>
      </c>
      <c r="G133" s="383" t="s">
        <v>151</v>
      </c>
      <c r="H133" s="141" t="str">
        <f t="shared" si="39"/>
        <v/>
      </c>
      <c r="I133" s="221">
        <f t="shared" si="40"/>
        <v>0</v>
      </c>
      <c r="J133" s="71">
        <f t="shared" si="41"/>
        <v>124</v>
      </c>
      <c r="K133" s="70">
        <v>124</v>
      </c>
      <c r="L133" s="51" t="s">
        <v>869</v>
      </c>
      <c r="M133" s="377">
        <v>25</v>
      </c>
      <c r="N133" s="141">
        <f t="array" ref="N133">(IF(COUNT(V133,X133,AG133,AI133,AK133,AM133)&lt;5,SUM(V133,X133,AG133,AI133,AK133,AM133),SUM(LARGE((V133,X133,AG133,AI133,AK133,AM133),{1;2;3;4;5}))))+(IF(COUNT(W133,Y133,AC133,AH133,AJ133,AL133)&lt;5,SUM(W133,Y133,AC133,AH133,AJ133,AL133),SUM(LARGE((W133,Y133,AC133,AH133,AJ133,AL133),{1;2;3;4;5}))))+U133</f>
        <v>25</v>
      </c>
      <c r="O133" s="796">
        <v>25</v>
      </c>
      <c r="P133" s="132">
        <f t="array" ref="P133">IF(S133="n",((IF(COUNT(V133,X133,AG133,AI133,AK133,AM133)&lt;5,SUM(V133,X133,AG133,AI133,AK133,AM133),SUM(LARGE((V133,X133,AG133,AI133,AK133,AM133),{1;2;3;4;5}))))+(IF(COUNT(W133,AA133,AE133,AH133,AJ133,AL133)&lt;5,SUM(W133,AA133,AE133,AH133,AJ133,AL133),SUM(LARGE((W133,AA133,AE133,AH133,AJ133,AL133),{1;2;3;4;5}))))+U133),0)</f>
        <v>25</v>
      </c>
      <c r="Q133" s="797">
        <v>0</v>
      </c>
      <c r="R133" s="132">
        <f t="array" ref="R133">IF(T133="j",((IF(COUNT(V133,X133,AG133,AI133,AK133,AM133)&lt;5,SUM(V133,X133,AG133,AI133,AK133,AM133),SUM(LARGE((V133,X133,AG133,AI133,AK133,AM133),{1;2;3;4;5}))))+(IF(COUNT(W133,AB133,AC133,AH133,AJ133,AL133)&lt;5,SUM(W133,AB133,AC133,AH133,AJ133,AL133),SUM(LARGE((W133,AB133,AC133,AH133,AJ133,AL133),{1;2;3;4;5}))))+U133),0)</f>
        <v>0</v>
      </c>
      <c r="S133" s="676" t="s">
        <v>33</v>
      </c>
      <c r="T133" s="676"/>
      <c r="U133" s="915"/>
      <c r="V133" s="316" t="s">
        <v>156</v>
      </c>
      <c r="W133" s="316" t="s">
        <v>156</v>
      </c>
      <c r="X133" s="315"/>
      <c r="Y133" s="137"/>
      <c r="Z133" s="960"/>
      <c r="AA133" s="961"/>
      <c r="AB133" s="962"/>
      <c r="AC133" s="137"/>
      <c r="AD133" s="960"/>
      <c r="AE133" s="961"/>
      <c r="AF133" s="732"/>
      <c r="AG133" s="137"/>
      <c r="AH133" s="137"/>
      <c r="AI133" s="137"/>
      <c r="AJ133" s="137"/>
      <c r="AK133" s="137">
        <v>25</v>
      </c>
      <c r="AL133" s="137"/>
      <c r="AM133" s="137"/>
      <c r="AN133" s="30">
        <f t="shared" si="42"/>
        <v>1</v>
      </c>
      <c r="AO133" s="312">
        <f t="shared" si="43"/>
        <v>0</v>
      </c>
      <c r="AP133" s="291">
        <f t="shared" si="44"/>
        <v>0</v>
      </c>
      <c r="AQ133" s="31">
        <f t="shared" si="45"/>
        <v>0</v>
      </c>
      <c r="AS133" s="101"/>
    </row>
    <row r="134" spans="1:45" ht="12.75" customHeight="1" x14ac:dyDescent="0.2">
      <c r="A134" s="47" t="s">
        <v>151</v>
      </c>
      <c r="B134" s="141" t="str">
        <f t="shared" si="35"/>
        <v/>
      </c>
      <c r="C134" s="139">
        <f t="shared" si="36"/>
        <v>0</v>
      </c>
      <c r="D134" s="49">
        <v>39</v>
      </c>
      <c r="E134" s="141">
        <f t="shared" si="37"/>
        <v>39</v>
      </c>
      <c r="F134" s="138">
        <f t="shared" si="38"/>
        <v>10001</v>
      </c>
      <c r="G134" s="383" t="s">
        <v>151</v>
      </c>
      <c r="H134" s="141" t="str">
        <f t="shared" si="39"/>
        <v/>
      </c>
      <c r="I134" s="221">
        <f t="shared" si="40"/>
        <v>0</v>
      </c>
      <c r="J134" s="71">
        <f t="shared" si="41"/>
        <v>126</v>
      </c>
      <c r="K134" s="70">
        <v>126</v>
      </c>
      <c r="L134" s="54" t="s">
        <v>335</v>
      </c>
      <c r="M134" s="302">
        <v>1</v>
      </c>
      <c r="N134" s="141">
        <f t="array" ref="N134">(IF(COUNT(V134,X134,AG134,AI134,AK134,AM134)&lt;5,SUM(V134,X134,AG134,AI134,AK134,AM134),SUM(LARGE((V134,X134,AG134,AI134,AK134,AM134),{1;2;3;4;5}))))+(IF(COUNT(W134,Y134,AC134,AH134,AJ134,AL134)&lt;5,SUM(W134,Y134,AC134,AH134,AJ134,AL134),SUM(LARGE((W134,Y134,AC134,AH134,AJ134,AL134),{1;2;3;4;5}))))+U134</f>
        <v>1</v>
      </c>
      <c r="O134" s="796">
        <v>1</v>
      </c>
      <c r="P134" s="132">
        <f t="array" ref="P134">IF(S134="n",((IF(COUNT(V134,X134,AG134,AI134,AK134,AM134)&lt;5,SUM(V134,X134,AG134,AI134,AK134,AM134),SUM(LARGE((V134,X134,AG134,AI134,AK134,AM134),{1;2;3;4;5}))))+(IF(COUNT(W134,AA134,AE134,AH134,AJ134,AL134)&lt;5,SUM(W134,AA134,AE134,AH134,AJ134,AL134),SUM(LARGE((W134,AA134,AE134,AH134,AJ134,AL134),{1;2;3;4;5}))))+U134),0)</f>
        <v>1</v>
      </c>
      <c r="Q134" s="797">
        <v>0</v>
      </c>
      <c r="R134" s="132">
        <f t="array" ref="R134">IF(T134="j",((IF(COUNT(V134,X134,AG134,AI134,AK134,AM134)&lt;5,SUM(V134,X134,AG134,AI134,AK134,AM134),SUM(LARGE((V134,X134,AG134,AI134,AK134,AM134),{1;2;3;4;5}))))+(IF(COUNT(W134,AB134,AC134,AH134,AJ134,AL134)&lt;5,SUM(W134,AB134,AC134,AH134,AJ134,AL134),SUM(LARGE((W134,AB134,AC134,AH134,AJ134,AL134),{1;2;3;4;5}))))+U134),0)</f>
        <v>0</v>
      </c>
      <c r="S134" s="676" t="s">
        <v>33</v>
      </c>
      <c r="T134" s="676"/>
      <c r="U134" s="915">
        <v>1</v>
      </c>
      <c r="V134" s="316" t="s">
        <v>156</v>
      </c>
      <c r="W134" s="316" t="s">
        <v>156</v>
      </c>
      <c r="X134" s="137"/>
      <c r="Y134" s="137"/>
      <c r="Z134" s="960"/>
      <c r="AA134" s="961"/>
      <c r="AB134" s="962"/>
      <c r="AC134" s="137"/>
      <c r="AD134" s="960"/>
      <c r="AE134" s="961"/>
      <c r="AF134" s="732"/>
      <c r="AG134" s="137"/>
      <c r="AH134" s="137"/>
      <c r="AI134" s="137"/>
      <c r="AJ134" s="137"/>
      <c r="AK134" s="137"/>
      <c r="AL134" s="137"/>
      <c r="AM134" s="137"/>
      <c r="AN134" s="30">
        <f t="shared" si="42"/>
        <v>0</v>
      </c>
      <c r="AO134" s="312">
        <f t="shared" si="43"/>
        <v>0</v>
      </c>
      <c r="AP134" s="291">
        <f t="shared" si="44"/>
        <v>0</v>
      </c>
      <c r="AQ134" s="31">
        <f t="shared" si="45"/>
        <v>0</v>
      </c>
      <c r="AR134" s="4" t="e">
        <f>COUNTIF(V134:W134,"=  ")+COUNTIF(X134:AH134,"=  ")+COUNTIF(AJ134,"=  ")+COUNTIF(AL134,"=  ")+COUNTIF(#REF!,"=  ")+COUNTIF(#REF!,"=  ")+COUNTIF(#REF!,"=  ")</f>
        <v>#REF!</v>
      </c>
      <c r="AS134" s="101" t="e">
        <f>COUNTIF(Y134,"=  ")+COUNTIF(AI134,"=  ")+COUNTIF(AK134,"=  ")+COUNTIF(AM134,"=  ")+COUNTIF(AC134,"=  ")+COUNTIF(#REF!,"=  ")</f>
        <v>#REF!</v>
      </c>
    </row>
    <row r="135" spans="1:45" ht="12.75" customHeight="1" x14ac:dyDescent="0.2">
      <c r="A135" s="47">
        <v>89</v>
      </c>
      <c r="B135" s="141">
        <f t="shared" si="35"/>
        <v>88</v>
      </c>
      <c r="C135" s="139">
        <f t="shared" si="36"/>
        <v>10001</v>
      </c>
      <c r="D135" s="49" t="s">
        <v>151</v>
      </c>
      <c r="E135" s="141" t="str">
        <f t="shared" si="37"/>
        <v/>
      </c>
      <c r="F135" s="138">
        <f t="shared" si="38"/>
        <v>0</v>
      </c>
      <c r="G135" s="383" t="s">
        <v>151</v>
      </c>
      <c r="H135" s="141" t="str">
        <f t="shared" si="39"/>
        <v/>
      </c>
      <c r="I135" s="221">
        <f t="shared" si="40"/>
        <v>0</v>
      </c>
      <c r="J135" s="71">
        <f t="shared" si="41"/>
        <v>126</v>
      </c>
      <c r="K135" s="70">
        <v>126</v>
      </c>
      <c r="L135" s="53" t="s">
        <v>208</v>
      </c>
      <c r="M135" s="302">
        <v>1</v>
      </c>
      <c r="N135" s="141">
        <f t="array" ref="N135">(IF(COUNT(V135,X135,AG135,AI135,AK135,AM135)&lt;5,SUM(V135,X135,AG135,AI135,AK135,AM135),SUM(LARGE((V135,X135,AG135,AI135,AK135,AM135),{1;2;3;4;5}))))+(IF(COUNT(W135,Y135,AC135,AH135,AJ135,AL135)&lt;5,SUM(W135,Y135,AC135,AH135,AJ135,AL135),SUM(LARGE((W135,Y135,AC135,AH135,AJ135,AL135),{1;2;3;4;5}))))+U135</f>
        <v>1</v>
      </c>
      <c r="O135" s="796">
        <v>0</v>
      </c>
      <c r="P135" s="132">
        <f t="array" ref="P135">IF(S135="n",((IF(COUNT(V135,X135,AG135,AI135,AK135,AM135)&lt;5,SUM(V135,X135,AG135,AI135,AK135,AM135),SUM(LARGE((V135,X135,AG135,AI135,AK135,AM135),{1;2;3;4;5}))))+(IF(COUNT(W135,AA135,AE135,AH135,AJ135,AL135)&lt;5,SUM(W135,AA135,AE135,AH135,AJ135,AL135),SUM(LARGE((W135,AA135,AE135,AH135,AJ135,AL135),{1;2;3;4;5}))))+U135),0)</f>
        <v>0</v>
      </c>
      <c r="Q135" s="797">
        <v>0</v>
      </c>
      <c r="R135" s="132">
        <f t="array" ref="R135">IF(T135="j",((IF(COUNT(V135,X135,AG135,AI135,AK135,AM135)&lt;5,SUM(V135,X135,AG135,AI135,AK135,AM135),SUM(LARGE((V135,X135,AG135,AI135,AK135,AM135),{1;2;3;4;5}))))+(IF(COUNT(W135,AB135,AC135,AH135,AJ135,AL135)&lt;5,SUM(W135,AB135,AC135,AH135,AJ135,AL135),SUM(LARGE((W135,AB135,AC135,AH135,AJ135,AL135),{1;2;3;4;5}))))+U135),0)</f>
        <v>0</v>
      </c>
      <c r="S135" s="676"/>
      <c r="T135" s="676"/>
      <c r="U135" s="915">
        <v>1</v>
      </c>
      <c r="V135" s="316" t="s">
        <v>156</v>
      </c>
      <c r="W135" s="316" t="s">
        <v>156</v>
      </c>
      <c r="X135" s="137"/>
      <c r="Y135" s="137"/>
      <c r="Z135" s="960"/>
      <c r="AA135" s="961"/>
      <c r="AB135" s="962"/>
      <c r="AC135" s="137"/>
      <c r="AD135" s="960"/>
      <c r="AE135" s="961"/>
      <c r="AF135" s="732"/>
      <c r="AG135" s="137"/>
      <c r="AH135" s="137"/>
      <c r="AI135" s="137"/>
      <c r="AJ135" s="137"/>
      <c r="AK135" s="137"/>
      <c r="AL135" s="137"/>
      <c r="AM135" s="137"/>
      <c r="AN135" s="30">
        <f t="shared" si="42"/>
        <v>0</v>
      </c>
      <c r="AO135" s="312">
        <f t="shared" si="43"/>
        <v>0</v>
      </c>
      <c r="AP135" s="291">
        <f t="shared" si="44"/>
        <v>0</v>
      </c>
      <c r="AQ135" s="31">
        <f t="shared" si="45"/>
        <v>0</v>
      </c>
      <c r="AR135" s="4" t="e">
        <f>COUNTIF(V135:W135,"=  ")+COUNTIF(X135:AH135,"=  ")+COUNTIF(AJ135,"=  ")+COUNTIF(AL135,"=  ")+COUNTIF(#REF!,"=  ")+COUNTIF(#REF!,"=  ")+COUNTIF(#REF!,"=  ")</f>
        <v>#REF!</v>
      </c>
      <c r="AS135" s="101" t="e">
        <f>COUNTIF(Y135,"=  ")+COUNTIF(AI135,"=  ")+COUNTIF(AK135,"=  ")+COUNTIF(AM135,"=  ")+COUNTIF(AC135,"=  ")+COUNTIF(#REF!,"=  ")</f>
        <v>#REF!</v>
      </c>
    </row>
    <row r="136" spans="1:45" ht="12.75" customHeight="1" x14ac:dyDescent="0.2">
      <c r="A136" s="47">
        <v>89</v>
      </c>
      <c r="B136" s="141">
        <f t="shared" si="35"/>
        <v>88</v>
      </c>
      <c r="C136" s="139">
        <f t="shared" si="36"/>
        <v>10001</v>
      </c>
      <c r="D136" s="49" t="s">
        <v>151</v>
      </c>
      <c r="E136" s="141" t="str">
        <f t="shared" si="37"/>
        <v/>
      </c>
      <c r="F136" s="138">
        <f t="shared" si="38"/>
        <v>0</v>
      </c>
      <c r="G136" s="383" t="s">
        <v>151</v>
      </c>
      <c r="H136" s="141" t="str">
        <f t="shared" si="39"/>
        <v/>
      </c>
      <c r="I136" s="221">
        <f t="shared" si="40"/>
        <v>0</v>
      </c>
      <c r="J136" s="71">
        <f t="shared" si="41"/>
        <v>126</v>
      </c>
      <c r="K136" s="70">
        <v>126</v>
      </c>
      <c r="L136" s="263" t="s">
        <v>83</v>
      </c>
      <c r="M136" s="70">
        <v>1</v>
      </c>
      <c r="N136" s="141">
        <f t="array" ref="N136">(IF(COUNT(V136,X136,AG136,AI136,AK136,AM136)&lt;5,SUM(V136,X136,AG136,AI136,AK136,AM136),SUM(LARGE((V136,X136,AG136,AI136,AK136,AM136),{1;2;3;4;5}))))+(IF(COUNT(W136,Y136,AC136,AH136,AJ136,AL136)&lt;5,SUM(W136,Y136,AC136,AH136,AJ136,AL136),SUM(LARGE((W136,Y136,AC136,AH136,AJ136,AL136),{1;2;3;4;5}))))+U136</f>
        <v>1</v>
      </c>
      <c r="O136" s="796">
        <v>0</v>
      </c>
      <c r="P136" s="132">
        <f t="array" ref="P136">IF(S136="n",((IF(COUNT(V136,X136,AG136,AI136,AK136,AM136)&lt;5,SUM(V136,X136,AG136,AI136,AK136,AM136),SUM(LARGE((V136,X136,AG136,AI136,AK136,AM136),{1;2;3;4;5}))))+(IF(COUNT(W136,AA136,AE136,AH136,AJ136,AL136)&lt;5,SUM(W136,AA136,AE136,AH136,AJ136,AL136),SUM(LARGE((W136,AA136,AE136,AH136,AJ136,AL136),{1;2;3;4;5}))))+U136),0)</f>
        <v>0</v>
      </c>
      <c r="Q136" s="797">
        <v>0</v>
      </c>
      <c r="R136" s="132">
        <f t="array" ref="R136">IF(T136="j",((IF(COUNT(V136,X136,AG136,AI136,AK136,AM136)&lt;5,SUM(V136,X136,AG136,AI136,AK136,AM136),SUM(LARGE((V136,X136,AG136,AI136,AK136,AM136),{1;2;3;4;5}))))+(IF(COUNT(W136,AB136,AC136,AH136,AJ136,AL136)&lt;5,SUM(W136,AB136,AC136,AH136,AJ136,AL136),SUM(LARGE((W136,AB136,AC136,AH136,AJ136,AL136),{1;2;3;4;5}))))+U136),0)</f>
        <v>0</v>
      </c>
      <c r="S136" s="676"/>
      <c r="T136" s="676"/>
      <c r="U136" s="915">
        <v>1</v>
      </c>
      <c r="V136" s="316" t="s">
        <v>602</v>
      </c>
      <c r="W136" s="316" t="s">
        <v>156</v>
      </c>
      <c r="X136" s="137"/>
      <c r="Y136" s="137"/>
      <c r="Z136" s="960"/>
      <c r="AA136" s="961"/>
      <c r="AB136" s="962"/>
      <c r="AC136" s="137"/>
      <c r="AD136" s="960"/>
      <c r="AE136" s="961"/>
      <c r="AF136" s="732"/>
      <c r="AG136" s="137"/>
      <c r="AH136" s="137"/>
      <c r="AI136" s="137"/>
      <c r="AJ136" s="137"/>
      <c r="AK136" s="137"/>
      <c r="AL136" s="137"/>
      <c r="AM136" s="137"/>
      <c r="AN136" s="30">
        <f t="shared" si="42"/>
        <v>0</v>
      </c>
      <c r="AO136" s="312">
        <f t="shared" si="43"/>
        <v>0</v>
      </c>
      <c r="AP136" s="291">
        <f t="shared" si="44"/>
        <v>0</v>
      </c>
      <c r="AQ136" s="31">
        <f t="shared" si="45"/>
        <v>0</v>
      </c>
      <c r="AR136" s="4" t="e">
        <f>COUNTIF(V136:W136,"=  ")+COUNTIF(X136:AH136,"=  ")+COUNTIF(AJ136,"=  ")+COUNTIF(AL136,"=  ")+COUNTIF(#REF!,"=  ")+COUNTIF(#REF!,"=  ")+COUNTIF(#REF!,"=  ")</f>
        <v>#REF!</v>
      </c>
      <c r="AS136" s="101" t="e">
        <f>COUNTIF(Y136,"=  ")+COUNTIF(AI136,"=  ")+COUNTIF(AK136,"=  ")+COUNTIF(AM136,"=  ")+COUNTIF(AC136,"=  ")+COUNTIF(#REF!,"=  ")</f>
        <v>#REF!</v>
      </c>
    </row>
    <row r="137" spans="1:45" ht="12.75" customHeight="1" x14ac:dyDescent="0.2">
      <c r="A137" s="47">
        <v>89</v>
      </c>
      <c r="B137" s="141">
        <f t="shared" ref="B137:B143" si="46">IF(N137=0,"",IF(S137="n","",RANK(C137,C$9:C$161,0)))</f>
        <v>88</v>
      </c>
      <c r="C137" s="139">
        <f t="shared" ref="C137:C161" si="47">IF(S137="n",0,N137+10000)</f>
        <v>10001</v>
      </c>
      <c r="D137" s="49" t="s">
        <v>151</v>
      </c>
      <c r="E137" s="141" t="str">
        <f t="shared" ref="E137:E161" si="48">IF(S137="n",RANK(F137,F$9:F$161,0),"")</f>
        <v/>
      </c>
      <c r="F137" s="138">
        <f t="shared" ref="F137:F161" si="49">IF(AND((T137="j"),(S137="n")),N137+10000,IF((S137="n"),P137+10000,0))</f>
        <v>0</v>
      </c>
      <c r="G137" s="383" t="s">
        <v>151</v>
      </c>
      <c r="H137" s="141" t="str">
        <f t="shared" ref="H137:H161" si="50">IF(T137="j",RANK(I137,I$9:I$161,0),"")</f>
        <v/>
      </c>
      <c r="I137" s="221">
        <f t="shared" ref="I137:I161" si="51">IF((T137="j"),R137+10000,0)</f>
        <v>0</v>
      </c>
      <c r="J137" s="71">
        <f t="shared" ref="J137:J161" si="52">RANK(N137,$N$9:$N$161,0)</f>
        <v>126</v>
      </c>
      <c r="K137" s="70">
        <v>126</v>
      </c>
      <c r="L137" s="978" t="s">
        <v>722</v>
      </c>
      <c r="M137" s="302">
        <v>1</v>
      </c>
      <c r="N137" s="141">
        <f t="array" ref="N137">(IF(COUNT(V137,X137,AG137,AI137,AK137,AM137)&lt;5,SUM(V137,X137,AG137,AI137,AK137,AM137),SUM(LARGE((V137,X137,AG137,AI137,AK137,AM137),{1;2;3;4;5}))))+(IF(COUNT(W137,Y137,AC137,AH137,AJ137,AL137)&lt;5,SUM(W137,Y137,AC137,AH137,AJ137,AL137),SUM(LARGE((W137,Y137,AC137,AH137,AJ137,AL137),{1;2;3;4;5}))))+U137</f>
        <v>1</v>
      </c>
      <c r="O137" s="796">
        <v>0</v>
      </c>
      <c r="P137" s="132">
        <f t="array" ref="P137">IF(S137="n",((IF(COUNT(V137,X137,AG137,AI137,AK137,AM137)&lt;5,SUM(V137,X137,AG137,AI137,AK137,AM137),SUM(LARGE((V137,X137,AG137,AI137,AK137,AM137),{1;2;3;4;5}))))+(IF(COUNT(W137,AA137,AE137,AH137,AJ137,AL137)&lt;5,SUM(W137,AA137,AE137,AH137,AJ137,AL137),SUM(LARGE((W137,AA137,AE137,AH137,AJ137,AL137),{1;2;3;4;5}))))+U137),0)</f>
        <v>0</v>
      </c>
      <c r="Q137" s="797">
        <v>0</v>
      </c>
      <c r="R137" s="132">
        <f t="array" ref="R137">IF(T137="j",((IF(COUNT(V137,X137,AG137,AI137,AK137,AM137)&lt;5,SUM(V137,X137,AG137,AI137,AK137,AM137),SUM(LARGE((V137,X137,AG137,AI137,AK137,AM137),{1;2;3;4;5}))))+(IF(COUNT(W137,AB137,AC137,AH137,AJ137,AL137)&lt;5,SUM(W137,AB137,AC137,AH137,AJ137,AL137),SUM(LARGE((W137,AB137,AC137,AH137,AJ137,AL137),{1;2;3;4;5}))))+U137),0)</f>
        <v>0</v>
      </c>
      <c r="S137" s="676"/>
      <c r="T137" s="676"/>
      <c r="U137" s="979">
        <v>1</v>
      </c>
      <c r="V137" s="316" t="s">
        <v>156</v>
      </c>
      <c r="W137" s="316" t="s">
        <v>156</v>
      </c>
      <c r="X137" s="137"/>
      <c r="Y137" s="137"/>
      <c r="Z137" s="960"/>
      <c r="AA137" s="961"/>
      <c r="AB137" s="962"/>
      <c r="AC137" s="137"/>
      <c r="AD137" s="960"/>
      <c r="AE137" s="961"/>
      <c r="AF137" s="732"/>
      <c r="AG137" s="137"/>
      <c r="AH137" s="137"/>
      <c r="AI137" s="137"/>
      <c r="AJ137" s="137"/>
      <c r="AK137" s="137"/>
      <c r="AL137" s="137"/>
      <c r="AM137" s="137"/>
      <c r="AN137" s="30">
        <f t="shared" ref="AN137:AN161" si="53">COUNTIF(V137:Y137,"&gt;=0")+COUNTIF(AC137,"&gt;=0")+COUNTIF(AG137:AM137,"&gt;=0")</f>
        <v>0</v>
      </c>
      <c r="AO137" s="312">
        <f t="shared" ref="AO137:AO161" si="54">COUNTIF(V137,"&gt;=97")+COUNTIF(X137,"&gt;=97")+COUNTIF(AG137,"&gt;=97")+COUNTIF(AI137,"&gt;=97")+COUNTIF(AK137,"&gt;=97")+COUNTIF(AM137,"&gt;=97")+COUNTIF(W137,"&gt;=146")+COUNTIF(Y137,"&gt;=146")+COUNTIF(AC137,"&gt;=146")+COUNTIF(AH137,"&gt;=146")+COUNTIF(AJ137,"&gt;=146")+COUNTIF(AL137,"&gt;=146")+IF((S137="n"),(COUNTIF(Y137,"=83")+COUNTIF(Y137,"=93")+COUNTIF(Y137,"=105")+COUNTIF(AC137,"=83")+COUNTIF(AC137,"=93")+COUNTIF(AC137,"=105")))+IF((T137="j"),(COUNTIF(Y137,"=33")+COUNTIF(Y137,"=42")+COUNTIF(Y137,"=53")+COUNTIF(AC137,"=33")+COUNTIF(AC137,"=42")+COUNTIF(AC137,"=53")))</f>
        <v>0</v>
      </c>
      <c r="AP137" s="291">
        <f t="shared" ref="AP137:AP161" si="55">COUNTIF(V137,"=115")+COUNTIF(X137,"=115")+COUNTIF(AG137,"=115")+COUNTIF(AI137,"=115")+COUNTIF(AK137,"=115")+COUNTIF(AM137,"=115")+COUNTIF(V137:AM137,"=173")</f>
        <v>0</v>
      </c>
      <c r="AQ137" s="31">
        <f t="shared" ref="AQ137:AQ161" si="56">COUNTIF(V137:X137,"=173")+COUNTIF(Z137:AB137,"=173")+COUNTIF(AD137:AM137,"=173")</f>
        <v>0</v>
      </c>
      <c r="AR137" s="4" t="e">
        <f>COUNTIF(V137:W137,"=  ")+COUNTIF(X137:AH137,"=  ")+COUNTIF(AJ137,"=  ")+COUNTIF(AL137,"=  ")+COUNTIF(#REF!,"=  ")+COUNTIF(#REF!,"=  ")+COUNTIF(#REF!,"=  ")</f>
        <v>#REF!</v>
      </c>
      <c r="AS137" s="101" t="e">
        <f>COUNTIF(Y137,"=  ")+COUNTIF(AI137,"=  ")+COUNTIF(AK137,"=  ")+COUNTIF(AM137,"=  ")+COUNTIF(AC137,"=  ")+COUNTIF(#REF!,"=  ")</f>
        <v>#REF!</v>
      </c>
    </row>
    <row r="138" spans="1:45" ht="12.75" customHeight="1" x14ac:dyDescent="0.2">
      <c r="A138" s="47" t="s">
        <v>151</v>
      </c>
      <c r="B138" s="141" t="str">
        <f t="shared" si="46"/>
        <v/>
      </c>
      <c r="C138" s="139">
        <f t="shared" si="47"/>
        <v>0</v>
      </c>
      <c r="D138" s="49">
        <v>39</v>
      </c>
      <c r="E138" s="141">
        <f t="shared" si="48"/>
        <v>39</v>
      </c>
      <c r="F138" s="138">
        <f t="shared" si="49"/>
        <v>10001</v>
      </c>
      <c r="G138" s="383" t="s">
        <v>151</v>
      </c>
      <c r="H138" s="141" t="str">
        <f t="shared" si="50"/>
        <v/>
      </c>
      <c r="I138" s="221">
        <f t="shared" si="51"/>
        <v>0</v>
      </c>
      <c r="J138" s="71">
        <f t="shared" si="52"/>
        <v>126</v>
      </c>
      <c r="K138" s="70">
        <v>126</v>
      </c>
      <c r="L138" s="54" t="s">
        <v>326</v>
      </c>
      <c r="M138" s="302">
        <v>1</v>
      </c>
      <c r="N138" s="141">
        <f t="array" ref="N138">(IF(COUNT(V138,X138,AG138,AI138,AK138,AM138)&lt;5,SUM(V138,X138,AG138,AI138,AK138,AM138),SUM(LARGE((V138,X138,AG138,AI138,AK138,AM138),{1;2;3;4;5}))))+(IF(COUNT(W138,Y138,AC138,AH138,AJ138,AL138)&lt;5,SUM(W138,Y138,AC138,AH138,AJ138,AL138),SUM(LARGE((W138,Y138,AC138,AH138,AJ138,AL138),{1;2;3;4;5}))))+U138</f>
        <v>1</v>
      </c>
      <c r="O138" s="796">
        <v>1</v>
      </c>
      <c r="P138" s="132">
        <f t="array" ref="P138">IF(S138="n",((IF(COUNT(V138,X138,AG138,AI138,AK138,AM138)&lt;5,SUM(V138,X138,AG138,AI138,AK138,AM138),SUM(LARGE((V138,X138,AG138,AI138,AK138,AM138),{1;2;3;4;5}))))+(IF(COUNT(W138,AA138,AE138,AH138,AJ138,AL138)&lt;5,SUM(W138,AA138,AE138,AH138,AJ138,AL138),SUM(LARGE((W138,AA138,AE138,AH138,AJ138,AL138),{1;2;3;4;5}))))+U138),0)</f>
        <v>1</v>
      </c>
      <c r="Q138" s="797">
        <v>0</v>
      </c>
      <c r="R138" s="132">
        <f t="array" ref="R138">IF(T138="j",((IF(COUNT(V138,X138,AG138,AI138,AK138,AM138)&lt;5,SUM(V138,X138,AG138,AI138,AK138,AM138),SUM(LARGE((V138,X138,AG138,AI138,AK138,AM138),{1;2;3;4;5}))))+(IF(COUNT(W138,AB138,AC138,AH138,AJ138,AL138)&lt;5,SUM(W138,AB138,AC138,AH138,AJ138,AL138),SUM(LARGE((W138,AB138,AC138,AH138,AJ138,AL138),{1;2;3;4;5}))))+U138),0)</f>
        <v>0</v>
      </c>
      <c r="S138" s="676" t="s">
        <v>33</v>
      </c>
      <c r="T138" s="676"/>
      <c r="U138" s="915">
        <v>1</v>
      </c>
      <c r="V138" s="316" t="s">
        <v>156</v>
      </c>
      <c r="W138" s="316" t="s">
        <v>156</v>
      </c>
      <c r="X138" s="137"/>
      <c r="Y138" s="137"/>
      <c r="Z138" s="960"/>
      <c r="AA138" s="961"/>
      <c r="AB138" s="962"/>
      <c r="AC138" s="137"/>
      <c r="AD138" s="960"/>
      <c r="AE138" s="961"/>
      <c r="AF138" s="732"/>
      <c r="AG138" s="137"/>
      <c r="AH138" s="137"/>
      <c r="AI138" s="137"/>
      <c r="AJ138" s="137"/>
      <c r="AK138" s="137"/>
      <c r="AL138" s="137"/>
      <c r="AM138" s="137"/>
      <c r="AN138" s="30">
        <f t="shared" si="53"/>
        <v>0</v>
      </c>
      <c r="AO138" s="312">
        <f t="shared" si="54"/>
        <v>0</v>
      </c>
      <c r="AP138" s="291">
        <f t="shared" si="55"/>
        <v>0</v>
      </c>
      <c r="AQ138" s="31">
        <f t="shared" si="56"/>
        <v>0</v>
      </c>
      <c r="AR138" s="4" t="e">
        <f>COUNTIF(V138:W138,"=  ")+COUNTIF(X138:AH138,"=  ")+COUNTIF(AJ138,"=  ")+COUNTIF(AL138,"=  ")+COUNTIF(#REF!,"=  ")+COUNTIF(#REF!,"=  ")+COUNTIF(#REF!,"=  ")</f>
        <v>#REF!</v>
      </c>
      <c r="AS138" s="101" t="e">
        <f>COUNTIF(Y138,"=  ")+COUNTIF(AI138,"=  ")+COUNTIF(AK138,"=  ")+COUNTIF(AM138,"=  ")+COUNTIF(AC138,"=  ")+COUNTIF(#REF!,"=  ")</f>
        <v>#REF!</v>
      </c>
    </row>
    <row r="139" spans="1:45" ht="12.75" customHeight="1" x14ac:dyDescent="0.2">
      <c r="A139" s="47">
        <v>89</v>
      </c>
      <c r="B139" s="141">
        <f t="shared" si="46"/>
        <v>88</v>
      </c>
      <c r="C139" s="139">
        <f t="shared" si="47"/>
        <v>10001</v>
      </c>
      <c r="D139" s="49" t="s">
        <v>151</v>
      </c>
      <c r="E139" s="141" t="str">
        <f t="shared" si="48"/>
        <v/>
      </c>
      <c r="F139" s="138">
        <f t="shared" si="49"/>
        <v>0</v>
      </c>
      <c r="G139" s="383" t="s">
        <v>151</v>
      </c>
      <c r="H139" s="141" t="str">
        <f t="shared" si="50"/>
        <v/>
      </c>
      <c r="I139" s="221">
        <f t="shared" si="51"/>
        <v>0</v>
      </c>
      <c r="J139" s="71">
        <f t="shared" si="52"/>
        <v>126</v>
      </c>
      <c r="K139" s="70">
        <v>126</v>
      </c>
      <c r="L139" s="44" t="s">
        <v>343</v>
      </c>
      <c r="M139" s="377">
        <v>1</v>
      </c>
      <c r="N139" s="141">
        <f t="array" ref="N139">(IF(COUNT(V139,X139,AG139,AI139,AK139,AM139)&lt;5,SUM(V139,X139,AG139,AI139,AK139,AM139),SUM(LARGE((V139,X139,AG139,AI139,AK139,AM139),{1;2;3;4;5}))))+(IF(COUNT(W139,Y139,AC139,AH139,AJ139,AL139)&lt;5,SUM(W139,Y139,AC139,AH139,AJ139,AL139),SUM(LARGE((W139,Y139,AC139,AH139,AJ139,AL139),{1;2;3;4;5}))))+U139</f>
        <v>1</v>
      </c>
      <c r="O139" s="796">
        <v>0</v>
      </c>
      <c r="P139" s="132">
        <f t="array" ref="P139">IF(S139="n",((IF(COUNT(V139,X139,AG139,AI139,AK139,AM139)&lt;5,SUM(V139,X139,AG139,AI139,AK139,AM139),SUM(LARGE((V139,X139,AG139,AI139,AK139,AM139),{1;2;3;4;5}))))+(IF(COUNT(W139,AA139,AE139,AH139,AJ139,AL139)&lt;5,SUM(W139,AA139,AE139,AH139,AJ139,AL139),SUM(LARGE((W139,AA139,AE139,AH139,AJ139,AL139),{1;2;3;4;5}))))+U139),0)</f>
        <v>0</v>
      </c>
      <c r="Q139" s="797">
        <v>0</v>
      </c>
      <c r="R139" s="132">
        <f t="array" ref="R139">IF(T139="j",((IF(COUNT(V139,X139,AG139,AI139,AK139,AM139)&lt;5,SUM(V139,X139,AG139,AI139,AK139,AM139),SUM(LARGE((V139,X139,AG139,AI139,AK139,AM139),{1;2;3;4;5}))))+(IF(COUNT(W139,AB139,AC139,AH139,AJ139,AL139)&lt;5,SUM(W139,AB139,AC139,AH139,AJ139,AL139),SUM(LARGE((W139,AB139,AC139,AH139,AJ139,AL139),{1;2;3;4;5}))))+U139),0)</f>
        <v>0</v>
      </c>
      <c r="S139" s="676"/>
      <c r="T139" s="676"/>
      <c r="U139" s="915">
        <v>1</v>
      </c>
      <c r="V139" s="316" t="s">
        <v>156</v>
      </c>
      <c r="W139" s="316" t="s">
        <v>156</v>
      </c>
      <c r="X139" s="137"/>
      <c r="Y139" s="137"/>
      <c r="Z139" s="960"/>
      <c r="AA139" s="961"/>
      <c r="AB139" s="962"/>
      <c r="AC139" s="137"/>
      <c r="AD139" s="960"/>
      <c r="AE139" s="961"/>
      <c r="AF139" s="732"/>
      <c r="AG139" s="137"/>
      <c r="AH139" s="137"/>
      <c r="AI139" s="137"/>
      <c r="AJ139" s="137"/>
      <c r="AK139" s="137"/>
      <c r="AL139" s="137"/>
      <c r="AM139" s="137"/>
      <c r="AN139" s="30">
        <f t="shared" si="53"/>
        <v>0</v>
      </c>
      <c r="AO139" s="312">
        <f t="shared" si="54"/>
        <v>0</v>
      </c>
      <c r="AP139" s="291">
        <f t="shared" si="55"/>
        <v>0</v>
      </c>
      <c r="AQ139" s="31">
        <f t="shared" si="56"/>
        <v>0</v>
      </c>
      <c r="AR139" s="4" t="e">
        <f>COUNTIF(V139:W139,"=  ")+COUNTIF(X139:AH139,"=  ")+COUNTIF(AJ139,"=  ")+COUNTIF(AL139,"=  ")+COUNTIF(#REF!,"=  ")+COUNTIF(#REF!,"=  ")+COUNTIF(#REF!,"=  ")</f>
        <v>#REF!</v>
      </c>
      <c r="AS139" s="101" t="e">
        <f>COUNTIF(Y139,"=  ")+COUNTIF(AI139,"=  ")+COUNTIF(AK139,"=  ")+COUNTIF(AM139,"=  ")+COUNTIF(AC139,"=  ")+COUNTIF(#REF!,"=  ")</f>
        <v>#REF!</v>
      </c>
    </row>
    <row r="140" spans="1:45" ht="12.75" customHeight="1" x14ac:dyDescent="0.2">
      <c r="A140" s="47">
        <v>89</v>
      </c>
      <c r="B140" s="141">
        <f t="shared" si="46"/>
        <v>88</v>
      </c>
      <c r="C140" s="139">
        <f t="shared" si="47"/>
        <v>10001</v>
      </c>
      <c r="D140" s="49" t="s">
        <v>151</v>
      </c>
      <c r="E140" s="141" t="str">
        <f t="shared" si="48"/>
        <v/>
      </c>
      <c r="F140" s="138">
        <f t="shared" si="49"/>
        <v>0</v>
      </c>
      <c r="G140" s="383" t="s">
        <v>151</v>
      </c>
      <c r="H140" s="141" t="str">
        <f t="shared" si="50"/>
        <v/>
      </c>
      <c r="I140" s="221">
        <f t="shared" si="51"/>
        <v>0</v>
      </c>
      <c r="J140" s="71">
        <f t="shared" si="52"/>
        <v>126</v>
      </c>
      <c r="K140" s="70">
        <v>126</v>
      </c>
      <c r="L140" s="211" t="s">
        <v>330</v>
      </c>
      <c r="M140" s="70">
        <v>1</v>
      </c>
      <c r="N140" s="141">
        <f t="array" ref="N140">(IF(COUNT(V140,X140,AG140,AI140,AK140,AM140)&lt;5,SUM(V140,X140,AG140,AI140,AK140,AM140),SUM(LARGE((V140,X140,AG140,AI140,AK140,AM140),{1;2;3;4;5}))))+(IF(COUNT(W140,Y140,AC140,AH140,AJ140,AL140)&lt;5,SUM(W140,Y140,AC140,AH140,AJ140,AL140),SUM(LARGE((W140,Y140,AC140,AH140,AJ140,AL140),{1;2;3;4;5}))))+U140</f>
        <v>1</v>
      </c>
      <c r="O140" s="796">
        <v>0</v>
      </c>
      <c r="P140" s="132">
        <f t="array" ref="P140">IF(S140="n",((IF(COUNT(V140,X140,AG140,AI140,AK140,AM140)&lt;5,SUM(V140,X140,AG140,AI140,AK140,AM140),SUM(LARGE((V140,X140,AG140,AI140,AK140,AM140),{1;2;3;4;5}))))+(IF(COUNT(W140,AA140,AE140,AH140,AJ140,AL140)&lt;5,SUM(W140,AA140,AE140,AH140,AJ140,AL140),SUM(LARGE((W140,AA140,AE140,AH140,AJ140,AL140),{1;2;3;4;5}))))+U140),0)</f>
        <v>0</v>
      </c>
      <c r="Q140" s="797">
        <v>0</v>
      </c>
      <c r="R140" s="132">
        <f t="array" ref="R140">IF(T140="j",((IF(COUNT(V140,X140,AG140,AI140,AK140,AM140)&lt;5,SUM(V140,X140,AG140,AI140,AK140,AM140),SUM(LARGE((V140,X140,AG140,AI140,AK140,AM140),{1;2;3;4;5}))))+(IF(COUNT(W140,AB140,AC140,AH140,AJ140,AL140)&lt;5,SUM(W140,AB140,AC140,AH140,AJ140,AL140),SUM(LARGE((W140,AB140,AC140,AH140,AJ140,AL140),{1;2;3;4;5}))))+U140),0)</f>
        <v>0</v>
      </c>
      <c r="S140" s="676"/>
      <c r="T140" s="676"/>
      <c r="U140" s="915">
        <v>1</v>
      </c>
      <c r="V140" s="316" t="s">
        <v>156</v>
      </c>
      <c r="W140" s="316" t="s">
        <v>156</v>
      </c>
      <c r="X140" s="137"/>
      <c r="Y140" s="137"/>
      <c r="Z140" s="960"/>
      <c r="AA140" s="961"/>
      <c r="AB140" s="962"/>
      <c r="AC140" s="137"/>
      <c r="AD140" s="960"/>
      <c r="AE140" s="961"/>
      <c r="AF140" s="732"/>
      <c r="AG140" s="137"/>
      <c r="AH140" s="137"/>
      <c r="AI140" s="137"/>
      <c r="AJ140" s="137"/>
      <c r="AK140" s="137"/>
      <c r="AL140" s="137"/>
      <c r="AM140" s="137"/>
      <c r="AN140" s="30">
        <f t="shared" si="53"/>
        <v>0</v>
      </c>
      <c r="AO140" s="312">
        <f t="shared" si="54"/>
        <v>0</v>
      </c>
      <c r="AP140" s="291">
        <f t="shared" si="55"/>
        <v>0</v>
      </c>
      <c r="AQ140" s="31">
        <f t="shared" si="56"/>
        <v>0</v>
      </c>
      <c r="AR140" s="4" t="e">
        <f>COUNTIF(V140:W140,"=  ")+COUNTIF(X140:AH140,"=  ")+COUNTIF(AJ140,"=  ")+COUNTIF(AL140,"=  ")+COUNTIF(#REF!,"=  ")+COUNTIF(#REF!,"=  ")+COUNTIF(#REF!,"=  ")</f>
        <v>#REF!</v>
      </c>
      <c r="AS140" s="101" t="e">
        <f>COUNTIF(Y140,"=  ")+COUNTIF(AI140,"=  ")+COUNTIF(AK140,"=  ")+COUNTIF(AM140,"=  ")+COUNTIF(AC140,"=  ")+COUNTIF(#REF!,"=  ")</f>
        <v>#REF!</v>
      </c>
    </row>
    <row r="141" spans="1:45" ht="12.75" customHeight="1" x14ac:dyDescent="0.2">
      <c r="A141" s="47">
        <v>89</v>
      </c>
      <c r="B141" s="141">
        <f t="shared" si="46"/>
        <v>88</v>
      </c>
      <c r="C141" s="139">
        <f t="shared" si="47"/>
        <v>10001</v>
      </c>
      <c r="D141" s="49" t="s">
        <v>151</v>
      </c>
      <c r="E141" s="141" t="str">
        <f t="shared" si="48"/>
        <v/>
      </c>
      <c r="F141" s="138">
        <f t="shared" si="49"/>
        <v>0</v>
      </c>
      <c r="G141" s="383" t="s">
        <v>151</v>
      </c>
      <c r="H141" s="141" t="str">
        <f t="shared" si="50"/>
        <v/>
      </c>
      <c r="I141" s="221">
        <f t="shared" si="51"/>
        <v>0</v>
      </c>
      <c r="J141" s="71">
        <f t="shared" si="52"/>
        <v>126</v>
      </c>
      <c r="K141" s="70">
        <v>126</v>
      </c>
      <c r="L141" s="263" t="s">
        <v>336</v>
      </c>
      <c r="M141" s="70">
        <v>1</v>
      </c>
      <c r="N141" s="141">
        <f t="array" ref="N141">(IF(COUNT(V141,X141,AG141,AI141,AK141,AM141)&lt;5,SUM(V141,X141,AG141,AI141,AK141,AM141),SUM(LARGE((V141,X141,AG141,AI141,AK141,AM141),{1;2;3;4;5}))))+(IF(COUNT(W141,Y141,AC141,AH141,AJ141,AL141)&lt;5,SUM(W141,Y141,AC141,AH141,AJ141,AL141),SUM(LARGE((W141,Y141,AC141,AH141,AJ141,AL141),{1;2;3;4;5}))))+U141</f>
        <v>1</v>
      </c>
      <c r="O141" s="796">
        <v>0</v>
      </c>
      <c r="P141" s="132">
        <f t="array" ref="P141">IF(S141="n",((IF(COUNT(V141,X141,AG141,AI141,AK141,AM141)&lt;5,SUM(V141,X141,AG141,AI141,AK141,AM141),SUM(LARGE((V141,X141,AG141,AI141,AK141,AM141),{1;2;3;4;5}))))+(IF(COUNT(W141,AA141,AE141,AH141,AJ141,AL141)&lt;5,SUM(W141,AA141,AE141,AH141,AJ141,AL141),SUM(LARGE((W141,AA141,AE141,AH141,AJ141,AL141),{1;2;3;4;5}))))+U141),0)</f>
        <v>0</v>
      </c>
      <c r="Q141" s="797">
        <v>0</v>
      </c>
      <c r="R141" s="132">
        <f t="array" ref="R141">IF(T141="j",((IF(COUNT(V141,X141,AG141,AI141,AK141,AM141)&lt;5,SUM(V141,X141,AG141,AI141,AK141,AM141),SUM(LARGE((V141,X141,AG141,AI141,AK141,AM141),{1;2;3;4;5}))))+(IF(COUNT(W141,AB141,AC141,AH141,AJ141,AL141)&lt;5,SUM(W141,AB141,AC141,AH141,AJ141,AL141),SUM(LARGE((W141,AB141,AC141,AH141,AJ141,AL141),{1;2;3;4;5}))))+U141),0)</f>
        <v>0</v>
      </c>
      <c r="S141" s="676"/>
      <c r="T141" s="676"/>
      <c r="U141" s="915">
        <v>1</v>
      </c>
      <c r="V141" s="316" t="s">
        <v>156</v>
      </c>
      <c r="W141" s="316" t="s">
        <v>156</v>
      </c>
      <c r="X141" s="137"/>
      <c r="Y141" s="137"/>
      <c r="Z141" s="960"/>
      <c r="AA141" s="961"/>
      <c r="AB141" s="962"/>
      <c r="AC141" s="137"/>
      <c r="AD141" s="960"/>
      <c r="AE141" s="961"/>
      <c r="AF141" s="732"/>
      <c r="AG141" s="137"/>
      <c r="AH141" s="137"/>
      <c r="AI141" s="137"/>
      <c r="AJ141" s="137"/>
      <c r="AK141" s="137"/>
      <c r="AL141" s="137"/>
      <c r="AM141" s="137"/>
      <c r="AN141" s="30">
        <f t="shared" si="53"/>
        <v>0</v>
      </c>
      <c r="AO141" s="312">
        <f t="shared" si="54"/>
        <v>0</v>
      </c>
      <c r="AP141" s="291">
        <f t="shared" si="55"/>
        <v>0</v>
      </c>
      <c r="AQ141" s="31">
        <f t="shared" si="56"/>
        <v>0</v>
      </c>
      <c r="AR141" s="4" t="e">
        <f>COUNTIF(V141:W141,"=  ")+COUNTIF(X141:AH141,"=  ")+COUNTIF(AJ141,"=  ")+COUNTIF(AL141,"=  ")+COUNTIF(#REF!,"=  ")+COUNTIF(#REF!,"=  ")+COUNTIF(#REF!,"=  ")</f>
        <v>#REF!</v>
      </c>
      <c r="AS141" s="101" t="e">
        <f>COUNTIF(Y141,"=  ")+COUNTIF(AI141,"=  ")+COUNTIF(AK141,"=  ")+COUNTIF(AM141,"=  ")+COUNTIF(AC141,"=  ")+COUNTIF(#REF!,"=  ")</f>
        <v>#REF!</v>
      </c>
    </row>
    <row r="142" spans="1:45" ht="12.75" customHeight="1" x14ac:dyDescent="0.2">
      <c r="A142" s="47" t="s">
        <v>151</v>
      </c>
      <c r="B142" s="141" t="str">
        <f t="shared" si="46"/>
        <v/>
      </c>
      <c r="C142" s="139">
        <f t="shared" si="47"/>
        <v>0</v>
      </c>
      <c r="D142" s="49">
        <v>39</v>
      </c>
      <c r="E142" s="141">
        <f t="shared" si="48"/>
        <v>39</v>
      </c>
      <c r="F142" s="138">
        <f t="shared" si="49"/>
        <v>10001</v>
      </c>
      <c r="G142" s="383" t="s">
        <v>151</v>
      </c>
      <c r="H142" s="141" t="str">
        <f t="shared" si="50"/>
        <v/>
      </c>
      <c r="I142" s="221">
        <f t="shared" si="51"/>
        <v>0</v>
      </c>
      <c r="J142" s="71">
        <f t="shared" si="52"/>
        <v>126</v>
      </c>
      <c r="K142" s="70">
        <v>126</v>
      </c>
      <c r="L142" s="51" t="s">
        <v>331</v>
      </c>
      <c r="M142" s="70">
        <v>1</v>
      </c>
      <c r="N142" s="141">
        <f t="array" ref="N142">(IF(COUNT(V142,X142,AG142,AI142,AK142,AM142)&lt;5,SUM(V142,X142,AG142,AI142,AK142,AM142),SUM(LARGE((V142,X142,AG142,AI142,AK142,AM142),{1;2;3;4;5}))))+(IF(COUNT(W142,Y142,AC142,AH142,AJ142,AL142)&lt;5,SUM(W142,Y142,AC142,AH142,AJ142,AL142),SUM(LARGE((W142,Y142,AC142,AH142,AJ142,AL142),{1;2;3;4;5}))))+U142</f>
        <v>1</v>
      </c>
      <c r="O142" s="796">
        <v>1</v>
      </c>
      <c r="P142" s="132">
        <f t="array" ref="P142">IF(S142="n",((IF(COUNT(V142,X142,AG142,AI142,AK142,AM142)&lt;5,SUM(V142,X142,AG142,AI142,AK142,AM142),SUM(LARGE((V142,X142,AG142,AI142,AK142,AM142),{1;2;3;4;5}))))+(IF(COUNT(W142,AA142,AE142,AH142,AJ142,AL142)&lt;5,SUM(W142,AA142,AE142,AH142,AJ142,AL142),SUM(LARGE((W142,AA142,AE142,AH142,AJ142,AL142),{1;2;3;4;5}))))+U142),0)</f>
        <v>1</v>
      </c>
      <c r="Q142" s="797">
        <v>0</v>
      </c>
      <c r="R142" s="132">
        <f t="array" ref="R142">IF(T142="j",((IF(COUNT(V142,X142,AG142,AI142,AK142,AM142)&lt;5,SUM(V142,X142,AG142,AI142,AK142,AM142),SUM(LARGE((V142,X142,AG142,AI142,AK142,AM142),{1;2;3;4;5}))))+(IF(COUNT(W142,AB142,AC142,AH142,AJ142,AL142)&lt;5,SUM(W142,AB142,AC142,AH142,AJ142,AL142),SUM(LARGE((W142,AB142,AC142,AH142,AJ142,AL142),{1;2;3;4;5}))))+U142),0)</f>
        <v>0</v>
      </c>
      <c r="S142" s="676" t="s">
        <v>33</v>
      </c>
      <c r="T142" s="676"/>
      <c r="U142" s="915">
        <v>1</v>
      </c>
      <c r="V142" s="316" t="s">
        <v>156</v>
      </c>
      <c r="W142" s="316" t="s">
        <v>156</v>
      </c>
      <c r="X142" s="137"/>
      <c r="Y142" s="137"/>
      <c r="Z142" s="960"/>
      <c r="AA142" s="961"/>
      <c r="AB142" s="962"/>
      <c r="AC142" s="137"/>
      <c r="AD142" s="960"/>
      <c r="AE142" s="961"/>
      <c r="AF142" s="732"/>
      <c r="AG142" s="137"/>
      <c r="AH142" s="137"/>
      <c r="AI142" s="137"/>
      <c r="AJ142" s="137"/>
      <c r="AK142" s="137"/>
      <c r="AL142" s="137"/>
      <c r="AM142" s="137"/>
      <c r="AN142" s="30">
        <f t="shared" si="53"/>
        <v>0</v>
      </c>
      <c r="AO142" s="312">
        <f t="shared" si="54"/>
        <v>0</v>
      </c>
      <c r="AP142" s="291">
        <f t="shared" si="55"/>
        <v>0</v>
      </c>
      <c r="AQ142" s="31">
        <f t="shared" si="56"/>
        <v>0</v>
      </c>
      <c r="AR142" s="4" t="e">
        <f>COUNTIF(V142:W142,"=  ")+COUNTIF(X142:AH142,"=  ")+COUNTIF(AJ142,"=  ")+COUNTIF(AL142,"=  ")+COUNTIF(#REF!,"=  ")+COUNTIF(#REF!,"=  ")+COUNTIF(#REF!,"=  ")</f>
        <v>#REF!</v>
      </c>
      <c r="AS142" s="101" t="e">
        <f>COUNTIF(Y142,"=  ")+COUNTIF(AI142,"=  ")+COUNTIF(AK142,"=  ")+COUNTIF(AM142,"=  ")+COUNTIF(AC142,"=  ")+COUNTIF(#REF!,"=  ")</f>
        <v>#REF!</v>
      </c>
    </row>
    <row r="143" spans="1:45" ht="12.75" customHeight="1" x14ac:dyDescent="0.2">
      <c r="A143" s="47" t="s">
        <v>151</v>
      </c>
      <c r="B143" s="141" t="str">
        <f t="shared" si="46"/>
        <v/>
      </c>
      <c r="C143" s="139">
        <f t="shared" si="47"/>
        <v>0</v>
      </c>
      <c r="D143" s="49">
        <v>39</v>
      </c>
      <c r="E143" s="141">
        <f t="shared" si="48"/>
        <v>39</v>
      </c>
      <c r="F143" s="138">
        <f t="shared" si="49"/>
        <v>10001</v>
      </c>
      <c r="G143" s="383" t="s">
        <v>151</v>
      </c>
      <c r="H143" s="141" t="str">
        <f t="shared" si="50"/>
        <v/>
      </c>
      <c r="I143" s="221">
        <f t="shared" si="51"/>
        <v>0</v>
      </c>
      <c r="J143" s="71">
        <f t="shared" si="52"/>
        <v>126</v>
      </c>
      <c r="K143" s="70">
        <v>126</v>
      </c>
      <c r="L143" s="50" t="s">
        <v>81</v>
      </c>
      <c r="M143" s="70">
        <v>1</v>
      </c>
      <c r="N143" s="141">
        <f t="array" ref="N143">(IF(COUNT(V143,X143,AG143,AI143,AK143,AM143)&lt;5,SUM(V143,X143,AG143,AI143,AK143,AM143),SUM(LARGE((V143,X143,AG143,AI143,AK143,AM143),{1;2;3;4;5}))))+(IF(COUNT(W143,Y143,AC143,AH143,AJ143,AL143)&lt;5,SUM(W143,Y143,AC143,AH143,AJ143,AL143),SUM(LARGE((W143,Y143,AC143,AH143,AJ143,AL143),{1;2;3;4;5}))))+U143</f>
        <v>1</v>
      </c>
      <c r="O143" s="796">
        <v>1</v>
      </c>
      <c r="P143" s="132">
        <f t="array" ref="P143">IF(S143="n",((IF(COUNT(V143,X143,AG143,AI143,AK143,AM143)&lt;5,SUM(V143,X143,AG143,AI143,AK143,AM143),SUM(LARGE((V143,X143,AG143,AI143,AK143,AM143),{1;2;3;4;5}))))+(IF(COUNT(W143,AA143,AE143,AH143,AJ143,AL143)&lt;5,SUM(W143,AA143,AE143,AH143,AJ143,AL143),SUM(LARGE((W143,AA143,AE143,AH143,AJ143,AL143),{1;2;3;4;5}))))+U143),0)</f>
        <v>1</v>
      </c>
      <c r="Q143" s="797">
        <v>0</v>
      </c>
      <c r="R143" s="132">
        <f t="array" ref="R143">IF(T143="j",((IF(COUNT(V143,X143,AG143,AI143,AK143,AM143)&lt;5,SUM(V143,X143,AG143,AI143,AK143,AM143),SUM(LARGE((V143,X143,AG143,AI143,AK143,AM143),{1;2;3;4;5}))))+(IF(COUNT(W143,AB143,AC143,AH143,AJ143,AL143)&lt;5,SUM(W143,AB143,AC143,AH143,AJ143,AL143),SUM(LARGE((W143,AB143,AC143,AH143,AJ143,AL143),{1;2;3;4;5}))))+U143),0)</f>
        <v>0</v>
      </c>
      <c r="S143" s="676" t="s">
        <v>33</v>
      </c>
      <c r="T143" s="676"/>
      <c r="U143" s="915">
        <v>1</v>
      </c>
      <c r="V143" s="316" t="s">
        <v>156</v>
      </c>
      <c r="W143" s="316" t="s">
        <v>156</v>
      </c>
      <c r="X143" s="137"/>
      <c r="Y143" s="137"/>
      <c r="Z143" s="960"/>
      <c r="AA143" s="961"/>
      <c r="AB143" s="962"/>
      <c r="AC143" s="137"/>
      <c r="AD143" s="960"/>
      <c r="AE143" s="961"/>
      <c r="AF143" s="732"/>
      <c r="AG143" s="137"/>
      <c r="AH143" s="137"/>
      <c r="AI143" s="137"/>
      <c r="AJ143" s="137"/>
      <c r="AK143" s="137"/>
      <c r="AL143" s="137"/>
      <c r="AM143" s="137"/>
      <c r="AN143" s="30">
        <f t="shared" si="53"/>
        <v>0</v>
      </c>
      <c r="AO143" s="312">
        <f t="shared" si="54"/>
        <v>0</v>
      </c>
      <c r="AP143" s="291">
        <f t="shared" si="55"/>
        <v>0</v>
      </c>
      <c r="AQ143" s="31">
        <f t="shared" si="56"/>
        <v>0</v>
      </c>
      <c r="AR143" s="4" t="e">
        <f>COUNTIF(V143:W143,"=  ")+COUNTIF(X143:AH143,"=  ")+COUNTIF(AJ143,"=  ")+COUNTIF(AL143,"=  ")+COUNTIF(#REF!,"=  ")+COUNTIF(#REF!,"=  ")+COUNTIF(#REF!,"=  ")</f>
        <v>#REF!</v>
      </c>
      <c r="AS143" s="101" t="e">
        <f>COUNTIF(Y143,"=  ")+COUNTIF(AI143,"=  ")+COUNTIF(AK143,"=  ")+COUNTIF(AM143,"=  ")+COUNTIF(AC143,"=  ")+COUNTIF(#REF!,"=  ")</f>
        <v>#REF!</v>
      </c>
    </row>
    <row r="144" spans="1:45" ht="12.75" customHeight="1" x14ac:dyDescent="0.2">
      <c r="A144" s="47">
        <v>59</v>
      </c>
      <c r="B144" s="141">
        <v>59</v>
      </c>
      <c r="C144" s="139">
        <f t="shared" si="47"/>
        <v>10001</v>
      </c>
      <c r="D144" s="49" t="s">
        <v>151</v>
      </c>
      <c r="E144" s="141" t="str">
        <f t="shared" si="48"/>
        <v/>
      </c>
      <c r="F144" s="138">
        <f t="shared" si="49"/>
        <v>0</v>
      </c>
      <c r="G144" s="383" t="s">
        <v>151</v>
      </c>
      <c r="H144" s="141" t="str">
        <f t="shared" si="50"/>
        <v/>
      </c>
      <c r="I144" s="221">
        <f t="shared" si="51"/>
        <v>0</v>
      </c>
      <c r="J144" s="71">
        <f t="shared" si="52"/>
        <v>126</v>
      </c>
      <c r="K144" s="70">
        <v>126</v>
      </c>
      <c r="L144" s="211" t="s">
        <v>43</v>
      </c>
      <c r="M144" s="70">
        <v>1</v>
      </c>
      <c r="N144" s="141">
        <f t="array" ref="N144">(IF(COUNT(V144,X144,AG144,AI144,AK144,AM144)&lt;5,SUM(V144,X144,AG144,AI144,AK144,AM144),SUM(LARGE((V144,X144,AG144,AI144,AK144,AM144),{1;2;3;4;5}))))+(IF(COUNT(W144,Y144,AC144,AH144,AJ144,AL144)&lt;5,SUM(W144,Y144,AC144,AH144,AJ144,AL144),SUM(LARGE((W144,Y144,AC144,AH144,AJ144,AL144),{1;2;3;4;5}))))+U144</f>
        <v>1</v>
      </c>
      <c r="O144" s="796">
        <v>0</v>
      </c>
      <c r="P144" s="132">
        <f t="array" ref="P144">IF(S144="n",((IF(COUNT(V144,X144,AG144,AI144,AK144,AM144)&lt;5,SUM(V144,X144,AG144,AI144,AK144,AM144),SUM(LARGE((V144,X144,AG144,AI144,AK144,AM144),{1;2;3;4;5}))))+(IF(COUNT(W144,AA144,AE144,AH144,AJ144,AL144)&lt;5,SUM(W144,AA144,AE144,AH144,AJ144,AL144),SUM(LARGE((W144,AA144,AE144,AH144,AJ144,AL144),{1;2;3;4;5}))))+U144),0)</f>
        <v>0</v>
      </c>
      <c r="Q144" s="797">
        <v>0</v>
      </c>
      <c r="R144" s="132">
        <f t="array" ref="R144">IF(T144="j",((IF(COUNT(V144,X144,AG144,AI144,AK144,AM144)&lt;5,SUM(V144,X144,AG144,AI144,AK144,AM144),SUM(LARGE((V144,X144,AG144,AI144,AK144,AM144),{1;2;3;4;5}))))+(IF(COUNT(W144,AB144,AC144,AH144,AJ144,AL144)&lt;5,SUM(W144,AB144,AC144,AH144,AJ144,AL144),SUM(LARGE((W144,AB144,AC144,AH144,AJ144,AL144),{1;2;3;4;5}))))+U144),0)</f>
        <v>0</v>
      </c>
      <c r="S144" s="676"/>
      <c r="T144" s="676"/>
      <c r="U144" s="915">
        <v>1</v>
      </c>
      <c r="V144" s="316" t="s">
        <v>156</v>
      </c>
      <c r="W144" s="316" t="s">
        <v>156</v>
      </c>
      <c r="X144" s="137"/>
      <c r="Y144" s="137"/>
      <c r="Z144" s="960"/>
      <c r="AA144" s="961"/>
      <c r="AB144" s="962"/>
      <c r="AC144" s="137"/>
      <c r="AD144" s="960"/>
      <c r="AE144" s="961"/>
      <c r="AF144" s="732"/>
      <c r="AG144" s="137"/>
      <c r="AH144" s="137"/>
      <c r="AI144" s="137"/>
      <c r="AJ144" s="137"/>
      <c r="AK144" s="137"/>
      <c r="AL144" s="137"/>
      <c r="AM144" s="137"/>
      <c r="AN144" s="30">
        <f t="shared" si="53"/>
        <v>0</v>
      </c>
      <c r="AO144" s="312">
        <f t="shared" si="54"/>
        <v>0</v>
      </c>
      <c r="AP144" s="291">
        <f t="shared" si="55"/>
        <v>0</v>
      </c>
      <c r="AQ144" s="31">
        <f t="shared" si="56"/>
        <v>0</v>
      </c>
      <c r="AR144" s="4" t="e">
        <f>COUNTIF(V144:W144,"=  ")+COUNTIF(X144:AH144,"=  ")+COUNTIF(AJ144,"=  ")+COUNTIF(AL144,"=  ")+COUNTIF(#REF!,"=  ")+COUNTIF(#REF!,"=  ")+COUNTIF(#REF!,"=  ")</f>
        <v>#REF!</v>
      </c>
      <c r="AS144" s="101" t="e">
        <f>COUNTIF(Y144,"=  ")+COUNTIF(AI144,"=  ")+COUNTIF(AK144,"=  ")+COUNTIF(AM144,"=  ")+COUNTIF(AC144,"=  ")+COUNTIF(#REF!,"=  ")</f>
        <v>#REF!</v>
      </c>
    </row>
    <row r="145" spans="1:45" ht="12.75" customHeight="1" x14ac:dyDescent="0.2">
      <c r="A145" s="47">
        <v>89</v>
      </c>
      <c r="B145" s="141">
        <f t="shared" ref="B145:B161" si="57">IF(N145=0,"",IF(S145="n","",RANK(C145,C$9:C$161,0)))</f>
        <v>88</v>
      </c>
      <c r="C145" s="139">
        <f t="shared" si="47"/>
        <v>10001</v>
      </c>
      <c r="D145" s="49" t="s">
        <v>151</v>
      </c>
      <c r="E145" s="141" t="str">
        <f t="shared" si="48"/>
        <v/>
      </c>
      <c r="F145" s="138">
        <f t="shared" si="49"/>
        <v>0</v>
      </c>
      <c r="G145" s="383" t="s">
        <v>151</v>
      </c>
      <c r="H145" s="141" t="str">
        <f t="shared" si="50"/>
        <v/>
      </c>
      <c r="I145" s="221">
        <f t="shared" si="51"/>
        <v>0</v>
      </c>
      <c r="J145" s="71">
        <f t="shared" si="52"/>
        <v>126</v>
      </c>
      <c r="K145" s="70">
        <v>126</v>
      </c>
      <c r="L145" s="263" t="s">
        <v>84</v>
      </c>
      <c r="M145" s="70">
        <v>1</v>
      </c>
      <c r="N145" s="141">
        <f t="array" ref="N145">(IF(COUNT(V145,X145,AG145,AI145,AK145,AM145)&lt;5,SUM(V145,X145,AG145,AI145,AK145,AM145),SUM(LARGE((V145,X145,AG145,AI145,AK145,AM145),{1;2;3;4;5}))))+(IF(COUNT(W145,Y145,AC145,AH145,AJ145,AL145)&lt;5,SUM(W145,Y145,AC145,AH145,AJ145,AL145),SUM(LARGE((W145,Y145,AC145,AH145,AJ145,AL145),{1;2;3;4;5}))))+U145</f>
        <v>1</v>
      </c>
      <c r="O145" s="796">
        <v>0</v>
      </c>
      <c r="P145" s="132">
        <f t="array" ref="P145">IF(S145="n",((IF(COUNT(V145,X145,AG145,AI145,AK145,AM145)&lt;5,SUM(V145,X145,AG145,AI145,AK145,AM145),SUM(LARGE((V145,X145,AG145,AI145,AK145,AM145),{1;2;3;4;5}))))+(IF(COUNT(W145,AA145,AE145,AH145,AJ145,AL145)&lt;5,SUM(W145,AA145,AE145,AH145,AJ145,AL145),SUM(LARGE((W145,AA145,AE145,AH145,AJ145,AL145),{1;2;3;4;5}))))+U145),0)</f>
        <v>0</v>
      </c>
      <c r="Q145" s="797">
        <v>0</v>
      </c>
      <c r="R145" s="132">
        <f t="array" ref="R145">IF(T145="j",((IF(COUNT(V145,X145,AG145,AI145,AK145,AM145)&lt;5,SUM(V145,X145,AG145,AI145,AK145,AM145),SUM(LARGE((V145,X145,AG145,AI145,AK145,AM145),{1;2;3;4;5}))))+(IF(COUNT(W145,AB145,AC145,AH145,AJ145,AL145)&lt;5,SUM(W145,AB145,AC145,AH145,AJ145,AL145),SUM(LARGE((W145,AB145,AC145,AH145,AJ145,AL145),{1;2;3;4;5}))))+U145),0)</f>
        <v>0</v>
      </c>
      <c r="S145" s="676"/>
      <c r="T145" s="676"/>
      <c r="U145" s="915">
        <v>1</v>
      </c>
      <c r="V145" s="316" t="s">
        <v>602</v>
      </c>
      <c r="W145" s="316" t="s">
        <v>156</v>
      </c>
      <c r="X145" s="137"/>
      <c r="Y145" s="137"/>
      <c r="Z145" s="960"/>
      <c r="AA145" s="961"/>
      <c r="AB145" s="962"/>
      <c r="AC145" s="137"/>
      <c r="AD145" s="960"/>
      <c r="AE145" s="961"/>
      <c r="AF145" s="732"/>
      <c r="AG145" s="137"/>
      <c r="AH145" s="137"/>
      <c r="AI145" s="137"/>
      <c r="AJ145" s="137"/>
      <c r="AK145" s="137"/>
      <c r="AL145" s="137"/>
      <c r="AM145" s="137"/>
      <c r="AN145" s="30">
        <f t="shared" si="53"/>
        <v>0</v>
      </c>
      <c r="AO145" s="312">
        <f t="shared" si="54"/>
        <v>0</v>
      </c>
      <c r="AP145" s="291">
        <f t="shared" si="55"/>
        <v>0</v>
      </c>
      <c r="AQ145" s="31">
        <f t="shared" si="56"/>
        <v>0</v>
      </c>
      <c r="AR145" s="4" t="e">
        <f>COUNTIF(V145:W145,"=  ")+COUNTIF(X145:AH145,"=  ")+COUNTIF(AJ145,"=  ")+COUNTIF(AL145,"=  ")+COUNTIF(#REF!,"=  ")+COUNTIF(#REF!,"=  ")+COUNTIF(#REF!,"=  ")</f>
        <v>#REF!</v>
      </c>
      <c r="AS145" s="101" t="e">
        <f>COUNTIF(Y145,"=  ")+COUNTIF(AI145,"=  ")+COUNTIF(AK145,"=  ")+COUNTIF(AM145,"=  ")+COUNTIF(AC145,"=  ")+COUNTIF(#REF!,"=  ")</f>
        <v>#REF!</v>
      </c>
    </row>
    <row r="146" spans="1:45" ht="12.75" customHeight="1" x14ac:dyDescent="0.2">
      <c r="A146" s="47" t="s">
        <v>151</v>
      </c>
      <c r="B146" s="141" t="str">
        <f t="shared" si="57"/>
        <v/>
      </c>
      <c r="C146" s="139">
        <f t="shared" si="47"/>
        <v>0</v>
      </c>
      <c r="D146" s="49">
        <v>39</v>
      </c>
      <c r="E146" s="141">
        <f t="shared" si="48"/>
        <v>39</v>
      </c>
      <c r="F146" s="138">
        <f t="shared" si="49"/>
        <v>10001</v>
      </c>
      <c r="G146" s="383" t="s">
        <v>151</v>
      </c>
      <c r="H146" s="141" t="str">
        <f t="shared" si="50"/>
        <v/>
      </c>
      <c r="I146" s="221">
        <f t="shared" si="51"/>
        <v>0</v>
      </c>
      <c r="J146" s="71">
        <f t="shared" si="52"/>
        <v>126</v>
      </c>
      <c r="K146" s="70">
        <v>126</v>
      </c>
      <c r="L146" s="50" t="s">
        <v>337</v>
      </c>
      <c r="M146" s="70">
        <v>1</v>
      </c>
      <c r="N146" s="141">
        <f t="array" ref="N146">(IF(COUNT(V146,X146,AG146,AI146,AK146,AM146)&lt;5,SUM(V146,X146,AG146,AI146,AK146,AM146),SUM(LARGE((V146,X146,AG146,AI146,AK146,AM146),{1;2;3;4;5}))))+(IF(COUNT(W146,Y146,AC146,AH146,AJ146,AL146)&lt;5,SUM(W146,Y146,AC146,AH146,AJ146,AL146),SUM(LARGE((W146,Y146,AC146,AH146,AJ146,AL146),{1;2;3;4;5}))))+U146</f>
        <v>1</v>
      </c>
      <c r="O146" s="796">
        <v>1</v>
      </c>
      <c r="P146" s="132">
        <f t="array" ref="P146">IF(S146="n",((IF(COUNT(V146,X146,AG146,AI146,AK146,AM146)&lt;5,SUM(V146,X146,AG146,AI146,AK146,AM146),SUM(LARGE((V146,X146,AG146,AI146,AK146,AM146),{1;2;3;4;5}))))+(IF(COUNT(W146,AA146,AE146,AH146,AJ146,AL146)&lt;5,SUM(W146,AA146,AE146,AH146,AJ146,AL146),SUM(LARGE((W146,AA146,AE146,AH146,AJ146,AL146),{1;2;3;4;5}))))+U146),0)</f>
        <v>1</v>
      </c>
      <c r="Q146" s="797">
        <v>0</v>
      </c>
      <c r="R146" s="132">
        <f t="array" ref="R146">IF(T146="j",((IF(COUNT(V146,X146,AG146,AI146,AK146,AM146)&lt;5,SUM(V146,X146,AG146,AI146,AK146,AM146),SUM(LARGE((V146,X146,AG146,AI146,AK146,AM146),{1;2;3;4;5}))))+(IF(COUNT(W146,AB146,AC146,AH146,AJ146,AL146)&lt;5,SUM(W146,AB146,AC146,AH146,AJ146,AL146),SUM(LARGE((W146,AB146,AC146,AH146,AJ146,AL146),{1;2;3;4;5}))))+U146),0)</f>
        <v>0</v>
      </c>
      <c r="S146" s="676" t="s">
        <v>33</v>
      </c>
      <c r="T146" s="676"/>
      <c r="U146" s="915">
        <v>1</v>
      </c>
      <c r="V146" s="316" t="s">
        <v>156</v>
      </c>
      <c r="W146" s="316" t="s">
        <v>156</v>
      </c>
      <c r="X146" s="137"/>
      <c r="Y146" s="137"/>
      <c r="Z146" s="960"/>
      <c r="AA146" s="961"/>
      <c r="AB146" s="962"/>
      <c r="AC146" s="137"/>
      <c r="AD146" s="960"/>
      <c r="AE146" s="961"/>
      <c r="AF146" s="732"/>
      <c r="AG146" s="137"/>
      <c r="AH146" s="137"/>
      <c r="AI146" s="137"/>
      <c r="AJ146" s="137"/>
      <c r="AK146" s="137"/>
      <c r="AL146" s="137"/>
      <c r="AM146" s="137"/>
      <c r="AN146" s="30">
        <f t="shared" si="53"/>
        <v>0</v>
      </c>
      <c r="AO146" s="312">
        <f t="shared" si="54"/>
        <v>0</v>
      </c>
      <c r="AP146" s="291">
        <f t="shared" si="55"/>
        <v>0</v>
      </c>
      <c r="AQ146" s="31">
        <f t="shared" si="56"/>
        <v>0</v>
      </c>
      <c r="AR146" s="4" t="e">
        <f>COUNTIF(V146:W146,"=  ")+COUNTIF(X146:AH146,"=  ")+COUNTIF(AJ146,"=  ")+COUNTIF(AL146,"=  ")+COUNTIF(#REF!,"=  ")+COUNTIF(#REF!,"=  ")+COUNTIF(#REF!,"=  ")</f>
        <v>#REF!</v>
      </c>
      <c r="AS146" s="101" t="e">
        <f>COUNTIF(Y146,"=  ")+COUNTIF(AI146,"=  ")+COUNTIF(AK146,"=  ")+COUNTIF(AM146,"=  ")+COUNTIF(AC146,"=  ")+COUNTIF(#REF!,"=  ")</f>
        <v>#REF!</v>
      </c>
    </row>
    <row r="147" spans="1:45" ht="12.75" customHeight="1" x14ac:dyDescent="0.2">
      <c r="A147" s="47">
        <v>89</v>
      </c>
      <c r="B147" s="141">
        <f t="shared" si="57"/>
        <v>88</v>
      </c>
      <c r="C147" s="139">
        <f t="shared" si="47"/>
        <v>10001</v>
      </c>
      <c r="D147" s="49" t="s">
        <v>151</v>
      </c>
      <c r="E147" s="141" t="str">
        <f t="shared" si="48"/>
        <v/>
      </c>
      <c r="F147" s="138">
        <f t="shared" si="49"/>
        <v>0</v>
      </c>
      <c r="G147" s="383" t="s">
        <v>151</v>
      </c>
      <c r="H147" s="141" t="str">
        <f t="shared" si="50"/>
        <v/>
      </c>
      <c r="I147" s="221">
        <f t="shared" si="51"/>
        <v>0</v>
      </c>
      <c r="J147" s="71">
        <f t="shared" si="52"/>
        <v>126</v>
      </c>
      <c r="K147" s="70">
        <v>126</v>
      </c>
      <c r="L147" s="211" t="s">
        <v>179</v>
      </c>
      <c r="M147" s="70">
        <v>1</v>
      </c>
      <c r="N147" s="141">
        <f t="array" ref="N147">(IF(COUNT(V147,X147,AG147,AI147,AK147,AM147)&lt;5,SUM(V147,X147,AG147,AI147,AK147,AM147),SUM(LARGE((V147,X147,AG147,AI147,AK147,AM147),{1;2;3;4;5}))))+(IF(COUNT(W147,Y147,AC147,AH147,AJ147,AL147)&lt;5,SUM(W147,Y147,AC147,AH147,AJ147,AL147),SUM(LARGE((W147,Y147,AC147,AH147,AJ147,AL147),{1;2;3;4;5}))))+U147</f>
        <v>1</v>
      </c>
      <c r="O147" s="796">
        <v>0</v>
      </c>
      <c r="P147" s="132">
        <f t="array" ref="P147">IF(S147="n",((IF(COUNT(V147,X147,AG147,AI147,AK147,AM147)&lt;5,SUM(V147,X147,AG147,AI147,AK147,AM147),SUM(LARGE((V147,X147,AG147,AI147,AK147,AM147),{1;2;3;4;5}))))+(IF(COUNT(W147,AA147,AE147,AH147,AJ147,AL147)&lt;5,SUM(W147,AA147,AE147,AH147,AJ147,AL147),SUM(LARGE((W147,AA147,AE147,AH147,AJ147,AL147),{1;2;3;4;5}))))+U147),0)</f>
        <v>0</v>
      </c>
      <c r="Q147" s="797">
        <v>0</v>
      </c>
      <c r="R147" s="132">
        <f t="array" ref="R147">IF(T147="j",((IF(COUNT(V147,X147,AG147,AI147,AK147,AM147)&lt;5,SUM(V147,X147,AG147,AI147,AK147,AM147),SUM(LARGE((V147,X147,AG147,AI147,AK147,AM147),{1;2;3;4;5}))))+(IF(COUNT(W147,AB147,AC147,AH147,AJ147,AL147)&lt;5,SUM(W147,AB147,AC147,AH147,AJ147,AL147),SUM(LARGE((W147,AB147,AC147,AH147,AJ147,AL147),{1;2;3;4;5}))))+U147),0)</f>
        <v>0</v>
      </c>
      <c r="S147" s="676"/>
      <c r="T147" s="676"/>
      <c r="U147" s="915">
        <v>1</v>
      </c>
      <c r="V147" s="316" t="s">
        <v>156</v>
      </c>
      <c r="W147" s="316" t="s">
        <v>156</v>
      </c>
      <c r="X147" s="137"/>
      <c r="Y147" s="137"/>
      <c r="Z147" s="960"/>
      <c r="AA147" s="961"/>
      <c r="AB147" s="962"/>
      <c r="AC147" s="137"/>
      <c r="AD147" s="960"/>
      <c r="AE147" s="961"/>
      <c r="AF147" s="732"/>
      <c r="AG147" s="137"/>
      <c r="AH147" s="137"/>
      <c r="AI147" s="137"/>
      <c r="AJ147" s="137"/>
      <c r="AK147" s="137"/>
      <c r="AL147" s="137"/>
      <c r="AM147" s="137"/>
      <c r="AN147" s="30">
        <f t="shared" si="53"/>
        <v>0</v>
      </c>
      <c r="AO147" s="312">
        <f t="shared" si="54"/>
        <v>0</v>
      </c>
      <c r="AP147" s="291">
        <f t="shared" si="55"/>
        <v>0</v>
      </c>
      <c r="AQ147" s="31">
        <f t="shared" si="56"/>
        <v>0</v>
      </c>
      <c r="AR147" s="4" t="e">
        <f>COUNTIF(V147:W147,"=  ")+COUNTIF(X147:AH147,"=  ")+COUNTIF(AJ147,"=  ")+COUNTIF(AL147,"=  ")+COUNTIF(#REF!,"=  ")+COUNTIF(#REF!,"=  ")+COUNTIF(#REF!,"=  ")</f>
        <v>#REF!</v>
      </c>
      <c r="AS147" s="101" t="e">
        <f>COUNTIF(Y147,"=  ")+COUNTIF(AI147,"=  ")+COUNTIF(AK147,"=  ")+COUNTIF(AM147,"=  ")+COUNTIF(AC147,"=  ")+COUNTIF(#REF!,"=  ")</f>
        <v>#REF!</v>
      </c>
    </row>
    <row r="148" spans="1:45" ht="12.75" customHeight="1" x14ac:dyDescent="0.2">
      <c r="A148" s="47" t="s">
        <v>151</v>
      </c>
      <c r="B148" s="141" t="str">
        <f t="shared" si="57"/>
        <v/>
      </c>
      <c r="C148" s="139">
        <f t="shared" si="47"/>
        <v>0</v>
      </c>
      <c r="D148" s="49">
        <v>39</v>
      </c>
      <c r="E148" s="141">
        <f t="shared" si="48"/>
        <v>39</v>
      </c>
      <c r="F148" s="138">
        <f t="shared" si="49"/>
        <v>10001</v>
      </c>
      <c r="G148" s="383" t="s">
        <v>151</v>
      </c>
      <c r="H148" s="141" t="str">
        <f t="shared" si="50"/>
        <v/>
      </c>
      <c r="I148" s="221">
        <f t="shared" si="51"/>
        <v>0</v>
      </c>
      <c r="J148" s="71">
        <f t="shared" si="52"/>
        <v>126</v>
      </c>
      <c r="K148" s="70">
        <v>126</v>
      </c>
      <c r="L148" s="297" t="s">
        <v>338</v>
      </c>
      <c r="M148" s="302">
        <v>1</v>
      </c>
      <c r="N148" s="141">
        <f t="array" ref="N148">(IF(COUNT(V148,X148,AG148,AI148,AK148,AM148)&lt;5,SUM(V148,X148,AG148,AI148,AK148,AM148),SUM(LARGE((V148,X148,AG148,AI148,AK148,AM148),{1;2;3;4;5}))))+(IF(COUNT(W148,Y148,AC148,AH148,AJ148,AL148)&lt;5,SUM(W148,Y148,AC148,AH148,AJ148,AL148),SUM(LARGE((W148,Y148,AC148,AH148,AJ148,AL148),{1;2;3;4;5}))))+U148</f>
        <v>1</v>
      </c>
      <c r="O148" s="796">
        <v>1</v>
      </c>
      <c r="P148" s="132">
        <f t="array" ref="P148">IF(S148="n",((IF(COUNT(V148,X148,AG148,AI148,AK148,AM148)&lt;5,SUM(V148,X148,AG148,AI148,AK148,AM148),SUM(LARGE((V148,X148,AG148,AI148,AK148,AM148),{1;2;3;4;5}))))+(IF(COUNT(W148,AA148,AE148,AH148,AJ148,AL148)&lt;5,SUM(W148,AA148,AE148,AH148,AJ148,AL148),SUM(LARGE((W148,AA148,AE148,AH148,AJ148,AL148),{1;2;3;4;5}))))+U148),0)</f>
        <v>1</v>
      </c>
      <c r="Q148" s="797">
        <v>0</v>
      </c>
      <c r="R148" s="132">
        <f t="array" ref="R148">IF(T148="j",((IF(COUNT(V148,X148,AG148,AI148,AK148,AM148)&lt;5,SUM(V148,X148,AG148,AI148,AK148,AM148),SUM(LARGE((V148,X148,AG148,AI148,AK148,AM148),{1;2;3;4;5}))))+(IF(COUNT(W148,AB148,AC148,AH148,AJ148,AL148)&lt;5,SUM(W148,AB148,AC148,AH148,AJ148,AL148),SUM(LARGE((W148,AB148,AC148,AH148,AJ148,AL148),{1;2;3;4;5}))))+U148),0)</f>
        <v>0</v>
      </c>
      <c r="S148" s="676" t="s">
        <v>33</v>
      </c>
      <c r="T148" s="676"/>
      <c r="U148" s="915">
        <v>1</v>
      </c>
      <c r="V148" s="316" t="s">
        <v>156</v>
      </c>
      <c r="W148" s="316" t="s">
        <v>156</v>
      </c>
      <c r="X148" s="137"/>
      <c r="Y148" s="137"/>
      <c r="Z148" s="960"/>
      <c r="AA148" s="961"/>
      <c r="AB148" s="962"/>
      <c r="AC148" s="137"/>
      <c r="AD148" s="960"/>
      <c r="AE148" s="961"/>
      <c r="AF148" s="732"/>
      <c r="AG148" s="137"/>
      <c r="AH148" s="137"/>
      <c r="AI148" s="137"/>
      <c r="AJ148" s="137"/>
      <c r="AK148" s="137"/>
      <c r="AL148" s="137"/>
      <c r="AM148" s="137"/>
      <c r="AN148" s="30">
        <f t="shared" si="53"/>
        <v>0</v>
      </c>
      <c r="AO148" s="312">
        <f t="shared" si="54"/>
        <v>0</v>
      </c>
      <c r="AP148" s="291">
        <f t="shared" si="55"/>
        <v>0</v>
      </c>
      <c r="AQ148" s="31">
        <f t="shared" si="56"/>
        <v>0</v>
      </c>
      <c r="AR148" s="4" t="e">
        <f>COUNTIF(V148:W148,"=  ")+COUNTIF(X148:AH148,"=  ")+COUNTIF(AJ148,"=  ")+COUNTIF(AL148,"=  ")+COUNTIF(#REF!,"=  ")+COUNTIF(#REF!,"=  ")+COUNTIF(#REF!,"=  ")</f>
        <v>#REF!</v>
      </c>
      <c r="AS148" s="101" t="e">
        <f>COUNTIF(Y148,"=  ")+COUNTIF(AI148,"=  ")+COUNTIF(AK148,"=  ")+COUNTIF(AM148,"=  ")+COUNTIF(AC148,"=  ")+COUNTIF(#REF!,"=  ")</f>
        <v>#REF!</v>
      </c>
    </row>
    <row r="149" spans="1:45" ht="12.75" customHeight="1" x14ac:dyDescent="0.2">
      <c r="A149" s="47">
        <v>89</v>
      </c>
      <c r="B149" s="141">
        <f t="shared" si="57"/>
        <v>88</v>
      </c>
      <c r="C149" s="139">
        <f t="shared" si="47"/>
        <v>10001</v>
      </c>
      <c r="D149" s="49" t="s">
        <v>151</v>
      </c>
      <c r="E149" s="141" t="str">
        <f t="shared" si="48"/>
        <v/>
      </c>
      <c r="F149" s="138">
        <f t="shared" si="49"/>
        <v>0</v>
      </c>
      <c r="G149" s="383" t="s">
        <v>151</v>
      </c>
      <c r="H149" s="141" t="str">
        <f t="shared" si="50"/>
        <v/>
      </c>
      <c r="I149" s="221">
        <f t="shared" si="51"/>
        <v>0</v>
      </c>
      <c r="J149" s="71">
        <f t="shared" si="52"/>
        <v>126</v>
      </c>
      <c r="K149" s="70">
        <v>126</v>
      </c>
      <c r="L149" s="211" t="s">
        <v>333</v>
      </c>
      <c r="M149" s="70">
        <v>1</v>
      </c>
      <c r="N149" s="141">
        <f t="array" ref="N149">(IF(COUNT(V149,X149,AG149,AI149,AK149,AM149)&lt;5,SUM(V149,X149,AG149,AI149,AK149,AM149),SUM(LARGE((V149,X149,AG149,AI149,AK149,AM149),{1;2;3;4;5}))))+(IF(COUNT(W149,Y149,AC149,AH149,AJ149,AL149)&lt;5,SUM(W149,Y149,AC149,AH149,AJ149,AL149),SUM(LARGE((W149,Y149,AC149,AH149,AJ149,AL149),{1;2;3;4;5}))))+U149</f>
        <v>1</v>
      </c>
      <c r="O149" s="796">
        <v>0</v>
      </c>
      <c r="P149" s="132">
        <f t="array" ref="P149">IF(S149="n",((IF(COUNT(V149,X149,AG149,AI149,AK149,AM149)&lt;5,SUM(V149,X149,AG149,AI149,AK149,AM149),SUM(LARGE((V149,X149,AG149,AI149,AK149,AM149),{1;2;3;4;5}))))+(IF(COUNT(W149,AA149,AE149,AH149,AJ149,AL149)&lt;5,SUM(W149,AA149,AE149,AH149,AJ149,AL149),SUM(LARGE((W149,AA149,AE149,AH149,AJ149,AL149),{1;2;3;4;5}))))+U149),0)</f>
        <v>0</v>
      </c>
      <c r="Q149" s="797">
        <v>0</v>
      </c>
      <c r="R149" s="132">
        <f t="array" ref="R149">IF(T149="j",((IF(COUNT(V149,X149,AG149,AI149,AK149,AM149)&lt;5,SUM(V149,X149,AG149,AI149,AK149,AM149),SUM(LARGE((V149,X149,AG149,AI149,AK149,AM149),{1;2;3;4;5}))))+(IF(COUNT(W149,AB149,AC149,AH149,AJ149,AL149)&lt;5,SUM(W149,AB149,AC149,AH149,AJ149,AL149),SUM(LARGE((W149,AB149,AC149,AH149,AJ149,AL149),{1;2;3;4;5}))))+U149),0)</f>
        <v>0</v>
      </c>
      <c r="S149" s="676"/>
      <c r="T149" s="676"/>
      <c r="U149" s="915">
        <v>1</v>
      </c>
      <c r="V149" s="316" t="s">
        <v>156</v>
      </c>
      <c r="W149" s="316" t="s">
        <v>156</v>
      </c>
      <c r="X149" s="137"/>
      <c r="Y149" s="137"/>
      <c r="Z149" s="960"/>
      <c r="AA149" s="961"/>
      <c r="AB149" s="962"/>
      <c r="AC149" s="137"/>
      <c r="AD149" s="960"/>
      <c r="AE149" s="961"/>
      <c r="AF149" s="732"/>
      <c r="AG149" s="137"/>
      <c r="AH149" s="137"/>
      <c r="AI149" s="137"/>
      <c r="AJ149" s="137"/>
      <c r="AK149" s="137"/>
      <c r="AL149" s="137"/>
      <c r="AM149" s="137"/>
      <c r="AN149" s="30">
        <f t="shared" si="53"/>
        <v>0</v>
      </c>
      <c r="AO149" s="312">
        <f t="shared" si="54"/>
        <v>0</v>
      </c>
      <c r="AP149" s="291">
        <f t="shared" si="55"/>
        <v>0</v>
      </c>
      <c r="AQ149" s="31">
        <f t="shared" si="56"/>
        <v>0</v>
      </c>
      <c r="AR149" s="4" t="e">
        <f>COUNTIF(V149:W149,"=  ")+COUNTIF(X149:AH149,"=  ")+COUNTIF(AJ149,"=  ")+COUNTIF(AL149,"=  ")+COUNTIF(#REF!,"=  ")+COUNTIF(#REF!,"=  ")+COUNTIF(#REF!,"=  ")</f>
        <v>#REF!</v>
      </c>
      <c r="AS149" s="101" t="e">
        <f>COUNTIF(Y149,"=  ")+COUNTIF(AI149,"=  ")+COUNTIF(AK149,"=  ")+COUNTIF(AM149,"=  ")+COUNTIF(AC149,"=  ")+COUNTIF(#REF!,"=  ")</f>
        <v>#REF!</v>
      </c>
    </row>
    <row r="150" spans="1:45" ht="12.75" customHeight="1" x14ac:dyDescent="0.2">
      <c r="A150" s="47">
        <v>89</v>
      </c>
      <c r="B150" s="141">
        <f t="shared" si="57"/>
        <v>88</v>
      </c>
      <c r="C150" s="139">
        <f t="shared" si="47"/>
        <v>10001</v>
      </c>
      <c r="D150" s="49" t="s">
        <v>151</v>
      </c>
      <c r="E150" s="141" t="str">
        <f t="shared" si="48"/>
        <v/>
      </c>
      <c r="F150" s="138">
        <f t="shared" si="49"/>
        <v>0</v>
      </c>
      <c r="G150" s="383" t="s">
        <v>151</v>
      </c>
      <c r="H150" s="141" t="str">
        <f t="shared" si="50"/>
        <v/>
      </c>
      <c r="I150" s="221">
        <f t="shared" si="51"/>
        <v>0</v>
      </c>
      <c r="J150" s="71">
        <f t="shared" si="52"/>
        <v>126</v>
      </c>
      <c r="K150" s="70">
        <v>126</v>
      </c>
      <c r="L150" s="211" t="s">
        <v>148</v>
      </c>
      <c r="M150" s="302">
        <v>1</v>
      </c>
      <c r="N150" s="141">
        <f t="array" ref="N150">(IF(COUNT(V150,X150,AG150,AI150,AK150,AM150)&lt;5,SUM(V150,X150,AG150,AI150,AK150,AM150),SUM(LARGE((V150,X150,AG150,AI150,AK150,AM150),{1;2;3;4;5}))))+(IF(COUNT(W150,Y150,AC150,AH150,AJ150,AL150)&lt;5,SUM(W150,Y150,AC150,AH150,AJ150,AL150),SUM(LARGE((W150,Y150,AC150,AH150,AJ150,AL150),{1;2;3;4;5}))))+U150</f>
        <v>1</v>
      </c>
      <c r="O150" s="796">
        <v>0</v>
      </c>
      <c r="P150" s="132">
        <f t="array" ref="P150">IF(S150="n",((IF(COUNT(V150,X150,AG150,AI150,AK150,AM150)&lt;5,SUM(V150,X150,AG150,AI150,AK150,AM150),SUM(LARGE((V150,X150,AG150,AI150,AK150,AM150),{1;2;3;4;5}))))+(IF(COUNT(W150,AA150,AE150,AH150,AJ150,AL150)&lt;5,SUM(W150,AA150,AE150,AH150,AJ150,AL150),SUM(LARGE((W150,AA150,AE150,AH150,AJ150,AL150),{1;2;3;4;5}))))+U150),0)</f>
        <v>0</v>
      </c>
      <c r="Q150" s="797">
        <v>0</v>
      </c>
      <c r="R150" s="132">
        <f t="array" ref="R150">IF(T150="j",((IF(COUNT(V150,X150,AG150,AI150,AK150,AM150)&lt;5,SUM(V150,X150,AG150,AI150,AK150,AM150),SUM(LARGE((V150,X150,AG150,AI150,AK150,AM150),{1;2;3;4;5}))))+(IF(COUNT(W150,AB150,AC150,AH150,AJ150,AL150)&lt;5,SUM(W150,AB150,AC150,AH150,AJ150,AL150),SUM(LARGE((W150,AB150,AC150,AH150,AJ150,AL150),{1;2;3;4;5}))))+U150),0)</f>
        <v>0</v>
      </c>
      <c r="S150" s="676"/>
      <c r="T150" s="676"/>
      <c r="U150" s="915">
        <v>1</v>
      </c>
      <c r="V150" s="316" t="s">
        <v>156</v>
      </c>
      <c r="W150" s="316" t="s">
        <v>156</v>
      </c>
      <c r="X150" s="137"/>
      <c r="Y150" s="137"/>
      <c r="Z150" s="960"/>
      <c r="AA150" s="961"/>
      <c r="AB150" s="962"/>
      <c r="AC150" s="137"/>
      <c r="AD150" s="960"/>
      <c r="AE150" s="961"/>
      <c r="AF150" s="732"/>
      <c r="AG150" s="137"/>
      <c r="AH150" s="137"/>
      <c r="AI150" s="281"/>
      <c r="AJ150" s="137"/>
      <c r="AK150" s="137"/>
      <c r="AL150" s="137"/>
      <c r="AM150" s="137"/>
      <c r="AN150" s="30">
        <f t="shared" si="53"/>
        <v>0</v>
      </c>
      <c r="AO150" s="312">
        <f t="shared" si="54"/>
        <v>0</v>
      </c>
      <c r="AP150" s="291">
        <f t="shared" si="55"/>
        <v>0</v>
      </c>
      <c r="AQ150" s="31">
        <f t="shared" si="56"/>
        <v>0</v>
      </c>
      <c r="AR150" s="4" t="e">
        <f>COUNTIF(V150:W150,"=  ")+COUNTIF(X150:AH150,"=  ")+COUNTIF(AJ150,"=  ")+COUNTIF(AL150,"=  ")+COUNTIF(#REF!,"=  ")+COUNTIF(#REF!,"=  ")+COUNTIF(#REF!,"=  ")</f>
        <v>#REF!</v>
      </c>
      <c r="AS150" s="101" t="e">
        <f>COUNTIF(Y150,"=  ")+COUNTIF(AI150,"=  ")+COUNTIF(AK150,"=  ")+COUNTIF(AM150,"=  ")+COUNTIF(AC150,"=  ")+COUNTIF(#REF!,"=  ")</f>
        <v>#REF!</v>
      </c>
    </row>
    <row r="151" spans="1:45" ht="12.75" customHeight="1" x14ac:dyDescent="0.2">
      <c r="A151" s="47" t="s">
        <v>151</v>
      </c>
      <c r="B151" s="141" t="str">
        <f t="shared" si="57"/>
        <v/>
      </c>
      <c r="C151" s="139">
        <f t="shared" si="47"/>
        <v>0</v>
      </c>
      <c r="D151" s="49">
        <v>39</v>
      </c>
      <c r="E151" s="141">
        <f t="shared" si="48"/>
        <v>39</v>
      </c>
      <c r="F151" s="138">
        <f t="shared" si="49"/>
        <v>10001</v>
      </c>
      <c r="G151" s="383" t="s">
        <v>151</v>
      </c>
      <c r="H151" s="141" t="str">
        <f t="shared" si="50"/>
        <v/>
      </c>
      <c r="I151" s="221">
        <f t="shared" si="51"/>
        <v>0</v>
      </c>
      <c r="J151" s="71">
        <f t="shared" si="52"/>
        <v>126</v>
      </c>
      <c r="K151" s="70">
        <v>126</v>
      </c>
      <c r="L151" s="293" t="s">
        <v>345</v>
      </c>
      <c r="M151" s="377">
        <v>1</v>
      </c>
      <c r="N151" s="141">
        <f t="array" ref="N151">(IF(COUNT(V151,X151,AG151,AI151,AK151,AM151)&lt;5,SUM(V151,X151,AG151,AI151,AK151,AM151),SUM(LARGE((V151,X151,AG151,AI151,AK151,AM151),{1;2;3;4;5}))))+(IF(COUNT(W151,Y151,AC151,AH151,AJ151,AL151)&lt;5,SUM(W151,Y151,AC151,AH151,AJ151,AL151),SUM(LARGE((W151,Y151,AC151,AH151,AJ151,AL151),{1;2;3;4;5}))))+U151</f>
        <v>1</v>
      </c>
      <c r="O151" s="796">
        <v>1</v>
      </c>
      <c r="P151" s="132">
        <f t="array" ref="P151">IF(S151="n",((IF(COUNT(V151,X151,AG151,AI151,AK151,AM151)&lt;5,SUM(V151,X151,AG151,AI151,AK151,AM151),SUM(LARGE((V151,X151,AG151,AI151,AK151,AM151),{1;2;3;4;5}))))+(IF(COUNT(W151,AA151,AE151,AH151,AJ151,AL151)&lt;5,SUM(W151,AA151,AE151,AH151,AJ151,AL151),SUM(LARGE((W151,AA151,AE151,AH151,AJ151,AL151),{1;2;3;4;5}))))+U151),0)</f>
        <v>1</v>
      </c>
      <c r="Q151" s="797">
        <v>0</v>
      </c>
      <c r="R151" s="132">
        <f t="array" ref="R151">IF(T151="j",((IF(COUNT(V151,X151,AG151,AI151,AK151,AM151)&lt;5,SUM(V151,X151,AG151,AI151,AK151,AM151),SUM(LARGE((V151,X151,AG151,AI151,AK151,AM151),{1;2;3;4;5}))))+(IF(COUNT(W151,AB151,AC151,AH151,AJ151,AL151)&lt;5,SUM(W151,AB151,AC151,AH151,AJ151,AL151),SUM(LARGE((W151,AB151,AC151,AH151,AJ151,AL151),{1;2;3;4;5}))))+U151),0)</f>
        <v>0</v>
      </c>
      <c r="S151" s="676" t="s">
        <v>33</v>
      </c>
      <c r="T151" s="676"/>
      <c r="U151" s="915">
        <v>1</v>
      </c>
      <c r="V151" s="316" t="s">
        <v>156</v>
      </c>
      <c r="W151" s="316" t="s">
        <v>156</v>
      </c>
      <c r="X151" s="137"/>
      <c r="Y151" s="137"/>
      <c r="Z151" s="960"/>
      <c r="AA151" s="961"/>
      <c r="AB151" s="962"/>
      <c r="AC151" s="137"/>
      <c r="AD151" s="960"/>
      <c r="AE151" s="961"/>
      <c r="AF151" s="732"/>
      <c r="AG151" s="137"/>
      <c r="AH151" s="137"/>
      <c r="AI151" s="137"/>
      <c r="AJ151" s="137"/>
      <c r="AK151" s="137"/>
      <c r="AL151" s="137"/>
      <c r="AM151" s="137"/>
      <c r="AN151" s="30">
        <f t="shared" si="53"/>
        <v>0</v>
      </c>
      <c r="AO151" s="312">
        <f t="shared" si="54"/>
        <v>0</v>
      </c>
      <c r="AP151" s="291">
        <f t="shared" si="55"/>
        <v>0</v>
      </c>
      <c r="AQ151" s="31">
        <f t="shared" si="56"/>
        <v>0</v>
      </c>
      <c r="AR151" s="4" t="e">
        <f>COUNTIF(V151:W151,"=  ")+COUNTIF(X151:AH151,"=  ")+COUNTIF(AJ151,"=  ")+COUNTIF(AL151,"=  ")+COUNTIF(#REF!,"=  ")+COUNTIF(#REF!,"=  ")+COUNTIF(#REF!,"=  ")</f>
        <v>#REF!</v>
      </c>
      <c r="AS151" s="101" t="e">
        <f>COUNTIF(Y151,"=  ")+COUNTIF(AI151,"=  ")+COUNTIF(AK151,"=  ")+COUNTIF(AM151,"=  ")+COUNTIF(AC151,"=  ")+COUNTIF(#REF!,"=  ")</f>
        <v>#REF!</v>
      </c>
    </row>
    <row r="152" spans="1:45" ht="12.75" customHeight="1" x14ac:dyDescent="0.2">
      <c r="A152" s="47">
        <v>89</v>
      </c>
      <c r="B152" s="141">
        <f t="shared" si="57"/>
        <v>88</v>
      </c>
      <c r="C152" s="139">
        <f t="shared" si="47"/>
        <v>10001</v>
      </c>
      <c r="D152" s="49" t="s">
        <v>151</v>
      </c>
      <c r="E152" s="141" t="str">
        <f t="shared" si="48"/>
        <v/>
      </c>
      <c r="F152" s="138">
        <f t="shared" si="49"/>
        <v>0</v>
      </c>
      <c r="G152" s="383" t="s">
        <v>151</v>
      </c>
      <c r="H152" s="141" t="str">
        <f t="shared" si="50"/>
        <v/>
      </c>
      <c r="I152" s="221">
        <f t="shared" si="51"/>
        <v>0</v>
      </c>
      <c r="J152" s="71">
        <f t="shared" si="52"/>
        <v>126</v>
      </c>
      <c r="K152" s="70">
        <v>126</v>
      </c>
      <c r="L152" s="211" t="s">
        <v>69</v>
      </c>
      <c r="M152" s="70">
        <v>1</v>
      </c>
      <c r="N152" s="141">
        <f t="array" ref="N152">(IF(COUNT(V152,X152,AG152,AI152,AK152,AM152)&lt;5,SUM(V152,X152,AG152,AI152,AK152,AM152),SUM(LARGE((V152,X152,AG152,AI152,AK152,AM152),{1;2;3;4;5}))))+(IF(COUNT(W152,Y152,AC152,AH152,AJ152,AL152)&lt;5,SUM(W152,Y152,AC152,AH152,AJ152,AL152),SUM(LARGE((W152,Y152,AC152,AH152,AJ152,AL152),{1;2;3;4;5}))))+U152</f>
        <v>1</v>
      </c>
      <c r="O152" s="796">
        <v>0</v>
      </c>
      <c r="P152" s="132">
        <f t="array" ref="P152">IF(S152="n",((IF(COUNT(V152,X152,AG152,AI152,AK152,AM152)&lt;5,SUM(V152,X152,AG152,AI152,AK152,AM152),SUM(LARGE((V152,X152,AG152,AI152,AK152,AM152),{1;2;3;4;5}))))+(IF(COUNT(W152,AA152,AE152,AH152,AJ152,AL152)&lt;5,SUM(W152,AA152,AE152,AH152,AJ152,AL152),SUM(LARGE((W152,AA152,AE152,AH152,AJ152,AL152),{1;2;3;4;5}))))+U152),0)</f>
        <v>0</v>
      </c>
      <c r="Q152" s="797">
        <v>0</v>
      </c>
      <c r="R152" s="132">
        <f t="array" ref="R152">IF(T152="j",((IF(COUNT(V152,X152,AG152,AI152,AK152,AM152)&lt;5,SUM(V152,X152,AG152,AI152,AK152,AM152),SUM(LARGE((V152,X152,AG152,AI152,AK152,AM152),{1;2;3;4;5}))))+(IF(COUNT(W152,AB152,AC152,AH152,AJ152,AL152)&lt;5,SUM(W152,AB152,AC152,AH152,AJ152,AL152),SUM(LARGE((W152,AB152,AC152,AH152,AJ152,AL152),{1;2;3;4;5}))))+U152),0)</f>
        <v>0</v>
      </c>
      <c r="S152" s="676"/>
      <c r="T152" s="676"/>
      <c r="U152" s="915">
        <v>1</v>
      </c>
      <c r="V152" s="316" t="s">
        <v>156</v>
      </c>
      <c r="W152" s="316" t="s">
        <v>156</v>
      </c>
      <c r="X152" s="137"/>
      <c r="Y152" s="137"/>
      <c r="Z152" s="960"/>
      <c r="AA152" s="961"/>
      <c r="AB152" s="962"/>
      <c r="AC152" s="137"/>
      <c r="AD152" s="960"/>
      <c r="AE152" s="961"/>
      <c r="AF152" s="732"/>
      <c r="AG152" s="137"/>
      <c r="AH152" s="137"/>
      <c r="AI152" s="137"/>
      <c r="AJ152" s="137"/>
      <c r="AK152" s="137"/>
      <c r="AL152" s="137"/>
      <c r="AM152" s="137"/>
      <c r="AN152" s="30">
        <f t="shared" si="53"/>
        <v>0</v>
      </c>
      <c r="AO152" s="312">
        <f t="shared" si="54"/>
        <v>0</v>
      </c>
      <c r="AP152" s="291">
        <f t="shared" si="55"/>
        <v>0</v>
      </c>
      <c r="AQ152" s="31">
        <f t="shared" si="56"/>
        <v>0</v>
      </c>
      <c r="AR152" s="4" t="e">
        <f>COUNTIF(V152:W152,"=  ")+COUNTIF(X152:AH152,"=  ")+COUNTIF(AJ152,"=  ")+COUNTIF(AL152,"=  ")+COUNTIF(#REF!,"=  ")+COUNTIF(#REF!,"=  ")+COUNTIF(#REF!,"=  ")</f>
        <v>#REF!</v>
      </c>
      <c r="AS152" s="101" t="e">
        <f>COUNTIF(Y152,"=  ")+COUNTIF(AI152,"=  ")+COUNTIF(AK152,"=  ")+COUNTIF(AM152,"=  ")+COUNTIF(AC152,"=  ")+COUNTIF(#REF!,"=  ")</f>
        <v>#REF!</v>
      </c>
    </row>
    <row r="153" spans="1:45" ht="12.75" customHeight="1" x14ac:dyDescent="0.2">
      <c r="A153" s="47">
        <v>89</v>
      </c>
      <c r="B153" s="141">
        <f t="shared" si="57"/>
        <v>88</v>
      </c>
      <c r="C153" s="139">
        <f t="shared" si="47"/>
        <v>10001</v>
      </c>
      <c r="D153" s="49" t="s">
        <v>151</v>
      </c>
      <c r="E153" s="141" t="str">
        <f t="shared" si="48"/>
        <v/>
      </c>
      <c r="F153" s="138">
        <f t="shared" si="49"/>
        <v>0</v>
      </c>
      <c r="G153" s="383" t="s">
        <v>151</v>
      </c>
      <c r="H153" s="141" t="str">
        <f t="shared" si="50"/>
        <v/>
      </c>
      <c r="I153" s="221">
        <f t="shared" si="51"/>
        <v>0</v>
      </c>
      <c r="J153" s="71">
        <f t="shared" si="52"/>
        <v>126</v>
      </c>
      <c r="K153" s="70">
        <v>126</v>
      </c>
      <c r="L153" s="211" t="s">
        <v>72</v>
      </c>
      <c r="M153" s="70">
        <v>1</v>
      </c>
      <c r="N153" s="141">
        <f t="array" ref="N153">(IF(COUNT(V153,X153,AG153,AI153,AK153,AM153)&lt;5,SUM(V153,X153,AG153,AI153,AK153,AM153),SUM(LARGE((V153,X153,AG153,AI153,AK153,AM153),{1;2;3;4;5}))))+(IF(COUNT(W153,Y153,AC153,AH153,AJ153,AL153)&lt;5,SUM(W153,Y153,AC153,AH153,AJ153,AL153),SUM(LARGE((W153,Y153,AC153,AH153,AJ153,AL153),{1;2;3;4;5}))))+U153</f>
        <v>1</v>
      </c>
      <c r="O153" s="796">
        <v>0</v>
      </c>
      <c r="P153" s="132">
        <f t="array" ref="P153">IF(S153="n",((IF(COUNT(V153,X153,AG153,AI153,AK153,AM153)&lt;5,SUM(V153,X153,AG153,AI153,AK153,AM153),SUM(LARGE((V153,X153,AG153,AI153,AK153,AM153),{1;2;3;4;5}))))+(IF(COUNT(W153,AA153,AE153,AH153,AJ153,AL153)&lt;5,SUM(W153,AA153,AE153,AH153,AJ153,AL153),SUM(LARGE((W153,AA153,AE153,AH153,AJ153,AL153),{1;2;3;4;5}))))+U153),0)</f>
        <v>0</v>
      </c>
      <c r="Q153" s="797">
        <v>0</v>
      </c>
      <c r="R153" s="132">
        <f t="array" ref="R153">IF(T153="j",((IF(COUNT(V153,X153,AG153,AI153,AK153,AM153)&lt;5,SUM(V153,X153,AG153,AI153,AK153,AM153),SUM(LARGE((V153,X153,AG153,AI153,AK153,AM153),{1;2;3;4;5}))))+(IF(COUNT(W153,AB153,AC153,AH153,AJ153,AL153)&lt;5,SUM(W153,AB153,AC153,AH153,AJ153,AL153),SUM(LARGE((W153,AB153,AC153,AH153,AJ153,AL153),{1;2;3;4;5}))))+U153),0)</f>
        <v>0</v>
      </c>
      <c r="S153" s="676"/>
      <c r="T153" s="676"/>
      <c r="U153" s="915">
        <v>1</v>
      </c>
      <c r="V153" s="316" t="s">
        <v>156</v>
      </c>
      <c r="W153" s="316" t="s">
        <v>156</v>
      </c>
      <c r="X153" s="137"/>
      <c r="Y153" s="137"/>
      <c r="Z153" s="960"/>
      <c r="AA153" s="961"/>
      <c r="AB153" s="962"/>
      <c r="AC153" s="137"/>
      <c r="AD153" s="960"/>
      <c r="AE153" s="961"/>
      <c r="AF153" s="732"/>
      <c r="AG153" s="137"/>
      <c r="AH153" s="137"/>
      <c r="AI153" s="137"/>
      <c r="AJ153" s="137"/>
      <c r="AK153" s="137"/>
      <c r="AL153" s="137"/>
      <c r="AM153" s="137"/>
      <c r="AN153" s="30">
        <f t="shared" si="53"/>
        <v>0</v>
      </c>
      <c r="AO153" s="312">
        <f t="shared" si="54"/>
        <v>0</v>
      </c>
      <c r="AP153" s="291">
        <f t="shared" si="55"/>
        <v>0</v>
      </c>
      <c r="AQ153" s="31">
        <f t="shared" si="56"/>
        <v>0</v>
      </c>
      <c r="AR153" s="4" t="e">
        <f>COUNTIF(V153:W153,"=  ")+COUNTIF(X153:AH153,"=  ")+COUNTIF(AJ153,"=  ")+COUNTIF(AL153,"=  ")+COUNTIF(#REF!,"=  ")+COUNTIF(#REF!,"=  ")+COUNTIF(#REF!,"=  ")</f>
        <v>#REF!</v>
      </c>
      <c r="AS153" s="101" t="e">
        <f>COUNTIF(Y153,"=  ")+COUNTIF(AI153,"=  ")+COUNTIF(AK153,"=  ")+COUNTIF(AM153,"=  ")+COUNTIF(AC153,"=  ")+COUNTIF(#REF!,"=  ")</f>
        <v>#REF!</v>
      </c>
    </row>
    <row r="154" spans="1:45" ht="12.75" customHeight="1" x14ac:dyDescent="0.2">
      <c r="A154" s="47">
        <v>89</v>
      </c>
      <c r="B154" s="141">
        <f t="shared" si="57"/>
        <v>88</v>
      </c>
      <c r="C154" s="139">
        <f t="shared" si="47"/>
        <v>10001</v>
      </c>
      <c r="D154" s="49" t="s">
        <v>151</v>
      </c>
      <c r="E154" s="141" t="str">
        <f t="shared" si="48"/>
        <v/>
      </c>
      <c r="F154" s="138">
        <f t="shared" si="49"/>
        <v>0</v>
      </c>
      <c r="G154" s="383" t="s">
        <v>151</v>
      </c>
      <c r="H154" s="141" t="str">
        <f t="shared" si="50"/>
        <v/>
      </c>
      <c r="I154" s="221">
        <f t="shared" si="51"/>
        <v>0</v>
      </c>
      <c r="J154" s="71">
        <f t="shared" si="52"/>
        <v>126</v>
      </c>
      <c r="K154" s="70">
        <v>126</v>
      </c>
      <c r="L154" s="211" t="s">
        <v>334</v>
      </c>
      <c r="M154" s="70">
        <v>1</v>
      </c>
      <c r="N154" s="141">
        <f t="array" ref="N154">(IF(COUNT(V154,X154,AG154,AI154,AK154,AM154)&lt;5,SUM(V154,X154,AG154,AI154,AK154,AM154),SUM(LARGE((V154,X154,AG154,AI154,AK154,AM154),{1;2;3;4;5}))))+(IF(COUNT(W154,Y154,AC154,AH154,AJ154,AL154)&lt;5,SUM(W154,Y154,AC154,AH154,AJ154,AL154),SUM(LARGE((W154,Y154,AC154,AH154,AJ154,AL154),{1;2;3;4;5}))))+U154</f>
        <v>1</v>
      </c>
      <c r="O154" s="796">
        <v>0</v>
      </c>
      <c r="P154" s="132">
        <f t="array" ref="P154">IF(S154="n",((IF(COUNT(V154,X154,AG154,AI154,AK154,AM154)&lt;5,SUM(V154,X154,AG154,AI154,AK154,AM154),SUM(LARGE((V154,X154,AG154,AI154,AK154,AM154),{1;2;3;4;5}))))+(IF(COUNT(W154,AA154,AE154,AH154,AJ154,AL154)&lt;5,SUM(W154,AA154,AE154,AH154,AJ154,AL154),SUM(LARGE((W154,AA154,AE154,AH154,AJ154,AL154),{1;2;3;4;5}))))+U154),0)</f>
        <v>0</v>
      </c>
      <c r="Q154" s="797">
        <v>0</v>
      </c>
      <c r="R154" s="132">
        <f t="array" ref="R154">IF(T154="j",((IF(COUNT(V154,X154,AG154,AI154,AK154,AM154)&lt;5,SUM(V154,X154,AG154,AI154,AK154,AM154),SUM(LARGE((V154,X154,AG154,AI154,AK154,AM154),{1;2;3;4;5}))))+(IF(COUNT(W154,AB154,AC154,AH154,AJ154,AL154)&lt;5,SUM(W154,AB154,AC154,AH154,AJ154,AL154),SUM(LARGE((W154,AB154,AC154,AH154,AJ154,AL154),{1;2;3;4;5}))))+U154),0)</f>
        <v>0</v>
      </c>
      <c r="S154" s="676"/>
      <c r="T154" s="676"/>
      <c r="U154" s="915">
        <v>1</v>
      </c>
      <c r="V154" s="316" t="s">
        <v>156</v>
      </c>
      <c r="W154" s="316" t="s">
        <v>156</v>
      </c>
      <c r="X154" s="137"/>
      <c r="Y154" s="137"/>
      <c r="Z154" s="960"/>
      <c r="AA154" s="961"/>
      <c r="AB154" s="962"/>
      <c r="AC154" s="137"/>
      <c r="AD154" s="960"/>
      <c r="AE154" s="961"/>
      <c r="AF154" s="732"/>
      <c r="AG154" s="137"/>
      <c r="AH154" s="137"/>
      <c r="AI154" s="137"/>
      <c r="AJ154" s="137"/>
      <c r="AK154" s="137"/>
      <c r="AL154" s="137"/>
      <c r="AM154" s="137"/>
      <c r="AN154" s="30">
        <f t="shared" si="53"/>
        <v>0</v>
      </c>
      <c r="AO154" s="312">
        <f t="shared" si="54"/>
        <v>0</v>
      </c>
      <c r="AP154" s="291">
        <f t="shared" si="55"/>
        <v>0</v>
      </c>
      <c r="AQ154" s="31">
        <f t="shared" si="56"/>
        <v>0</v>
      </c>
      <c r="AR154" s="4" t="e">
        <f>COUNTIF(V154:W154,"=  ")+COUNTIF(X154:AH154,"=  ")+COUNTIF(AJ154,"=  ")+COUNTIF(AL154,"=  ")+COUNTIF(#REF!,"=  ")+COUNTIF(#REF!,"=  ")+COUNTIF(#REF!,"=  ")</f>
        <v>#REF!</v>
      </c>
      <c r="AS154" s="101" t="e">
        <f>COUNTIF(Y154,"=  ")+COUNTIF(AI154,"=  ")+COUNTIF(AK154,"=  ")+COUNTIF(AM154,"=  ")+COUNTIF(AC154,"=  ")+COUNTIF(#REF!,"=  ")</f>
        <v>#REF!</v>
      </c>
    </row>
    <row r="155" spans="1:45" ht="12.75" customHeight="1" x14ac:dyDescent="0.2">
      <c r="A155" s="47" t="s">
        <v>151</v>
      </c>
      <c r="B155" s="141" t="str">
        <f t="shared" si="57"/>
        <v/>
      </c>
      <c r="C155" s="139">
        <f t="shared" si="47"/>
        <v>0</v>
      </c>
      <c r="D155" s="49">
        <v>39</v>
      </c>
      <c r="E155" s="141">
        <f t="shared" si="48"/>
        <v>39</v>
      </c>
      <c r="F155" s="138">
        <f t="shared" si="49"/>
        <v>10001</v>
      </c>
      <c r="G155" s="383" t="s">
        <v>151</v>
      </c>
      <c r="H155" s="141" t="str">
        <f t="shared" si="50"/>
        <v/>
      </c>
      <c r="I155" s="221">
        <f t="shared" si="51"/>
        <v>0</v>
      </c>
      <c r="J155" s="71">
        <f t="shared" si="52"/>
        <v>126</v>
      </c>
      <c r="K155" s="70">
        <v>126</v>
      </c>
      <c r="L155" s="54" t="s">
        <v>88</v>
      </c>
      <c r="M155" s="302">
        <v>1</v>
      </c>
      <c r="N155" s="141">
        <f t="array" ref="N155">(IF(COUNT(V155,X155,AG155,AI155,AK155,AM155)&lt;5,SUM(V155,X155,AG155,AI155,AK155,AM155),SUM(LARGE((V155,X155,AG155,AI155,AK155,AM155),{1;2;3;4;5}))))+(IF(COUNT(W155,Y155,AC155,AH155,AJ155,AL155)&lt;5,SUM(W155,Y155,AC155,AH155,AJ155,AL155),SUM(LARGE((W155,Y155,AC155,AH155,AJ155,AL155),{1;2;3;4;5}))))+U155</f>
        <v>1</v>
      </c>
      <c r="O155" s="796">
        <v>1</v>
      </c>
      <c r="P155" s="132">
        <f t="array" ref="P155">IF(S155="n",((IF(COUNT(V155,X155,AG155,AI155,AK155,AM155)&lt;5,SUM(V155,X155,AG155,AI155,AK155,AM155),SUM(LARGE((V155,X155,AG155,AI155,AK155,AM155),{1;2;3;4;5}))))+(IF(COUNT(W155,AA155,AE155,AH155,AJ155,AL155)&lt;5,SUM(W155,AA155,AE155,AH155,AJ155,AL155),SUM(LARGE((W155,AA155,AE155,AH155,AJ155,AL155),{1;2;3;4;5}))))+U155),0)</f>
        <v>1</v>
      </c>
      <c r="Q155" s="797">
        <v>0</v>
      </c>
      <c r="R155" s="132">
        <f t="array" ref="R155">IF(T155="j",((IF(COUNT(V155,X155,AG155,AI155,AK155,AM155)&lt;5,SUM(V155,X155,AG155,AI155,AK155,AM155),SUM(LARGE((V155,X155,AG155,AI155,AK155,AM155),{1;2;3;4;5}))))+(IF(COUNT(W155,AB155,AC155,AH155,AJ155,AL155)&lt;5,SUM(W155,AB155,AC155,AH155,AJ155,AL155),SUM(LARGE((W155,AB155,AC155,AH155,AJ155,AL155),{1;2;3;4;5}))))+U155),0)</f>
        <v>0</v>
      </c>
      <c r="S155" s="676" t="s">
        <v>33</v>
      </c>
      <c r="T155" s="676"/>
      <c r="U155" s="915">
        <v>1</v>
      </c>
      <c r="V155" s="316" t="s">
        <v>156</v>
      </c>
      <c r="W155" s="316" t="s">
        <v>156</v>
      </c>
      <c r="X155" s="137"/>
      <c r="Y155" s="137"/>
      <c r="Z155" s="960"/>
      <c r="AA155" s="961"/>
      <c r="AB155" s="962"/>
      <c r="AC155" s="137"/>
      <c r="AD155" s="960"/>
      <c r="AE155" s="961"/>
      <c r="AF155" s="732"/>
      <c r="AG155" s="137"/>
      <c r="AH155" s="137"/>
      <c r="AI155" s="137"/>
      <c r="AJ155" s="137"/>
      <c r="AK155" s="137"/>
      <c r="AL155" s="137"/>
      <c r="AM155" s="137"/>
      <c r="AN155" s="30">
        <f t="shared" si="53"/>
        <v>0</v>
      </c>
      <c r="AO155" s="312">
        <f t="shared" si="54"/>
        <v>0</v>
      </c>
      <c r="AP155" s="291">
        <f t="shared" si="55"/>
        <v>0</v>
      </c>
      <c r="AQ155" s="31">
        <f t="shared" si="56"/>
        <v>0</v>
      </c>
      <c r="AR155" s="4" t="e">
        <f>COUNTIF(V155:W155,"=  ")+COUNTIF(X155:AH155,"=  ")+COUNTIF(AJ155,"=  ")+COUNTIF(AL155,"=  ")+COUNTIF(#REF!,"=  ")+COUNTIF(#REF!,"=  ")+COUNTIF(#REF!,"=  ")</f>
        <v>#REF!</v>
      </c>
      <c r="AS155" s="101" t="e">
        <f>COUNTIF(Y155,"=  ")+COUNTIF(AI155,"=  ")+COUNTIF(AK155,"=  ")+COUNTIF(AM155,"=  ")+COUNTIF(AC155,"=  ")+COUNTIF(#REF!,"=  ")</f>
        <v>#REF!</v>
      </c>
    </row>
    <row r="156" spans="1:45" ht="12.75" customHeight="1" x14ac:dyDescent="0.2">
      <c r="A156" s="47" t="s">
        <v>151</v>
      </c>
      <c r="B156" s="141" t="str">
        <f t="shared" si="57"/>
        <v/>
      </c>
      <c r="C156" s="139">
        <f t="shared" si="47"/>
        <v>0</v>
      </c>
      <c r="D156" s="49">
        <v>39</v>
      </c>
      <c r="E156" s="141">
        <f t="shared" si="48"/>
        <v>39</v>
      </c>
      <c r="F156" s="138">
        <f t="shared" si="49"/>
        <v>10001</v>
      </c>
      <c r="G156" s="383" t="s">
        <v>151</v>
      </c>
      <c r="H156" s="141" t="str">
        <f t="shared" si="50"/>
        <v/>
      </c>
      <c r="I156" s="221">
        <f t="shared" si="51"/>
        <v>0</v>
      </c>
      <c r="J156" s="71">
        <f t="shared" si="52"/>
        <v>126</v>
      </c>
      <c r="K156" s="70">
        <v>126</v>
      </c>
      <c r="L156" s="51" t="s">
        <v>153</v>
      </c>
      <c r="M156" s="70">
        <v>1</v>
      </c>
      <c r="N156" s="141">
        <f t="array" ref="N156">(IF(COUNT(V156,X156,AG156,AI156,AK156,AM156)&lt;5,SUM(V156,X156,AG156,AI156,AK156,AM156),SUM(LARGE((V156,X156,AG156,AI156,AK156,AM156),{1;2;3;4;5}))))+(IF(COUNT(W156,Y156,AC156,AH156,AJ156,AL156)&lt;5,SUM(W156,Y156,AC156,AH156,AJ156,AL156),SUM(LARGE((W156,Y156,AC156,AH156,AJ156,AL156),{1;2;3;4;5}))))+U156</f>
        <v>1</v>
      </c>
      <c r="O156" s="796">
        <v>1</v>
      </c>
      <c r="P156" s="132">
        <f t="array" ref="P156">IF(S156="n",((IF(COUNT(V156,X156,AG156,AI156,AK156,AM156)&lt;5,SUM(V156,X156,AG156,AI156,AK156,AM156),SUM(LARGE((V156,X156,AG156,AI156,AK156,AM156),{1;2;3;4;5}))))+(IF(COUNT(W156,AA156,AE156,AH156,AJ156,AL156)&lt;5,SUM(W156,AA156,AE156,AH156,AJ156,AL156),SUM(LARGE((W156,AA156,AE156,AH156,AJ156,AL156),{1;2;3;4;5}))))+U156),0)</f>
        <v>1</v>
      </c>
      <c r="Q156" s="797">
        <v>0</v>
      </c>
      <c r="R156" s="132">
        <f t="array" ref="R156">IF(T156="j",((IF(COUNT(V156,X156,AG156,AI156,AK156,AM156)&lt;5,SUM(V156,X156,AG156,AI156,AK156,AM156),SUM(LARGE((V156,X156,AG156,AI156,AK156,AM156),{1;2;3;4;5}))))+(IF(COUNT(W156,AB156,AC156,AH156,AJ156,AL156)&lt;5,SUM(W156,AB156,AC156,AH156,AJ156,AL156),SUM(LARGE((W156,AB156,AC156,AH156,AJ156,AL156),{1;2;3;4;5}))))+U156),0)</f>
        <v>0</v>
      </c>
      <c r="S156" s="676" t="s">
        <v>33</v>
      </c>
      <c r="T156" s="676"/>
      <c r="U156" s="915">
        <v>1</v>
      </c>
      <c r="V156" s="316" t="s">
        <v>156</v>
      </c>
      <c r="W156" s="316" t="s">
        <v>156</v>
      </c>
      <c r="X156" s="137"/>
      <c r="Y156" s="137"/>
      <c r="Z156" s="960"/>
      <c r="AA156" s="961"/>
      <c r="AB156" s="962"/>
      <c r="AC156" s="137"/>
      <c r="AD156" s="960"/>
      <c r="AE156" s="961"/>
      <c r="AF156" s="732"/>
      <c r="AG156" s="137"/>
      <c r="AH156" s="137"/>
      <c r="AI156" s="137"/>
      <c r="AJ156" s="137"/>
      <c r="AK156" s="137"/>
      <c r="AL156" s="137"/>
      <c r="AM156" s="137"/>
      <c r="AN156" s="30">
        <f t="shared" si="53"/>
        <v>0</v>
      </c>
      <c r="AO156" s="312">
        <f t="shared" si="54"/>
        <v>0</v>
      </c>
      <c r="AP156" s="291">
        <f t="shared" si="55"/>
        <v>0</v>
      </c>
      <c r="AQ156" s="31">
        <f t="shared" si="56"/>
        <v>0</v>
      </c>
      <c r="AR156" s="4" t="e">
        <f>COUNTIF(V156:W156,"=  ")+COUNTIF(X156:AH156,"=  ")+COUNTIF(AJ156,"=  ")+COUNTIF(AL156,"=  ")+COUNTIF(#REF!,"=  ")+COUNTIF(#REF!,"=  ")+COUNTIF(#REF!,"=  ")</f>
        <v>#REF!</v>
      </c>
      <c r="AS156" s="101" t="e">
        <f>COUNTIF(Y156,"=  ")+COUNTIF(AI156,"=  ")+COUNTIF(AK156,"=  ")+COUNTIF(AM156,"=  ")+COUNTIF(AC156,"=  ")+COUNTIF(#REF!,"=  ")</f>
        <v>#REF!</v>
      </c>
    </row>
    <row r="157" spans="1:45" ht="12.75" customHeight="1" x14ac:dyDescent="0.2">
      <c r="A157" s="47">
        <v>89</v>
      </c>
      <c r="B157" s="141">
        <f t="shared" si="57"/>
        <v>88</v>
      </c>
      <c r="C157" s="139">
        <f t="shared" si="47"/>
        <v>10001</v>
      </c>
      <c r="D157" s="49" t="s">
        <v>151</v>
      </c>
      <c r="E157" s="141" t="str">
        <f t="shared" si="48"/>
        <v/>
      </c>
      <c r="F157" s="138">
        <f t="shared" si="49"/>
        <v>0</v>
      </c>
      <c r="G157" s="383" t="s">
        <v>151</v>
      </c>
      <c r="H157" s="141" t="str">
        <f t="shared" si="50"/>
        <v/>
      </c>
      <c r="I157" s="221">
        <f t="shared" si="51"/>
        <v>0</v>
      </c>
      <c r="J157" s="71">
        <f t="shared" si="52"/>
        <v>126</v>
      </c>
      <c r="K157" s="70">
        <v>126</v>
      </c>
      <c r="L157" s="211" t="s">
        <v>78</v>
      </c>
      <c r="M157" s="70">
        <v>1</v>
      </c>
      <c r="N157" s="141">
        <f t="array" ref="N157">(IF(COUNT(V157,X157,AG157,AI157,AK157,AM157)&lt;5,SUM(V157,X157,AG157,AI157,AK157,AM157),SUM(LARGE((V157,X157,AG157,AI157,AK157,AM157),{1;2;3;4;5}))))+(IF(COUNT(W157,Y157,AC157,AH157,AJ157,AL157)&lt;5,SUM(W157,Y157,AC157,AH157,AJ157,AL157),SUM(LARGE((W157,Y157,AC157,AH157,AJ157,AL157),{1;2;3;4;5}))))+U157</f>
        <v>1</v>
      </c>
      <c r="O157" s="796">
        <v>0</v>
      </c>
      <c r="P157" s="132">
        <f t="array" ref="P157">IF(S157="n",((IF(COUNT(V157,X157,AG157,AI157,AK157,AM157)&lt;5,SUM(V157,X157,AG157,AI157,AK157,AM157),SUM(LARGE((V157,X157,AG157,AI157,AK157,AM157),{1;2;3;4;5}))))+(IF(COUNT(W157,AA157,AE157,AH157,AJ157,AL157)&lt;5,SUM(W157,AA157,AE157,AH157,AJ157,AL157),SUM(LARGE((W157,AA157,AE157,AH157,AJ157,AL157),{1;2;3;4;5}))))+U157),0)</f>
        <v>0</v>
      </c>
      <c r="Q157" s="797">
        <v>0</v>
      </c>
      <c r="R157" s="132">
        <f t="array" ref="R157">IF(T157="j",((IF(COUNT(V157,X157,AG157,AI157,AK157,AM157)&lt;5,SUM(V157,X157,AG157,AI157,AK157,AM157),SUM(LARGE((V157,X157,AG157,AI157,AK157,AM157),{1;2;3;4;5}))))+(IF(COUNT(W157,AB157,AC157,AH157,AJ157,AL157)&lt;5,SUM(W157,AB157,AC157,AH157,AJ157,AL157),SUM(LARGE((W157,AB157,AC157,AH157,AJ157,AL157),{1;2;3;4;5}))))+U157),0)</f>
        <v>0</v>
      </c>
      <c r="S157" s="676"/>
      <c r="T157" s="676"/>
      <c r="U157" s="915">
        <v>1</v>
      </c>
      <c r="V157" s="316" t="s">
        <v>156</v>
      </c>
      <c r="W157" s="316" t="s">
        <v>156</v>
      </c>
      <c r="X157" s="137"/>
      <c r="Y157" s="137"/>
      <c r="Z157" s="960"/>
      <c r="AA157" s="961"/>
      <c r="AB157" s="962"/>
      <c r="AC157" s="137"/>
      <c r="AD157" s="960"/>
      <c r="AE157" s="961"/>
      <c r="AF157" s="732"/>
      <c r="AG157" s="137"/>
      <c r="AH157" s="137"/>
      <c r="AI157" s="137"/>
      <c r="AJ157" s="137"/>
      <c r="AK157" s="137"/>
      <c r="AL157" s="137"/>
      <c r="AM157" s="137"/>
      <c r="AN157" s="30">
        <f t="shared" si="53"/>
        <v>0</v>
      </c>
      <c r="AO157" s="312">
        <f t="shared" si="54"/>
        <v>0</v>
      </c>
      <c r="AP157" s="291">
        <f t="shared" si="55"/>
        <v>0</v>
      </c>
      <c r="AQ157" s="31">
        <f t="shared" si="56"/>
        <v>0</v>
      </c>
      <c r="AR157" s="4" t="e">
        <f>COUNTIF(V157:W157,"=  ")+COUNTIF(X157:AH157,"=  ")+COUNTIF(AJ157,"=  ")+COUNTIF(AL157,"=  ")+COUNTIF(#REF!,"=  ")+COUNTIF(#REF!,"=  ")+COUNTIF(#REF!,"=  ")</f>
        <v>#REF!</v>
      </c>
      <c r="AS157" s="101" t="e">
        <f>COUNTIF(Y157,"=  ")+COUNTIF(AI157,"=  ")+COUNTIF(AK157,"=  ")+COUNTIF(AM157,"=  ")+COUNTIF(AC157,"=  ")+COUNTIF(#REF!,"=  ")</f>
        <v>#REF!</v>
      </c>
    </row>
    <row r="158" spans="1:45" ht="12.75" customHeight="1" x14ac:dyDescent="0.2">
      <c r="A158" s="47" t="s">
        <v>151</v>
      </c>
      <c r="B158" s="141" t="str">
        <f t="shared" si="57"/>
        <v/>
      </c>
      <c r="C158" s="139">
        <f t="shared" si="47"/>
        <v>0</v>
      </c>
      <c r="D158" s="49">
        <v>39</v>
      </c>
      <c r="E158" s="141">
        <f t="shared" si="48"/>
        <v>39</v>
      </c>
      <c r="F158" s="138">
        <f t="shared" si="49"/>
        <v>10001</v>
      </c>
      <c r="G158" s="383" t="s">
        <v>151</v>
      </c>
      <c r="H158" s="141" t="str">
        <f t="shared" si="50"/>
        <v/>
      </c>
      <c r="I158" s="221">
        <f t="shared" si="51"/>
        <v>0</v>
      </c>
      <c r="J158" s="71">
        <f t="shared" si="52"/>
        <v>126</v>
      </c>
      <c r="K158" s="70">
        <v>126</v>
      </c>
      <c r="L158" s="51" t="s">
        <v>340</v>
      </c>
      <c r="M158" s="70">
        <v>1</v>
      </c>
      <c r="N158" s="141">
        <f t="array" ref="N158">(IF(COUNT(V158,X158,AG158,AI158,AK158,AM158)&lt;5,SUM(V158,X158,AG158,AI158,AK158,AM158),SUM(LARGE((V158,X158,AG158,AI158,AK158,AM158),{1;2;3;4;5}))))+(IF(COUNT(W158,Y158,AC158,AH158,AJ158,AL158)&lt;5,SUM(W158,Y158,AC158,AH158,AJ158,AL158),SUM(LARGE((W158,Y158,AC158,AH158,AJ158,AL158),{1;2;3;4;5}))))+U158</f>
        <v>1</v>
      </c>
      <c r="O158" s="796">
        <v>1</v>
      </c>
      <c r="P158" s="132">
        <f t="array" ref="P158">IF(S158="n",((IF(COUNT(V158,X158,AG158,AI158,AK158,AM158)&lt;5,SUM(V158,X158,AG158,AI158,AK158,AM158),SUM(LARGE((V158,X158,AG158,AI158,AK158,AM158),{1;2;3;4;5}))))+(IF(COUNT(W158,AA158,AE158,AH158,AJ158,AL158)&lt;5,SUM(W158,AA158,AE158,AH158,AJ158,AL158),SUM(LARGE((W158,AA158,AE158,AH158,AJ158,AL158),{1;2;3;4;5}))))+U158),0)</f>
        <v>1</v>
      </c>
      <c r="Q158" s="797">
        <v>0</v>
      </c>
      <c r="R158" s="132">
        <f t="array" ref="R158">IF(T158="j",((IF(COUNT(V158,X158,AG158,AI158,AK158,AM158)&lt;5,SUM(V158,X158,AG158,AI158,AK158,AM158),SUM(LARGE((V158,X158,AG158,AI158,AK158,AM158),{1;2;3;4;5}))))+(IF(COUNT(W158,AB158,AC158,AH158,AJ158,AL158)&lt;5,SUM(W158,AB158,AC158,AH158,AJ158,AL158),SUM(LARGE((W158,AB158,AC158,AH158,AJ158,AL158),{1;2;3;4;5}))))+U158),0)</f>
        <v>0</v>
      </c>
      <c r="S158" s="676" t="s">
        <v>33</v>
      </c>
      <c r="T158" s="676"/>
      <c r="U158" s="915">
        <v>1</v>
      </c>
      <c r="V158" s="316" t="s">
        <v>156</v>
      </c>
      <c r="W158" s="316" t="s">
        <v>156</v>
      </c>
      <c r="X158" s="137"/>
      <c r="Y158" s="137"/>
      <c r="Z158" s="960"/>
      <c r="AA158" s="961"/>
      <c r="AB158" s="962"/>
      <c r="AC158" s="137"/>
      <c r="AD158" s="960"/>
      <c r="AE158" s="961"/>
      <c r="AF158" s="732"/>
      <c r="AG158" s="137"/>
      <c r="AH158" s="137"/>
      <c r="AI158" s="137"/>
      <c r="AJ158" s="137"/>
      <c r="AK158" s="137"/>
      <c r="AL158" s="137"/>
      <c r="AM158" s="137"/>
      <c r="AN158" s="30">
        <f t="shared" si="53"/>
        <v>0</v>
      </c>
      <c r="AO158" s="312">
        <f t="shared" si="54"/>
        <v>0</v>
      </c>
      <c r="AP158" s="291">
        <f t="shared" si="55"/>
        <v>0</v>
      </c>
      <c r="AQ158" s="31">
        <f t="shared" si="56"/>
        <v>0</v>
      </c>
      <c r="AR158" s="4" t="e">
        <f>COUNTIF(V158:W158,"=  ")+COUNTIF(X158:AH158,"=  ")+COUNTIF(AJ158,"=  ")+COUNTIF(AL158,"=  ")+COUNTIF(#REF!,"=  ")+COUNTIF(#REF!,"=  ")+COUNTIF(#REF!,"=  ")</f>
        <v>#REF!</v>
      </c>
      <c r="AS158" s="101" t="e">
        <f>COUNTIF(Y158,"=  ")+COUNTIF(AI158,"=  ")+COUNTIF(AK158,"=  ")+COUNTIF(AM158,"=  ")+COUNTIF(AC158,"=  ")+COUNTIF(#REF!,"=  ")</f>
        <v>#REF!</v>
      </c>
    </row>
    <row r="159" spans="1:45" ht="12.75" customHeight="1" x14ac:dyDescent="0.2">
      <c r="A159" s="47">
        <v>89</v>
      </c>
      <c r="B159" s="141">
        <f t="shared" si="57"/>
        <v>88</v>
      </c>
      <c r="C159" s="139">
        <f t="shared" si="47"/>
        <v>10001</v>
      </c>
      <c r="D159" s="49" t="s">
        <v>151</v>
      </c>
      <c r="E159" s="141" t="str">
        <f t="shared" si="48"/>
        <v/>
      </c>
      <c r="F159" s="138">
        <f t="shared" si="49"/>
        <v>0</v>
      </c>
      <c r="G159" s="383" t="s">
        <v>151</v>
      </c>
      <c r="H159" s="141" t="str">
        <f t="shared" si="50"/>
        <v/>
      </c>
      <c r="I159" s="221">
        <f t="shared" si="51"/>
        <v>0</v>
      </c>
      <c r="J159" s="71">
        <f t="shared" si="52"/>
        <v>126</v>
      </c>
      <c r="K159" s="70">
        <v>126</v>
      </c>
      <c r="L159" s="263" t="s">
        <v>149</v>
      </c>
      <c r="M159" s="70">
        <v>1</v>
      </c>
      <c r="N159" s="141">
        <f t="array" ref="N159">(IF(COUNT(V159,X159,AG159,AI159,AK159,AM159)&lt;5,SUM(V159,X159,AG159,AI159,AK159,AM159),SUM(LARGE((V159,X159,AG159,AI159,AK159,AM159),{1;2;3;4;5}))))+(IF(COUNT(W159,Y159,AC159,AH159,AJ159,AL159)&lt;5,SUM(W159,Y159,AC159,AH159,AJ159,AL159),SUM(LARGE((W159,Y159,AC159,AH159,AJ159,AL159),{1;2;3;4;5}))))+U159</f>
        <v>1</v>
      </c>
      <c r="O159" s="796">
        <v>0</v>
      </c>
      <c r="P159" s="132">
        <f t="array" ref="P159">IF(S159="n",((IF(COUNT(V159,X159,AG159,AI159,AK159,AM159)&lt;5,SUM(V159,X159,AG159,AI159,AK159,AM159),SUM(LARGE((V159,X159,AG159,AI159,AK159,AM159),{1;2;3;4;5}))))+(IF(COUNT(W159,AA159,AE159,AH159,AJ159,AL159)&lt;5,SUM(W159,AA159,AE159,AH159,AJ159,AL159),SUM(LARGE((W159,AA159,AE159,AH159,AJ159,AL159),{1;2;3;4;5}))))+U159),0)</f>
        <v>0</v>
      </c>
      <c r="Q159" s="797">
        <v>0</v>
      </c>
      <c r="R159" s="132">
        <f t="array" ref="R159">IF(T159="j",((IF(COUNT(V159,X159,AG159,AI159,AK159,AM159)&lt;5,SUM(V159,X159,AG159,AI159,AK159,AM159),SUM(LARGE((V159,X159,AG159,AI159,AK159,AM159),{1;2;3;4;5}))))+(IF(COUNT(W159,AB159,AC159,AH159,AJ159,AL159)&lt;5,SUM(W159,AB159,AC159,AH159,AJ159,AL159),SUM(LARGE((W159,AB159,AC159,AH159,AJ159,AL159),{1;2;3;4;5}))))+U159),0)</f>
        <v>0</v>
      </c>
      <c r="S159" s="676"/>
      <c r="T159" s="676"/>
      <c r="U159" s="915">
        <v>1</v>
      </c>
      <c r="V159" s="316" t="s">
        <v>156</v>
      </c>
      <c r="W159" s="316" t="s">
        <v>156</v>
      </c>
      <c r="X159" s="137"/>
      <c r="Y159" s="137"/>
      <c r="Z159" s="960"/>
      <c r="AA159" s="961"/>
      <c r="AB159" s="962"/>
      <c r="AC159" s="137"/>
      <c r="AD159" s="960"/>
      <c r="AE159" s="961"/>
      <c r="AF159" s="732"/>
      <c r="AG159" s="137"/>
      <c r="AH159" s="137"/>
      <c r="AI159" s="137"/>
      <c r="AJ159" s="137"/>
      <c r="AK159" s="137"/>
      <c r="AL159" s="137"/>
      <c r="AM159" s="137"/>
      <c r="AN159" s="30">
        <f t="shared" si="53"/>
        <v>0</v>
      </c>
      <c r="AO159" s="312">
        <f t="shared" si="54"/>
        <v>0</v>
      </c>
      <c r="AP159" s="291">
        <f t="shared" si="55"/>
        <v>0</v>
      </c>
      <c r="AQ159" s="31">
        <f t="shared" si="56"/>
        <v>0</v>
      </c>
      <c r="AR159" s="4" t="e">
        <f>COUNTIF(V159:W159,"=  ")+COUNTIF(X159:AH159,"=  ")+COUNTIF(AJ159,"=  ")+COUNTIF(AL159,"=  ")+COUNTIF(#REF!,"=  ")+COUNTIF(#REF!,"=  ")+COUNTIF(#REF!,"=  ")</f>
        <v>#REF!</v>
      </c>
      <c r="AS159" s="101" t="e">
        <f>COUNTIF(Y159,"=  ")+COUNTIF(AI159,"=  ")+COUNTIF(AK159,"=  ")+COUNTIF(AM159,"=  ")+COUNTIF(AC159,"=  ")+COUNTIF(#REF!,"=  ")</f>
        <v>#REF!</v>
      </c>
    </row>
    <row r="160" spans="1:45" ht="12.75" customHeight="1" x14ac:dyDescent="0.2">
      <c r="A160" s="47">
        <v>89</v>
      </c>
      <c r="B160" s="141">
        <f t="shared" si="57"/>
        <v>88</v>
      </c>
      <c r="C160" s="139">
        <f t="shared" si="47"/>
        <v>10001</v>
      </c>
      <c r="D160" s="49" t="s">
        <v>151</v>
      </c>
      <c r="E160" s="141" t="str">
        <f t="shared" si="48"/>
        <v/>
      </c>
      <c r="F160" s="138">
        <f t="shared" si="49"/>
        <v>0</v>
      </c>
      <c r="G160" s="383" t="s">
        <v>151</v>
      </c>
      <c r="H160" s="141" t="str">
        <f t="shared" si="50"/>
        <v/>
      </c>
      <c r="I160" s="221">
        <f t="shared" si="51"/>
        <v>0</v>
      </c>
      <c r="J160" s="71">
        <f t="shared" si="52"/>
        <v>126</v>
      </c>
      <c r="K160" s="70">
        <v>126</v>
      </c>
      <c r="L160" s="263" t="s">
        <v>341</v>
      </c>
      <c r="M160" s="70">
        <v>1</v>
      </c>
      <c r="N160" s="141">
        <f t="array" ref="N160">(IF(COUNT(V160,X160,AG160,AI160,AK160,AM160)&lt;5,SUM(V160,X160,AG160,AI160,AK160,AM160),SUM(LARGE((V160,X160,AG160,AI160,AK160,AM160),{1;2;3;4;5}))))+(IF(COUNT(W160,Y160,AC160,AH160,AJ160,AL160)&lt;5,SUM(W160,Y160,AC160,AH160,AJ160,AL160),SUM(LARGE((W160,Y160,AC160,AH160,AJ160,AL160),{1;2;3;4;5}))))+U160</f>
        <v>1</v>
      </c>
      <c r="O160" s="796">
        <v>0</v>
      </c>
      <c r="P160" s="132">
        <f t="array" ref="P160">IF(S160="n",((IF(COUNT(V160,X160,AG160,AI160,AK160,AM160)&lt;5,SUM(V160,X160,AG160,AI160,AK160,AM160),SUM(LARGE((V160,X160,AG160,AI160,AK160,AM160),{1;2;3;4;5}))))+(IF(COUNT(W160,AA160,AE160,AH160,AJ160,AL160)&lt;5,SUM(W160,AA160,AE160,AH160,AJ160,AL160),SUM(LARGE((W160,AA160,AE160,AH160,AJ160,AL160),{1;2;3;4;5}))))+U160),0)</f>
        <v>0</v>
      </c>
      <c r="Q160" s="797">
        <v>0</v>
      </c>
      <c r="R160" s="132">
        <f t="array" ref="R160">IF(T160="j",((IF(COUNT(V160,X160,AG160,AI160,AK160,AM160)&lt;5,SUM(V160,X160,AG160,AI160,AK160,AM160),SUM(LARGE((V160,X160,AG160,AI160,AK160,AM160),{1;2;3;4;5}))))+(IF(COUNT(W160,AB160,AC160,AH160,AJ160,AL160)&lt;5,SUM(W160,AB160,AC160,AH160,AJ160,AL160),SUM(LARGE((W160,AB160,AC160,AH160,AJ160,AL160),{1;2;3;4;5}))))+U160),0)</f>
        <v>0</v>
      </c>
      <c r="S160" s="676"/>
      <c r="T160" s="676"/>
      <c r="U160" s="915">
        <v>1</v>
      </c>
      <c r="V160" s="316" t="s">
        <v>156</v>
      </c>
      <c r="W160" s="316" t="s">
        <v>156</v>
      </c>
      <c r="X160" s="137"/>
      <c r="Y160" s="137"/>
      <c r="Z160" s="960"/>
      <c r="AA160" s="961"/>
      <c r="AB160" s="962"/>
      <c r="AC160" s="137"/>
      <c r="AD160" s="960"/>
      <c r="AE160" s="961"/>
      <c r="AF160" s="732"/>
      <c r="AG160" s="137"/>
      <c r="AH160" s="137"/>
      <c r="AI160" s="137"/>
      <c r="AJ160" s="137"/>
      <c r="AK160" s="137"/>
      <c r="AL160" s="137"/>
      <c r="AM160" s="137"/>
      <c r="AN160" s="30">
        <f t="shared" si="53"/>
        <v>0</v>
      </c>
      <c r="AO160" s="312">
        <f t="shared" si="54"/>
        <v>0</v>
      </c>
      <c r="AP160" s="291">
        <f t="shared" si="55"/>
        <v>0</v>
      </c>
      <c r="AQ160" s="31">
        <f t="shared" si="56"/>
        <v>0</v>
      </c>
      <c r="AR160" s="4" t="e">
        <f>COUNTIF(V160:W160,"=  ")+COUNTIF(X160:AH160,"=  ")+COUNTIF(AJ160,"=  ")+COUNTIF(AL160,"=  ")+COUNTIF(#REF!,"=  ")+COUNTIF(#REF!,"=  ")+COUNTIF(#REF!,"=  ")</f>
        <v>#REF!</v>
      </c>
      <c r="AS160" s="101" t="e">
        <f>COUNTIF(Y160,"=  ")+COUNTIF(AI160,"=  ")+COUNTIF(AK160,"=  ")+COUNTIF(AM160,"=  ")+COUNTIF(AC160,"=  ")+COUNTIF(#REF!,"=  ")</f>
        <v>#REF!</v>
      </c>
    </row>
    <row r="161" spans="1:45" ht="12.75" customHeight="1" x14ac:dyDescent="0.2">
      <c r="A161" s="47">
        <v>89</v>
      </c>
      <c r="B161" s="141">
        <f t="shared" si="57"/>
        <v>88</v>
      </c>
      <c r="C161" s="139">
        <f t="shared" si="47"/>
        <v>10001</v>
      </c>
      <c r="D161" s="49" t="s">
        <v>151</v>
      </c>
      <c r="E161" s="141" t="str">
        <f t="shared" si="48"/>
        <v/>
      </c>
      <c r="F161" s="138">
        <f t="shared" si="49"/>
        <v>0</v>
      </c>
      <c r="G161" s="383" t="s">
        <v>151</v>
      </c>
      <c r="H161" s="141" t="str">
        <f t="shared" si="50"/>
        <v/>
      </c>
      <c r="I161" s="221">
        <f t="shared" si="51"/>
        <v>0</v>
      </c>
      <c r="J161" s="71">
        <f t="shared" si="52"/>
        <v>126</v>
      </c>
      <c r="K161" s="70">
        <v>126</v>
      </c>
      <c r="L161" s="263" t="s">
        <v>346</v>
      </c>
      <c r="M161" s="70">
        <v>1</v>
      </c>
      <c r="N161" s="141">
        <f t="array" ref="N161">(IF(COUNT(V161,X161,AG161,AI161,AK161,AM161)&lt;5,SUM(V161,X161,AG161,AI161,AK161,AM161),SUM(LARGE((V161,X161,AG161,AI161,AK161,AM161),{1;2;3;4;5}))))+(IF(COUNT(W161,Y161,AC161,AH161,AJ161,AL161)&lt;5,SUM(W161,Y161,AC161,AH161,AJ161,AL161),SUM(LARGE((W161,Y161,AC161,AH161,AJ161,AL161),{1;2;3;4;5}))))+U161</f>
        <v>1</v>
      </c>
      <c r="O161" s="796">
        <v>0</v>
      </c>
      <c r="P161" s="132">
        <f t="array" ref="P161">IF(S161="n",((IF(COUNT(V161,X161,AG161,AI161,AK161,AM161)&lt;5,SUM(V161,X161,AG161,AI161,AK161,AM161),SUM(LARGE((V161,X161,AG161,AI161,AK161,AM161),{1;2;3;4;5}))))+(IF(COUNT(W161,AA161,AE161,AH161,AJ161,AL161)&lt;5,SUM(W161,AA161,AE161,AH161,AJ161,AL161),SUM(LARGE((W161,AA161,AE161,AH161,AJ161,AL161),{1;2;3;4;5}))))+U161),0)</f>
        <v>0</v>
      </c>
      <c r="Q161" s="797">
        <v>0</v>
      </c>
      <c r="R161" s="132">
        <f t="array" ref="R161">IF(T161="j",((IF(COUNT(V161,X161,AG161,AI161,AK161,AM161)&lt;5,SUM(V161,X161,AG161,AI161,AK161,AM161),SUM(LARGE((V161,X161,AG161,AI161,AK161,AM161),{1;2;3;4;5}))))+(IF(COUNT(W161,AB161,AC161,AH161,AJ161,AL161)&lt;5,SUM(W161,AB161,AC161,AH161,AJ161,AL161),SUM(LARGE((W161,AB161,AC161,AH161,AJ161,AL161),{1;2;3;4;5}))))+U161),0)</f>
        <v>0</v>
      </c>
      <c r="S161" s="676"/>
      <c r="T161" s="676"/>
      <c r="U161" s="915">
        <v>1</v>
      </c>
      <c r="V161" s="316" t="s">
        <v>156</v>
      </c>
      <c r="W161" s="316" t="s">
        <v>156</v>
      </c>
      <c r="X161" s="137"/>
      <c r="Y161" s="137"/>
      <c r="Z161" s="960"/>
      <c r="AA161" s="961"/>
      <c r="AB161" s="962"/>
      <c r="AC161" s="137"/>
      <c r="AD161" s="960"/>
      <c r="AE161" s="961"/>
      <c r="AF161" s="732"/>
      <c r="AG161" s="137"/>
      <c r="AH161" s="137"/>
      <c r="AI161" s="137"/>
      <c r="AJ161" s="137"/>
      <c r="AK161" s="137"/>
      <c r="AL161" s="137"/>
      <c r="AM161" s="137"/>
      <c r="AN161" s="30">
        <f t="shared" si="53"/>
        <v>0</v>
      </c>
      <c r="AO161" s="312">
        <f t="shared" si="54"/>
        <v>0</v>
      </c>
      <c r="AP161" s="291">
        <f t="shared" si="55"/>
        <v>0</v>
      </c>
      <c r="AQ161" s="31">
        <f t="shared" si="56"/>
        <v>0</v>
      </c>
      <c r="AR161" s="4" t="e">
        <f>COUNTIF(V161:W161,"=  ")+COUNTIF(X161:AH161,"=  ")+COUNTIF(AJ161,"=  ")+COUNTIF(AL161,"=  ")+COUNTIF(#REF!,"=  ")+COUNTIF(#REF!,"=  ")+COUNTIF(#REF!,"=  ")</f>
        <v>#REF!</v>
      </c>
      <c r="AS161" s="101" t="e">
        <f>COUNTIF(Y161,"=  ")+COUNTIF(AI161,"=  ")+COUNTIF(AK161,"=  ")+COUNTIF(AM161,"=  ")+COUNTIF(AC161,"=  ")+COUNTIF(#REF!,"=  ")</f>
        <v>#REF!</v>
      </c>
    </row>
    <row r="162" spans="1:45" x14ac:dyDescent="0.2">
      <c r="A162" s="87">
        <f>COUNT(A9:A161)</f>
        <v>106</v>
      </c>
      <c r="B162" s="87">
        <f>COUNT(B9:B161)</f>
        <v>105</v>
      </c>
      <c r="C162" s="32"/>
      <c r="D162" s="88">
        <f>COUNT(D9:D161)</f>
        <v>48</v>
      </c>
      <c r="E162" s="88">
        <f>COUNT(E9:E161)</f>
        <v>48</v>
      </c>
      <c r="F162" s="32"/>
      <c r="G162" s="384">
        <f>COUNT(G9:G161)</f>
        <v>10</v>
      </c>
      <c r="H162" s="222">
        <f>COUNT(H9:H161)</f>
        <v>10</v>
      </c>
      <c r="I162" s="32"/>
      <c r="J162" s="32"/>
      <c r="K162" s="32">
        <f>COUNT(K9:K161)</f>
        <v>153</v>
      </c>
      <c r="L162" s="418" t="s">
        <v>90</v>
      </c>
      <c r="M162" s="33"/>
      <c r="N162" s="33"/>
      <c r="O162" s="33"/>
      <c r="P162" s="33"/>
      <c r="Q162" s="33"/>
      <c r="R162" s="33"/>
      <c r="S162" s="33"/>
      <c r="T162" s="33"/>
      <c r="U162" s="34">
        <f>COUNTIF(U9:U161,"&gt;=0")</f>
        <v>114</v>
      </c>
      <c r="V162" s="58">
        <f t="shared" ref="V162:AM162" si="58">COUNTIF(V9:V161,"&gt;=0")+COUNTIF(V9:V161,"=v")+COUNTIF(V9:V161,"=w")</f>
        <v>34</v>
      </c>
      <c r="W162" s="58">
        <f t="shared" si="58"/>
        <v>42</v>
      </c>
      <c r="X162" s="58">
        <f t="shared" si="58"/>
        <v>46</v>
      </c>
      <c r="Y162" s="58">
        <f t="shared" si="58"/>
        <v>36</v>
      </c>
      <c r="Z162" s="58">
        <f t="shared" si="58"/>
        <v>23</v>
      </c>
      <c r="AA162" s="58">
        <f t="shared" si="58"/>
        <v>9</v>
      </c>
      <c r="AB162" s="58">
        <f t="shared" si="58"/>
        <v>4</v>
      </c>
      <c r="AC162" s="58">
        <f t="shared" si="58"/>
        <v>32</v>
      </c>
      <c r="AD162" s="58">
        <f t="shared" si="58"/>
        <v>26</v>
      </c>
      <c r="AE162" s="58">
        <f t="shared" si="58"/>
        <v>6</v>
      </c>
      <c r="AF162" s="58">
        <f t="shared" si="58"/>
        <v>3</v>
      </c>
      <c r="AG162" s="58">
        <f t="shared" si="58"/>
        <v>49</v>
      </c>
      <c r="AH162" s="58">
        <f t="shared" si="58"/>
        <v>41</v>
      </c>
      <c r="AI162" s="58">
        <f t="shared" si="58"/>
        <v>26</v>
      </c>
      <c r="AJ162" s="58">
        <f t="shared" si="58"/>
        <v>34</v>
      </c>
      <c r="AK162" s="58">
        <f t="shared" si="58"/>
        <v>42</v>
      </c>
      <c r="AL162" s="58">
        <f t="shared" si="58"/>
        <v>50</v>
      </c>
      <c r="AM162" s="58">
        <f t="shared" si="58"/>
        <v>37</v>
      </c>
      <c r="AN162" s="33"/>
      <c r="AO162" s="35">
        <f>SUM(AO9:AO161)</f>
        <v>93</v>
      </c>
      <c r="AP162" s="35">
        <f>SUM(AP9:AP161)</f>
        <v>32</v>
      </c>
      <c r="AQ162" s="36">
        <f>SUM(AQ9:AQ161)</f>
        <v>15</v>
      </c>
    </row>
    <row r="163" spans="1:45" x14ac:dyDescent="0.2">
      <c r="A163" s="37"/>
      <c r="B163" s="37"/>
      <c r="C163" s="37"/>
      <c r="D163" s="37"/>
      <c r="E163" s="37"/>
      <c r="F163" s="37"/>
      <c r="G163" s="37"/>
      <c r="H163" s="37"/>
      <c r="I163" s="37"/>
      <c r="J163" s="37"/>
      <c r="K163" s="37"/>
      <c r="L163" s="419" t="s">
        <v>91</v>
      </c>
      <c r="M163" s="38"/>
      <c r="N163" s="11"/>
      <c r="O163" s="38"/>
      <c r="P163" s="11"/>
      <c r="Q163" s="38"/>
      <c r="R163" s="11"/>
      <c r="S163" s="11"/>
      <c r="T163" s="11"/>
      <c r="U163" s="11"/>
      <c r="V163" s="57">
        <f>IF((V162/(LEN(V7)-LEN(SUBSTITUTE(V7,"*","")))-0.5)&lt;0,"",V162/(LEN(V7)-LEN(SUBSTITUTE(V7,"*","")))-0.5)</f>
        <v>10.833333333333334</v>
      </c>
      <c r="W163" s="57">
        <f>IF((W162/(LEN(W7)-LEN(SUBSTITUTE(W7,"*","")))-0.5)&lt;0,"",W162/(LEN(W7)-LEN(SUBSTITUTE(W7,"*","")))-0.5)-1</f>
        <v>19.5</v>
      </c>
      <c r="X163" s="57">
        <f>IF((X162/(LEN(X7)-LEN(SUBSTITUTE(X7,"*","")))-0.5)&lt;0,"",X162/(LEN(X7)-LEN(SUBSTITUTE(X7,"*","")))-0.5)</f>
        <v>14.833333333333334</v>
      </c>
      <c r="Y163" s="57"/>
      <c r="Z163" s="57"/>
      <c r="AA163" s="57"/>
      <c r="AB163" s="57"/>
      <c r="AC163" s="57"/>
      <c r="AD163" s="57"/>
      <c r="AE163" s="57"/>
      <c r="AF163" s="57"/>
      <c r="AG163" s="57">
        <f t="shared" ref="AG163:AM163" si="59">IF((AG162/(LEN(AG7)-LEN(SUBSTITUTE(AG7,"*","")))-0.5)&lt;0,"",AG162/(LEN(AG7)-LEN(SUBSTITUTE(AG7,"*","")))-0.5)</f>
        <v>24</v>
      </c>
      <c r="AH163" s="57">
        <f t="shared" si="59"/>
        <v>20</v>
      </c>
      <c r="AI163" s="57">
        <f t="shared" si="59"/>
        <v>8.1666666666666661</v>
      </c>
      <c r="AJ163" s="57">
        <f t="shared" si="59"/>
        <v>10.833333333333334</v>
      </c>
      <c r="AK163" s="57">
        <f t="shared" si="59"/>
        <v>20.5</v>
      </c>
      <c r="AL163" s="57">
        <f t="shared" si="59"/>
        <v>16.166666666666668</v>
      </c>
      <c r="AM163" s="57">
        <f t="shared" si="59"/>
        <v>18</v>
      </c>
      <c r="AN163" s="37"/>
      <c r="AO163" s="37"/>
      <c r="AP163" s="37"/>
      <c r="AQ163" s="37"/>
    </row>
  </sheetData>
  <autoFilter ref="A8:AS163">
    <sortState ref="A9:AS163">
      <sortCondition descending="1" ref="M9"/>
    </sortState>
  </autoFilter>
  <conditionalFormatting sqref="AR9:AR161">
    <cfRule type="cellIs" dxfId="680" priority="177" stopIfTrue="1" operator="greaterThan">
      <formula>3</formula>
    </cfRule>
    <cfRule type="cellIs" dxfId="679" priority="178" stopIfTrue="1" operator="equal">
      <formula>3</formula>
    </cfRule>
  </conditionalFormatting>
  <conditionalFormatting sqref="AS9:AS161">
    <cfRule type="cellIs" dxfId="678" priority="175" stopIfTrue="1" operator="greaterThan">
      <formula>1</formula>
    </cfRule>
    <cfRule type="cellIs" dxfId="677" priority="176" stopIfTrue="1" operator="equal">
      <formula>1</formula>
    </cfRule>
  </conditionalFormatting>
  <conditionalFormatting sqref="R9:R161">
    <cfRule type="timePeriod" dxfId="676" priority="174" stopIfTrue="1" timePeriod="yesterday">
      <formula>FLOOR(R9,1)=TODAY()-1</formula>
    </cfRule>
  </conditionalFormatting>
  <conditionalFormatting sqref="V162:AM162">
    <cfRule type="top10" dxfId="675" priority="12549" stopIfTrue="1" rank="1"/>
  </conditionalFormatting>
  <conditionalFormatting sqref="L93">
    <cfRule type="duplicateValues" dxfId="674" priority="148"/>
  </conditionalFormatting>
  <conditionalFormatting sqref="L73">
    <cfRule type="duplicateValues" dxfId="673" priority="147"/>
  </conditionalFormatting>
  <conditionalFormatting sqref="L107 L80 L104 L67">
    <cfRule type="duplicateValues" dxfId="672" priority="146"/>
  </conditionalFormatting>
  <conditionalFormatting sqref="L102:L116 L123:L125 L118:L121 L9:L100">
    <cfRule type="duplicateValues" dxfId="671" priority="149"/>
  </conditionalFormatting>
  <conditionalFormatting sqref="V9:V21 V126 V78 V67 V31:V38 V23:V29 V128:V161 V41:V46 X9:X126 AM9:AM161 AK9:AK161 AI9:AI161 AG9:AG161">
    <cfRule type="cellIs" dxfId="670" priority="187" stopIfTrue="1" operator="equal">
      <formula>115</formula>
    </cfRule>
  </conditionalFormatting>
  <conditionalFormatting sqref="V68:V77 X130:X161 V79:V80 V93:V125">
    <cfRule type="cellIs" dxfId="669" priority="143" stopIfTrue="1" operator="equal">
      <formula>97</formula>
    </cfRule>
    <cfRule type="cellIs" dxfId="668" priority="144" stopIfTrue="1" operator="equal">
      <formula>105</formula>
    </cfRule>
    <cfRule type="cellIs" dxfId="667" priority="145" stopIfTrue="1" operator="equal">
      <formula>115</formula>
    </cfRule>
  </conditionalFormatting>
  <conditionalFormatting sqref="Y130:Z161 AL9:AL161 AJ9:AJ161 AH9:AH161 AD9:AF161 Z9:AB161 W9:W161">
    <cfRule type="cellIs" dxfId="666" priority="140" stopIfTrue="1" operator="equal">
      <formula>146</formula>
    </cfRule>
    <cfRule type="cellIs" dxfId="665" priority="141" stopIfTrue="1" operator="equal">
      <formula>158</formula>
    </cfRule>
    <cfRule type="cellIs" dxfId="664" priority="142" stopIfTrue="1" operator="equal">
      <formula>173</formula>
    </cfRule>
  </conditionalFormatting>
  <conditionalFormatting sqref="V127">
    <cfRule type="cellIs" dxfId="663" priority="134" stopIfTrue="1" operator="equal">
      <formula>97</formula>
    </cfRule>
    <cfRule type="cellIs" dxfId="662" priority="135" stopIfTrue="1" operator="equal">
      <formula>105</formula>
    </cfRule>
    <cfRule type="cellIs" dxfId="661" priority="136" stopIfTrue="1" operator="equal">
      <formula>115</formula>
    </cfRule>
  </conditionalFormatting>
  <conditionalFormatting sqref="W128">
    <cfRule type="cellIs" dxfId="660" priority="131" stopIfTrue="1" operator="equal">
      <formula>146</formula>
    </cfRule>
    <cfRule type="cellIs" dxfId="659" priority="132" stopIfTrue="1" operator="equal">
      <formula>158</formula>
    </cfRule>
    <cfRule type="cellIs" dxfId="658" priority="133" stopIfTrue="1" operator="equal">
      <formula>173</formula>
    </cfRule>
  </conditionalFormatting>
  <conditionalFormatting sqref="V81:V92">
    <cfRule type="cellIs" dxfId="657" priority="122" stopIfTrue="1" operator="equal">
      <formula>97</formula>
    </cfRule>
    <cfRule type="cellIs" dxfId="656" priority="123" stopIfTrue="1" operator="equal">
      <formula>105</formula>
    </cfRule>
    <cfRule type="cellIs" dxfId="655" priority="124" stopIfTrue="1" operator="equal">
      <formula>115</formula>
    </cfRule>
  </conditionalFormatting>
  <conditionalFormatting sqref="V47:V66">
    <cfRule type="cellIs" dxfId="654" priority="116" stopIfTrue="1" operator="equal">
      <formula>97</formula>
    </cfRule>
    <cfRule type="cellIs" dxfId="653" priority="117" stopIfTrue="1" operator="equal">
      <formula>105</formula>
    </cfRule>
    <cfRule type="cellIs" dxfId="652" priority="118" stopIfTrue="1" operator="equal">
      <formula>115</formula>
    </cfRule>
  </conditionalFormatting>
  <conditionalFormatting sqref="V39:V40">
    <cfRule type="cellIs" dxfId="651" priority="113" stopIfTrue="1" operator="equal">
      <formula>97</formula>
    </cfRule>
    <cfRule type="cellIs" dxfId="650" priority="114" stopIfTrue="1" operator="equal">
      <formula>105</formula>
    </cfRule>
    <cfRule type="cellIs" dxfId="649" priority="115" stopIfTrue="1" operator="equal">
      <formula>115</formula>
    </cfRule>
  </conditionalFormatting>
  <conditionalFormatting sqref="V30">
    <cfRule type="cellIs" dxfId="648" priority="110" stopIfTrue="1" operator="equal">
      <formula>97</formula>
    </cfRule>
    <cfRule type="cellIs" dxfId="647" priority="111" stopIfTrue="1" operator="equal">
      <formula>105</formula>
    </cfRule>
    <cfRule type="cellIs" dxfId="646" priority="112" stopIfTrue="1" operator="equal">
      <formula>115</formula>
    </cfRule>
  </conditionalFormatting>
  <conditionalFormatting sqref="V22">
    <cfRule type="cellIs" dxfId="645" priority="107" stopIfTrue="1" operator="equal">
      <formula>97</formula>
    </cfRule>
    <cfRule type="cellIs" dxfId="644" priority="108" stopIfTrue="1" operator="equal">
      <formula>105</formula>
    </cfRule>
    <cfRule type="cellIs" dxfId="643" priority="109" stopIfTrue="1" operator="equal">
      <formula>115</formula>
    </cfRule>
  </conditionalFormatting>
  <conditionalFormatting sqref="W127 W129">
    <cfRule type="cellIs" dxfId="642" priority="104" stopIfTrue="1" operator="equal">
      <formula>146</formula>
    </cfRule>
    <cfRule type="cellIs" dxfId="641" priority="105" stopIfTrue="1" operator="equal">
      <formula>158</formula>
    </cfRule>
    <cfRule type="cellIs" dxfId="640" priority="106" stopIfTrue="1" operator="equal">
      <formula>173</formula>
    </cfRule>
  </conditionalFormatting>
  <conditionalFormatting sqref="X127 X129">
    <cfRule type="cellIs" dxfId="639" priority="101" stopIfTrue="1" operator="equal">
      <formula>97</formula>
    </cfRule>
    <cfRule type="cellIs" dxfId="638" priority="102" stopIfTrue="1" operator="equal">
      <formula>105</formula>
    </cfRule>
    <cfRule type="cellIs" dxfId="637" priority="103" stopIfTrue="1" operator="equal">
      <formula>115</formula>
    </cfRule>
  </conditionalFormatting>
  <conditionalFormatting sqref="Y127:Z127 Y129:Z129">
    <cfRule type="cellIs" dxfId="636" priority="98" stopIfTrue="1" operator="equal">
      <formula>146</formula>
    </cfRule>
    <cfRule type="cellIs" dxfId="635" priority="99" stopIfTrue="1" operator="equal">
      <formula>158</formula>
    </cfRule>
    <cfRule type="cellIs" dxfId="634" priority="100" stopIfTrue="1" operator="equal">
      <formula>173</formula>
    </cfRule>
  </conditionalFormatting>
  <conditionalFormatting sqref="X128">
    <cfRule type="cellIs" dxfId="633" priority="92" stopIfTrue="1" operator="equal">
      <formula>97</formula>
    </cfRule>
    <cfRule type="cellIs" dxfId="632" priority="93" stopIfTrue="1" operator="equal">
      <formula>105</formula>
    </cfRule>
    <cfRule type="cellIs" dxfId="631" priority="94" stopIfTrue="1" operator="equal">
      <formula>115</formula>
    </cfRule>
  </conditionalFormatting>
  <conditionalFormatting sqref="Y128:Z128">
    <cfRule type="cellIs" dxfId="630" priority="89" stopIfTrue="1" operator="equal">
      <formula>146</formula>
    </cfRule>
    <cfRule type="cellIs" dxfId="629" priority="90" stopIfTrue="1" operator="equal">
      <formula>158</formula>
    </cfRule>
    <cfRule type="cellIs" dxfId="628" priority="91" stopIfTrue="1" operator="equal">
      <formula>173</formula>
    </cfRule>
  </conditionalFormatting>
  <conditionalFormatting sqref="W130">
    <cfRule type="cellIs" dxfId="627" priority="83" stopIfTrue="1" operator="equal">
      <formula>146</formula>
    </cfRule>
    <cfRule type="cellIs" dxfId="626" priority="84" stopIfTrue="1" operator="equal">
      <formula>158</formula>
    </cfRule>
    <cfRule type="cellIs" dxfId="625" priority="85" stopIfTrue="1" operator="equal">
      <formula>173</formula>
    </cfRule>
  </conditionalFormatting>
  <conditionalFormatting sqref="W122:W126">
    <cfRule type="cellIs" dxfId="624" priority="80" stopIfTrue="1" operator="equal">
      <formula>146</formula>
    </cfRule>
    <cfRule type="cellIs" dxfId="623" priority="81" stopIfTrue="1" operator="equal">
      <formula>158</formula>
    </cfRule>
    <cfRule type="cellIs" dxfId="622" priority="82" stopIfTrue="1" operator="equal">
      <formula>173</formula>
    </cfRule>
  </conditionalFormatting>
  <conditionalFormatting sqref="W116:W119">
    <cfRule type="cellIs" dxfId="621" priority="77" stopIfTrue="1" operator="equal">
      <formula>146</formula>
    </cfRule>
    <cfRule type="cellIs" dxfId="620" priority="78" stopIfTrue="1" operator="equal">
      <formula>158</formula>
    </cfRule>
    <cfRule type="cellIs" dxfId="619" priority="79" stopIfTrue="1" operator="equal">
      <formula>173</formula>
    </cfRule>
  </conditionalFormatting>
  <conditionalFormatting sqref="W112:W114">
    <cfRule type="cellIs" dxfId="618" priority="74" stopIfTrue="1" operator="equal">
      <formula>146</formula>
    </cfRule>
    <cfRule type="cellIs" dxfId="617" priority="75" stopIfTrue="1" operator="equal">
      <formula>158</formula>
    </cfRule>
    <cfRule type="cellIs" dxfId="616" priority="76" stopIfTrue="1" operator="equal">
      <formula>173</formula>
    </cfRule>
  </conditionalFormatting>
  <conditionalFormatting sqref="W106:W110">
    <cfRule type="cellIs" dxfId="615" priority="71" stopIfTrue="1" operator="equal">
      <formula>146</formula>
    </cfRule>
    <cfRule type="cellIs" dxfId="614" priority="72" stopIfTrue="1" operator="equal">
      <formula>158</formula>
    </cfRule>
    <cfRule type="cellIs" dxfId="613" priority="73" stopIfTrue="1" operator="equal">
      <formula>173</formula>
    </cfRule>
  </conditionalFormatting>
  <conditionalFormatting sqref="W95:W97">
    <cfRule type="cellIs" dxfId="612" priority="65" stopIfTrue="1" operator="equal">
      <formula>146</formula>
    </cfRule>
    <cfRule type="cellIs" dxfId="611" priority="66" stopIfTrue="1" operator="equal">
      <formula>158</formula>
    </cfRule>
    <cfRule type="cellIs" dxfId="610" priority="67" stopIfTrue="1" operator="equal">
      <formula>173</formula>
    </cfRule>
  </conditionalFormatting>
  <conditionalFormatting sqref="W92">
    <cfRule type="cellIs" dxfId="609" priority="62" stopIfTrue="1" operator="equal">
      <formula>146</formula>
    </cfRule>
    <cfRule type="cellIs" dxfId="608" priority="63" stopIfTrue="1" operator="equal">
      <formula>158</formula>
    </cfRule>
    <cfRule type="cellIs" dxfId="607" priority="64" stopIfTrue="1" operator="equal">
      <formula>173</formula>
    </cfRule>
  </conditionalFormatting>
  <conditionalFormatting sqref="W90">
    <cfRule type="cellIs" dxfId="606" priority="59" stopIfTrue="1" operator="equal">
      <formula>146</formula>
    </cfRule>
    <cfRule type="cellIs" dxfId="605" priority="60" stopIfTrue="1" operator="equal">
      <formula>158</formula>
    </cfRule>
    <cfRule type="cellIs" dxfId="604" priority="61" stopIfTrue="1" operator="equal">
      <formula>173</formula>
    </cfRule>
  </conditionalFormatting>
  <conditionalFormatting sqref="W81:W88">
    <cfRule type="cellIs" dxfId="603" priority="56" stopIfTrue="1" operator="equal">
      <formula>146</formula>
    </cfRule>
    <cfRule type="cellIs" dxfId="602" priority="57" stopIfTrue="1" operator="equal">
      <formula>158</formula>
    </cfRule>
    <cfRule type="cellIs" dxfId="601" priority="58" stopIfTrue="1" operator="equal">
      <formula>173</formula>
    </cfRule>
  </conditionalFormatting>
  <conditionalFormatting sqref="W64:W76">
    <cfRule type="cellIs" dxfId="600" priority="53" stopIfTrue="1" operator="equal">
      <formula>146</formula>
    </cfRule>
    <cfRule type="cellIs" dxfId="599" priority="54" stopIfTrue="1" operator="equal">
      <formula>158</formula>
    </cfRule>
    <cfRule type="cellIs" dxfId="598" priority="55" stopIfTrue="1" operator="equal">
      <formula>173</formula>
    </cfRule>
  </conditionalFormatting>
  <conditionalFormatting sqref="W61:W62">
    <cfRule type="cellIs" dxfId="597" priority="50" stopIfTrue="1" operator="equal">
      <formula>146</formula>
    </cfRule>
    <cfRule type="cellIs" dxfId="596" priority="51" stopIfTrue="1" operator="equal">
      <formula>158</formula>
    </cfRule>
    <cfRule type="cellIs" dxfId="595" priority="52" stopIfTrue="1" operator="equal">
      <formula>173</formula>
    </cfRule>
  </conditionalFormatting>
  <conditionalFormatting sqref="W58:W59">
    <cfRule type="cellIs" dxfId="594" priority="47" stopIfTrue="1" operator="equal">
      <formula>146</formula>
    </cfRule>
    <cfRule type="cellIs" dxfId="593" priority="48" stopIfTrue="1" operator="equal">
      <formula>158</formula>
    </cfRule>
    <cfRule type="cellIs" dxfId="592" priority="49" stopIfTrue="1" operator="equal">
      <formula>173</formula>
    </cfRule>
  </conditionalFormatting>
  <conditionalFormatting sqref="W56">
    <cfRule type="cellIs" dxfId="591" priority="44" stopIfTrue="1" operator="equal">
      <formula>146</formula>
    </cfRule>
    <cfRule type="cellIs" dxfId="590" priority="45" stopIfTrue="1" operator="equal">
      <formula>158</formula>
    </cfRule>
    <cfRule type="cellIs" dxfId="589" priority="46" stopIfTrue="1" operator="equal">
      <formula>173</formula>
    </cfRule>
  </conditionalFormatting>
  <conditionalFormatting sqref="W52:W54">
    <cfRule type="cellIs" dxfId="588" priority="41" stopIfTrue="1" operator="equal">
      <formula>146</formula>
    </cfRule>
    <cfRule type="cellIs" dxfId="587" priority="42" stopIfTrue="1" operator="equal">
      <formula>158</formula>
    </cfRule>
    <cfRule type="cellIs" dxfId="586" priority="43" stopIfTrue="1" operator="equal">
      <formula>173</formula>
    </cfRule>
  </conditionalFormatting>
  <conditionalFormatting sqref="W47">
    <cfRule type="cellIs" dxfId="585" priority="38" stopIfTrue="1" operator="equal">
      <formula>146</formula>
    </cfRule>
    <cfRule type="cellIs" dxfId="584" priority="39" stopIfTrue="1" operator="equal">
      <formula>158</formula>
    </cfRule>
    <cfRule type="cellIs" dxfId="583" priority="40" stopIfTrue="1" operator="equal">
      <formula>173</formula>
    </cfRule>
  </conditionalFormatting>
  <conditionalFormatting sqref="W39:W42 W44">
    <cfRule type="cellIs" dxfId="582" priority="35" stopIfTrue="1" operator="equal">
      <formula>146</formula>
    </cfRule>
    <cfRule type="cellIs" dxfId="581" priority="36" stopIfTrue="1" operator="equal">
      <formula>158</formula>
    </cfRule>
    <cfRule type="cellIs" dxfId="580" priority="37" stopIfTrue="1" operator="equal">
      <formula>173</formula>
    </cfRule>
  </conditionalFormatting>
  <conditionalFormatting sqref="W32:W34">
    <cfRule type="cellIs" dxfId="579" priority="32" stopIfTrue="1" operator="equal">
      <formula>146</formula>
    </cfRule>
    <cfRule type="cellIs" dxfId="578" priority="33" stopIfTrue="1" operator="equal">
      <formula>158</formula>
    </cfRule>
    <cfRule type="cellIs" dxfId="577" priority="34" stopIfTrue="1" operator="equal">
      <formula>173</formula>
    </cfRule>
  </conditionalFormatting>
  <conditionalFormatting sqref="W36">
    <cfRule type="cellIs" dxfId="576" priority="29" stopIfTrue="1" operator="equal">
      <formula>146</formula>
    </cfRule>
    <cfRule type="cellIs" dxfId="575" priority="30" stopIfTrue="1" operator="equal">
      <formula>158</formula>
    </cfRule>
    <cfRule type="cellIs" dxfId="574" priority="31" stopIfTrue="1" operator="equal">
      <formula>173</formula>
    </cfRule>
  </conditionalFormatting>
  <conditionalFormatting sqref="W30">
    <cfRule type="cellIs" dxfId="573" priority="26" stopIfTrue="1" operator="equal">
      <formula>146</formula>
    </cfRule>
    <cfRule type="cellIs" dxfId="572" priority="27" stopIfTrue="1" operator="equal">
      <formula>158</formula>
    </cfRule>
    <cfRule type="cellIs" dxfId="571" priority="28" stopIfTrue="1" operator="equal">
      <formula>173</formula>
    </cfRule>
  </conditionalFormatting>
  <conditionalFormatting sqref="W26:W28">
    <cfRule type="cellIs" dxfId="570" priority="23" stopIfTrue="1" operator="equal">
      <formula>146</formula>
    </cfRule>
    <cfRule type="cellIs" dxfId="569" priority="24" stopIfTrue="1" operator="equal">
      <formula>158</formula>
    </cfRule>
    <cfRule type="cellIs" dxfId="568" priority="25" stopIfTrue="1" operator="equal">
      <formula>173</formula>
    </cfRule>
  </conditionalFormatting>
  <conditionalFormatting sqref="W21:W22">
    <cfRule type="cellIs" dxfId="567" priority="20" stopIfTrue="1" operator="equal">
      <formula>146</formula>
    </cfRule>
    <cfRule type="cellIs" dxfId="566" priority="21" stopIfTrue="1" operator="equal">
      <formula>158</formula>
    </cfRule>
    <cfRule type="cellIs" dxfId="565" priority="22" stopIfTrue="1" operator="equal">
      <formula>173</formula>
    </cfRule>
  </conditionalFormatting>
  <conditionalFormatting sqref="W17:W18">
    <cfRule type="cellIs" dxfId="564" priority="17" stopIfTrue="1" operator="equal">
      <formula>146</formula>
    </cfRule>
    <cfRule type="cellIs" dxfId="563" priority="18" stopIfTrue="1" operator="equal">
      <formula>158</formula>
    </cfRule>
    <cfRule type="cellIs" dxfId="562" priority="19" stopIfTrue="1" operator="equal">
      <formula>173</formula>
    </cfRule>
  </conditionalFormatting>
  <conditionalFormatting sqref="W14">
    <cfRule type="cellIs" dxfId="561" priority="14" stopIfTrue="1" operator="equal">
      <formula>146</formula>
    </cfRule>
    <cfRule type="cellIs" dxfId="560" priority="15" stopIfTrue="1" operator="equal">
      <formula>158</formula>
    </cfRule>
    <cfRule type="cellIs" dxfId="559" priority="16" stopIfTrue="1" operator="equal">
      <formula>173</formula>
    </cfRule>
  </conditionalFormatting>
  <conditionalFormatting sqref="V9:V161 X9:X161 AI9:AI161 AK9:AK161 AM9:AM161 AG9:AG161">
    <cfRule type="cellIs" dxfId="558" priority="185" stopIfTrue="1" operator="equal">
      <formula>97</formula>
    </cfRule>
    <cfRule type="cellIs" dxfId="557" priority="186" stopIfTrue="1" operator="equal">
      <formula>105</formula>
    </cfRule>
  </conditionalFormatting>
  <conditionalFormatting sqref="L122 L117 L101 L126:L136 L138:L161">
    <cfRule type="duplicateValues" dxfId="556" priority="13330" stopIfTrue="1"/>
  </conditionalFormatting>
  <conditionalFormatting sqref="P9:P161">
    <cfRule type="duplicateValues" dxfId="555" priority="13334" stopIfTrue="1"/>
  </conditionalFormatting>
  <conditionalFormatting sqref="AN9:AN161">
    <cfRule type="top10" dxfId="554" priority="13335" stopIfTrue="1" rank="1"/>
  </conditionalFormatting>
  <conditionalFormatting sqref="AO9:AO161">
    <cfRule type="top10" dxfId="553" priority="13336" stopIfTrue="1" rank="1"/>
  </conditionalFormatting>
  <conditionalFormatting sqref="AP9:AP161">
    <cfRule type="top10" dxfId="552" priority="13337" stopIfTrue="1" rank="1"/>
  </conditionalFormatting>
  <conditionalFormatting sqref="AQ9:AQ161">
    <cfRule type="top10" dxfId="551" priority="13338" stopIfTrue="1" rank="1"/>
  </conditionalFormatting>
  <conditionalFormatting sqref="J9:J161">
    <cfRule type="duplicateValues" dxfId="550" priority="13339" stopIfTrue="1"/>
  </conditionalFormatting>
  <conditionalFormatting sqref="N9:N161">
    <cfRule type="duplicateValues" dxfId="549" priority="13340" stopIfTrue="1"/>
  </conditionalFormatting>
  <conditionalFormatting sqref="B9:B161">
    <cfRule type="duplicateValues" dxfId="548" priority="13341" stopIfTrue="1"/>
  </conditionalFormatting>
  <conditionalFormatting sqref="E9:E161">
    <cfRule type="duplicateValues" dxfId="547" priority="13342" stopIfTrue="1"/>
  </conditionalFormatting>
  <conditionalFormatting sqref="H9:H161">
    <cfRule type="duplicateValues" dxfId="546" priority="13343" stopIfTrue="1"/>
  </conditionalFormatting>
  <conditionalFormatting sqref="L9:L136 L138:L161">
    <cfRule type="duplicateValues" dxfId="545" priority="13344"/>
  </conditionalFormatting>
  <conditionalFormatting sqref="L137">
    <cfRule type="duplicateValues" dxfId="544" priority="3"/>
  </conditionalFormatting>
  <conditionalFormatting sqref="M9:M161">
    <cfRule type="duplicateValues" dxfId="543" priority="2"/>
  </conditionalFormatting>
  <conditionalFormatting sqref="K9:K161">
    <cfRule type="duplicateValues" dxfId="542" priority="1"/>
  </conditionalFormatting>
  <printOptions horizontalCentered="1"/>
  <pageMargins left="0.31496062992125984" right="0.31496062992125984" top="0.78740157480314965" bottom="0.31496062992125984" header="0.59055118110236227" footer="0"/>
  <pageSetup paperSize="9" fitToHeight="0" orientation="landscape" r:id="rId1"/>
  <headerFooter>
    <oddHeader>&amp;R&amp;"Arial,Regular"&amp;9Page &amp;P of &amp;N</oddHeader>
  </headerFooter>
  <ignoredErrors>
    <ignoredError sqref="AN9:AQ90" formulaRang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9"/>
  <sheetViews>
    <sheetView showGridLines="0" showRowColHeaders="0" zoomScaleNormal="100" workbookViewId="0">
      <pane ySplit="2" topLeftCell="A3" activePane="bottomLeft" state="frozen"/>
      <selection pane="bottomLeft" activeCell="H1" sqref="H1"/>
    </sheetView>
  </sheetViews>
  <sheetFormatPr defaultRowHeight="12.75" x14ac:dyDescent="0.2"/>
  <cols>
    <col min="1" max="1" width="3.28515625" style="97" customWidth="1"/>
    <col min="2" max="2" width="47.140625" style="97" bestFit="1" customWidth="1"/>
    <col min="3" max="3" width="7.28515625" style="97" bestFit="1" customWidth="1"/>
    <col min="4" max="4" width="7.42578125" style="97" bestFit="1" customWidth="1"/>
    <col min="5" max="5" width="9.140625" style="97"/>
    <col min="6" max="6" width="6.7109375" style="97" bestFit="1" customWidth="1"/>
    <col min="7" max="7" width="5.140625" style="97" bestFit="1" customWidth="1"/>
    <col min="8" max="8" width="4.7109375" style="97" customWidth="1"/>
    <col min="9" max="9" width="3.7109375" style="97" customWidth="1"/>
    <col min="10" max="10" width="9.140625" style="97"/>
    <col min="11" max="11" width="9.140625" style="97" customWidth="1"/>
    <col min="12" max="13" width="9.140625" style="97"/>
    <col min="14" max="17" width="1.7109375" style="97" customWidth="1"/>
    <col min="18" max="16384" width="9.140625" style="97"/>
  </cols>
  <sheetData>
    <row r="1" spans="1:11" x14ac:dyDescent="0.2">
      <c r="A1" s="117" t="str">
        <f>UPPER((Kalend!E6)&amp;" - "&amp;(Kalend!C6)&amp;" - "&amp;(Kalend!D6))</f>
        <v>1 - EESTI REITINGUVÕISTLUS - TRIO</v>
      </c>
      <c r="F1" s="85" t="str">
        <f>HYPERLINK("#Üldreiting!I1","Reiting")</f>
        <v>Reiting</v>
      </c>
    </row>
    <row r="2" spans="1:11" x14ac:dyDescent="0.2">
      <c r="A2" s="116" t="str">
        <f>"Toimumisaeg: "&amp;(Kalend!A6)&amp;" kell "&amp;(Kalend!B6)</f>
        <v>Toimumisaeg: L, 20.05.2017 kell 10:00</v>
      </c>
    </row>
    <row r="3" spans="1:11" x14ac:dyDescent="0.2">
      <c r="A3" s="116" t="str">
        <f>"Toimumiskoht: "&amp;(Kalend!H6)</f>
        <v>Toimumiskoht: Saku, Teaduse 2</v>
      </c>
    </row>
    <row r="4" spans="1:11" x14ac:dyDescent="0.2">
      <c r="A4" s="116" t="str">
        <f>"Korraldaja: "&amp;(Kalend!I6)</f>
        <v>Korraldaja: Saku PK</v>
      </c>
    </row>
    <row r="5" spans="1:11" s="90" customFormat="1" x14ac:dyDescent="0.2"/>
    <row r="6" spans="1:11" x14ac:dyDescent="0.2">
      <c r="A6" s="317" t="s">
        <v>402</v>
      </c>
      <c r="B6" s="318"/>
      <c r="C6" s="319" t="s">
        <v>403</v>
      </c>
      <c r="D6" s="319" t="s">
        <v>404</v>
      </c>
      <c r="E6" s="319" t="s">
        <v>405</v>
      </c>
      <c r="F6" s="319" t="s">
        <v>406</v>
      </c>
      <c r="G6" s="319" t="s">
        <v>26</v>
      </c>
      <c r="H6" s="206"/>
      <c r="I6" s="206"/>
      <c r="J6" s="206"/>
      <c r="K6" s="206"/>
    </row>
    <row r="7" spans="1:11" x14ac:dyDescent="0.2">
      <c r="A7" s="320">
        <v>1</v>
      </c>
      <c r="B7" s="348" t="s">
        <v>576</v>
      </c>
      <c r="C7" s="321">
        <v>13</v>
      </c>
      <c r="D7" s="321">
        <v>13</v>
      </c>
      <c r="E7" s="321"/>
      <c r="F7" s="321"/>
      <c r="G7" s="352" t="s">
        <v>586</v>
      </c>
      <c r="H7" s="206"/>
      <c r="I7" s="206"/>
      <c r="J7" s="206"/>
      <c r="K7" s="206"/>
    </row>
    <row r="8" spans="1:11" x14ac:dyDescent="0.2">
      <c r="A8" s="320">
        <v>2</v>
      </c>
      <c r="B8" s="348" t="s">
        <v>575</v>
      </c>
      <c r="C8" s="321">
        <v>13</v>
      </c>
      <c r="D8" s="321">
        <v>11</v>
      </c>
      <c r="E8" s="321"/>
      <c r="F8" s="321">
        <v>6</v>
      </c>
      <c r="G8" s="352" t="s">
        <v>588</v>
      </c>
      <c r="H8" s="206"/>
      <c r="I8" s="206"/>
      <c r="J8" s="206"/>
      <c r="K8" s="74"/>
    </row>
    <row r="9" spans="1:11" x14ac:dyDescent="0.2">
      <c r="A9" s="320">
        <v>3</v>
      </c>
      <c r="B9" s="348" t="s">
        <v>577</v>
      </c>
      <c r="C9" s="321">
        <v>9</v>
      </c>
      <c r="D9" s="321"/>
      <c r="E9" s="321">
        <v>13</v>
      </c>
      <c r="F9" s="321">
        <v>13</v>
      </c>
      <c r="G9" s="352" t="s">
        <v>587</v>
      </c>
      <c r="H9" s="206"/>
      <c r="I9" s="206"/>
      <c r="J9" s="206"/>
      <c r="K9" s="206"/>
    </row>
    <row r="10" spans="1:11" x14ac:dyDescent="0.2">
      <c r="A10" s="320">
        <v>4</v>
      </c>
      <c r="B10" s="323"/>
      <c r="C10" s="321">
        <v>0</v>
      </c>
      <c r="D10" s="321"/>
      <c r="E10" s="321">
        <v>0</v>
      </c>
      <c r="F10" s="321"/>
      <c r="G10" s="322"/>
      <c r="H10" s="206"/>
      <c r="I10" s="206"/>
      <c r="J10" s="206"/>
      <c r="K10" s="206"/>
    </row>
    <row r="11" spans="1:11" x14ac:dyDescent="0.2">
      <c r="A11" s="324"/>
      <c r="B11" s="325"/>
      <c r="C11" s="326"/>
      <c r="D11" s="326"/>
      <c r="E11" s="326"/>
      <c r="F11" s="327"/>
      <c r="G11" s="328"/>
      <c r="H11" s="206"/>
      <c r="I11" s="206"/>
      <c r="J11" s="206"/>
      <c r="K11" s="206"/>
    </row>
    <row r="12" spans="1:11" x14ac:dyDescent="0.2">
      <c r="A12" s="317" t="s">
        <v>407</v>
      </c>
      <c r="B12" s="318"/>
      <c r="C12" s="319" t="s">
        <v>403</v>
      </c>
      <c r="D12" s="319" t="s">
        <v>404</v>
      </c>
      <c r="E12" s="319" t="s">
        <v>405</v>
      </c>
      <c r="F12" s="319" t="s">
        <v>406</v>
      </c>
      <c r="G12" s="319" t="s">
        <v>26</v>
      </c>
      <c r="H12" s="206"/>
      <c r="I12" s="206"/>
      <c r="J12" s="206"/>
      <c r="K12" s="206"/>
    </row>
    <row r="13" spans="1:11" x14ac:dyDescent="0.2">
      <c r="A13" s="320">
        <v>1</v>
      </c>
      <c r="B13" s="348" t="s">
        <v>578</v>
      </c>
      <c r="C13" s="321">
        <v>13</v>
      </c>
      <c r="D13" s="321">
        <v>4</v>
      </c>
      <c r="E13" s="321"/>
      <c r="F13" s="321">
        <v>6</v>
      </c>
      <c r="G13" s="352" t="s">
        <v>588</v>
      </c>
      <c r="H13" s="206"/>
      <c r="I13" s="206"/>
      <c r="J13" s="206"/>
      <c r="K13" s="206"/>
    </row>
    <row r="14" spans="1:11" x14ac:dyDescent="0.2">
      <c r="A14" s="320">
        <v>2</v>
      </c>
      <c r="B14" s="348" t="s">
        <v>579</v>
      </c>
      <c r="C14" s="321">
        <v>8</v>
      </c>
      <c r="D14" s="321"/>
      <c r="E14" s="321">
        <v>13</v>
      </c>
      <c r="F14" s="321">
        <v>13</v>
      </c>
      <c r="G14" s="352" t="s">
        <v>587</v>
      </c>
      <c r="H14" s="206"/>
      <c r="I14" s="206"/>
      <c r="J14" s="206"/>
      <c r="K14" s="206"/>
    </row>
    <row r="15" spans="1:11" x14ac:dyDescent="0.2">
      <c r="A15" s="320">
        <v>3</v>
      </c>
      <c r="B15" s="348" t="s">
        <v>580</v>
      </c>
      <c r="C15" s="321">
        <v>13</v>
      </c>
      <c r="D15" s="321">
        <v>13</v>
      </c>
      <c r="E15" s="321"/>
      <c r="F15" s="321"/>
      <c r="G15" s="352" t="s">
        <v>586</v>
      </c>
      <c r="H15" s="206"/>
      <c r="I15" s="206"/>
      <c r="J15" s="206"/>
      <c r="K15" s="206"/>
    </row>
    <row r="16" spans="1:11" x14ac:dyDescent="0.2">
      <c r="A16" s="320">
        <v>4</v>
      </c>
      <c r="B16" s="98"/>
      <c r="C16" s="321">
        <v>0</v>
      </c>
      <c r="D16" s="321"/>
      <c r="E16" s="321">
        <v>0</v>
      </c>
      <c r="F16" s="321"/>
      <c r="G16" s="322"/>
      <c r="H16" s="206"/>
      <c r="I16" s="206"/>
      <c r="J16" s="206"/>
      <c r="K16" s="206"/>
    </row>
    <row r="17" spans="1:11" x14ac:dyDescent="0.2">
      <c r="A17" s="324"/>
      <c r="B17" s="325"/>
      <c r="C17" s="326"/>
      <c r="D17" s="326"/>
      <c r="E17" s="326"/>
      <c r="F17" s="327"/>
      <c r="G17" s="328"/>
      <c r="H17" s="206"/>
      <c r="I17" s="206"/>
      <c r="J17" s="206"/>
      <c r="K17" s="206"/>
    </row>
    <row r="18" spans="1:11" x14ac:dyDescent="0.2">
      <c r="A18" s="317" t="s">
        <v>408</v>
      </c>
      <c r="B18" s="318"/>
      <c r="C18" s="319" t="s">
        <v>403</v>
      </c>
      <c r="D18" s="319" t="s">
        <v>404</v>
      </c>
      <c r="E18" s="319" t="s">
        <v>405</v>
      </c>
      <c r="F18" s="319" t="s">
        <v>406</v>
      </c>
      <c r="G18" s="319" t="s">
        <v>26</v>
      </c>
      <c r="H18" s="206"/>
      <c r="I18" s="206"/>
      <c r="J18" s="206"/>
      <c r="K18" s="206"/>
    </row>
    <row r="19" spans="1:11" x14ac:dyDescent="0.2">
      <c r="A19" s="320">
        <v>1</v>
      </c>
      <c r="B19" s="349" t="s">
        <v>581</v>
      </c>
      <c r="C19" s="321">
        <v>13</v>
      </c>
      <c r="D19" s="321">
        <v>13</v>
      </c>
      <c r="E19" s="321"/>
      <c r="F19" s="321"/>
      <c r="G19" s="352" t="s">
        <v>586</v>
      </c>
      <c r="H19" s="206"/>
      <c r="I19" s="206"/>
      <c r="J19" s="206"/>
      <c r="K19" s="206"/>
    </row>
    <row r="20" spans="1:11" x14ac:dyDescent="0.2">
      <c r="A20" s="320">
        <v>2</v>
      </c>
      <c r="B20" s="348" t="s">
        <v>582</v>
      </c>
      <c r="C20" s="321">
        <v>10</v>
      </c>
      <c r="D20" s="321"/>
      <c r="E20" s="321">
        <v>13</v>
      </c>
      <c r="F20" s="321">
        <v>13</v>
      </c>
      <c r="G20" s="352" t="s">
        <v>587</v>
      </c>
      <c r="H20" s="206"/>
      <c r="I20" s="206"/>
      <c r="J20" s="206"/>
      <c r="K20" s="206"/>
    </row>
    <row r="21" spans="1:11" x14ac:dyDescent="0.2">
      <c r="A21" s="320">
        <v>3</v>
      </c>
      <c r="B21" s="350" t="s">
        <v>583</v>
      </c>
      <c r="C21" s="321">
        <v>13</v>
      </c>
      <c r="D21" s="321">
        <v>2</v>
      </c>
      <c r="E21" s="321"/>
      <c r="F21" s="321">
        <v>4</v>
      </c>
      <c r="G21" s="352" t="s">
        <v>588</v>
      </c>
      <c r="H21" s="206"/>
      <c r="I21" s="206"/>
      <c r="J21" s="206"/>
      <c r="K21" s="206"/>
    </row>
    <row r="22" spans="1:11" x14ac:dyDescent="0.2">
      <c r="A22" s="320">
        <v>4</v>
      </c>
      <c r="B22" s="323"/>
      <c r="C22" s="321">
        <v>0</v>
      </c>
      <c r="D22" s="321"/>
      <c r="E22" s="321">
        <v>0</v>
      </c>
      <c r="F22" s="321"/>
      <c r="G22" s="322"/>
      <c r="H22" s="206"/>
      <c r="I22" s="206"/>
      <c r="J22" s="206"/>
      <c r="K22" s="206"/>
    </row>
    <row r="23" spans="1:11" x14ac:dyDescent="0.2">
      <c r="A23" s="324"/>
      <c r="B23" s="325"/>
      <c r="C23" s="326"/>
      <c r="D23" s="326"/>
      <c r="E23" s="326"/>
      <c r="F23" s="327"/>
      <c r="G23" s="328"/>
      <c r="H23" s="206"/>
      <c r="I23" s="206"/>
      <c r="J23" s="206"/>
      <c r="K23" s="206"/>
    </row>
    <row r="24" spans="1:11" x14ac:dyDescent="0.2">
      <c r="A24" s="317" t="s">
        <v>409</v>
      </c>
      <c r="B24" s="318"/>
      <c r="C24" s="319" t="s">
        <v>403</v>
      </c>
      <c r="D24" s="319" t="s">
        <v>404</v>
      </c>
      <c r="E24" s="319" t="s">
        <v>405</v>
      </c>
      <c r="F24" s="319" t="s">
        <v>406</v>
      </c>
      <c r="G24" s="319" t="s">
        <v>26</v>
      </c>
      <c r="H24" s="206"/>
      <c r="I24" s="206"/>
      <c r="J24" s="206"/>
      <c r="K24" s="206"/>
    </row>
    <row r="25" spans="1:11" x14ac:dyDescent="0.2">
      <c r="A25" s="320">
        <v>1</v>
      </c>
      <c r="B25" s="349" t="s">
        <v>584</v>
      </c>
      <c r="C25" s="321">
        <v>13</v>
      </c>
      <c r="D25" s="321">
        <v>7</v>
      </c>
      <c r="E25" s="321"/>
      <c r="F25" s="321"/>
      <c r="G25" s="352" t="s">
        <v>587</v>
      </c>
      <c r="H25" s="206"/>
      <c r="I25" s="206"/>
      <c r="J25" s="206"/>
      <c r="K25" s="206"/>
    </row>
    <row r="26" spans="1:11" x14ac:dyDescent="0.2">
      <c r="A26" s="320">
        <v>2</v>
      </c>
      <c r="B26" s="348" t="s">
        <v>585</v>
      </c>
      <c r="C26" s="321">
        <v>13</v>
      </c>
      <c r="D26" s="321">
        <v>13</v>
      </c>
      <c r="E26" s="321"/>
      <c r="F26" s="321"/>
      <c r="G26" s="352" t="s">
        <v>586</v>
      </c>
      <c r="H26" s="206"/>
      <c r="I26" s="206"/>
      <c r="J26" s="206"/>
      <c r="K26" s="206"/>
    </row>
    <row r="27" spans="1:11" x14ac:dyDescent="0.2">
      <c r="A27" s="320">
        <v>3</v>
      </c>
      <c r="B27" s="348" t="s">
        <v>603</v>
      </c>
      <c r="C27" s="353">
        <v>0</v>
      </c>
      <c r="D27" s="353"/>
      <c r="E27" s="353"/>
      <c r="F27" s="321"/>
      <c r="G27" s="352" t="s">
        <v>602</v>
      </c>
      <c r="H27" s="206"/>
      <c r="I27" s="206"/>
      <c r="J27" s="206"/>
      <c r="K27" s="206"/>
    </row>
    <row r="28" spans="1:11" x14ac:dyDescent="0.2">
      <c r="A28" s="320">
        <v>4</v>
      </c>
      <c r="B28" s="323"/>
      <c r="C28" s="321">
        <v>0</v>
      </c>
      <c r="D28" s="321"/>
      <c r="E28" s="321"/>
      <c r="F28" s="321"/>
      <c r="G28" s="322"/>
      <c r="H28" s="206"/>
      <c r="I28" s="206"/>
      <c r="J28" s="206"/>
      <c r="K28" s="206"/>
    </row>
    <row r="29" spans="1:11" x14ac:dyDescent="0.2">
      <c r="A29" s="206"/>
      <c r="B29" s="206"/>
      <c r="C29" s="206"/>
      <c r="D29" s="206"/>
      <c r="E29" s="206"/>
      <c r="F29" s="206"/>
      <c r="G29" s="206"/>
      <c r="H29" s="206"/>
      <c r="I29" s="206"/>
      <c r="J29" s="206"/>
      <c r="K29" s="206"/>
    </row>
    <row r="30" spans="1:11" x14ac:dyDescent="0.2">
      <c r="A30" s="329" t="s">
        <v>410</v>
      </c>
      <c r="B30" s="126"/>
      <c r="C30" s="126"/>
      <c r="D30" s="126"/>
      <c r="E30" s="126"/>
      <c r="F30" s="126"/>
      <c r="G30" s="126"/>
      <c r="H30" s="126"/>
      <c r="I30" s="126"/>
      <c r="J30" s="126"/>
      <c r="K30" s="126"/>
    </row>
    <row r="31" spans="1:11" x14ac:dyDescent="0.2">
      <c r="A31" s="329"/>
      <c r="B31" s="126"/>
      <c r="C31" s="126"/>
      <c r="D31" s="126"/>
      <c r="E31" s="126"/>
      <c r="F31" s="126"/>
      <c r="G31" s="126"/>
      <c r="H31" s="126"/>
      <c r="I31" s="126"/>
      <c r="J31" s="126"/>
      <c r="K31" s="126"/>
    </row>
    <row r="32" spans="1:11" x14ac:dyDescent="0.2">
      <c r="A32" s="64" t="s">
        <v>589</v>
      </c>
      <c r="B32" s="354" t="s">
        <v>580</v>
      </c>
      <c r="C32" s="333">
        <v>2</v>
      </c>
      <c r="D32" s="126"/>
      <c r="E32" s="126"/>
      <c r="F32" s="126"/>
      <c r="G32" s="126"/>
      <c r="H32" s="126"/>
      <c r="I32" s="126"/>
      <c r="J32" s="126"/>
      <c r="K32" s="126"/>
    </row>
    <row r="33" spans="1:11" x14ac:dyDescent="0.2">
      <c r="A33" s="126"/>
      <c r="B33" s="330"/>
      <c r="C33" s="331" t="s">
        <v>584</v>
      </c>
      <c r="D33" s="332"/>
      <c r="E33" s="126"/>
      <c r="F33" s="333">
        <v>13</v>
      </c>
      <c r="G33" s="126"/>
      <c r="H33" s="126"/>
      <c r="I33" s="126"/>
      <c r="J33" s="126"/>
      <c r="K33" s="126"/>
    </row>
    <row r="34" spans="1:11" x14ac:dyDescent="0.2">
      <c r="A34" s="64" t="s">
        <v>595</v>
      </c>
      <c r="B34" s="334" t="s">
        <v>584</v>
      </c>
      <c r="C34" s="335">
        <v>13</v>
      </c>
      <c r="D34" s="126"/>
      <c r="E34" s="336"/>
      <c r="F34" s="126"/>
      <c r="G34" s="126"/>
      <c r="H34" s="126"/>
      <c r="I34" s="126"/>
      <c r="J34" s="126"/>
      <c r="K34" s="126"/>
    </row>
    <row r="35" spans="1:11" x14ac:dyDescent="0.2">
      <c r="A35" s="126"/>
      <c r="B35" s="126"/>
      <c r="C35" s="126"/>
      <c r="D35" s="65"/>
      <c r="E35" s="337"/>
      <c r="F35" s="126" t="s">
        <v>584</v>
      </c>
      <c r="G35" s="126"/>
      <c r="H35" s="126"/>
      <c r="I35" s="333">
        <v>4</v>
      </c>
      <c r="J35" s="126"/>
      <c r="K35" s="126"/>
    </row>
    <row r="36" spans="1:11" x14ac:dyDescent="0.2">
      <c r="A36" s="64" t="s">
        <v>596</v>
      </c>
      <c r="B36" s="363" t="s">
        <v>576</v>
      </c>
      <c r="C36" s="338"/>
      <c r="D36" s="126"/>
      <c r="E36" s="337"/>
      <c r="F36" s="330"/>
      <c r="G36" s="330"/>
      <c r="H36" s="336"/>
      <c r="I36" s="126"/>
      <c r="J36" s="126"/>
      <c r="K36" s="126"/>
    </row>
    <row r="37" spans="1:11" x14ac:dyDescent="0.2">
      <c r="A37" s="126"/>
      <c r="B37" s="330"/>
      <c r="C37" s="339" t="s">
        <v>582</v>
      </c>
      <c r="D37" s="126"/>
      <c r="E37" s="340"/>
      <c r="F37" s="338">
        <v>9</v>
      </c>
      <c r="G37" s="65"/>
      <c r="H37" s="337"/>
      <c r="I37" s="126"/>
      <c r="J37" s="126"/>
      <c r="K37" s="126"/>
    </row>
    <row r="38" spans="1:11" x14ac:dyDescent="0.2">
      <c r="A38" s="64" t="s">
        <v>597</v>
      </c>
      <c r="B38" s="334" t="s">
        <v>582</v>
      </c>
      <c r="C38" s="345">
        <v>13</v>
      </c>
      <c r="D38" s="330"/>
      <c r="E38" s="126"/>
      <c r="F38" s="65"/>
      <c r="G38" s="65"/>
      <c r="H38" s="337"/>
      <c r="I38" s="126"/>
      <c r="J38" s="126"/>
      <c r="K38" s="126"/>
    </row>
    <row r="39" spans="1:11" ht="13.5" thickBot="1" x14ac:dyDescent="0.25">
      <c r="A39" s="126"/>
      <c r="B39" s="126"/>
      <c r="C39" s="126"/>
      <c r="D39" s="126"/>
      <c r="E39" s="126"/>
      <c r="F39" s="65"/>
      <c r="G39" s="65"/>
      <c r="H39" s="337"/>
      <c r="I39" s="126"/>
      <c r="J39" s="351" t="s">
        <v>579</v>
      </c>
      <c r="K39" s="126"/>
    </row>
    <row r="40" spans="1:11" x14ac:dyDescent="0.2">
      <c r="A40" s="64" t="s">
        <v>598</v>
      </c>
      <c r="B40" s="126" t="s">
        <v>581</v>
      </c>
      <c r="C40" s="333">
        <v>6</v>
      </c>
      <c r="D40" s="126"/>
      <c r="E40" s="126"/>
      <c r="F40" s="65"/>
      <c r="G40" s="65"/>
      <c r="H40" s="337"/>
      <c r="I40" s="341"/>
      <c r="J40" s="342" t="s">
        <v>411</v>
      </c>
      <c r="K40" s="343"/>
    </row>
    <row r="41" spans="1:11" x14ac:dyDescent="0.2">
      <c r="A41" s="126"/>
      <c r="B41" s="330"/>
      <c r="C41" s="331" t="s">
        <v>579</v>
      </c>
      <c r="D41" s="332"/>
      <c r="E41" s="126"/>
      <c r="F41" s="338">
        <v>13</v>
      </c>
      <c r="G41" s="65"/>
      <c r="H41" s="337"/>
      <c r="I41" s="126"/>
      <c r="J41" s="126"/>
      <c r="K41" s="126"/>
    </row>
    <row r="42" spans="1:11" ht="13.5" thickBot="1" x14ac:dyDescent="0.25">
      <c r="A42" s="64" t="s">
        <v>599</v>
      </c>
      <c r="B42" s="332" t="s">
        <v>579</v>
      </c>
      <c r="C42" s="335">
        <v>13</v>
      </c>
      <c r="D42" s="126"/>
      <c r="E42" s="336"/>
      <c r="F42" s="65"/>
      <c r="G42" s="65"/>
      <c r="H42" s="337"/>
      <c r="I42" s="126"/>
      <c r="J42" s="364" t="s">
        <v>584</v>
      </c>
      <c r="K42" s="344"/>
    </row>
    <row r="43" spans="1:11" x14ac:dyDescent="0.2">
      <c r="A43" s="126"/>
      <c r="B43" s="126"/>
      <c r="C43" s="126"/>
      <c r="D43" s="65"/>
      <c r="E43" s="337"/>
      <c r="F43" s="332" t="s">
        <v>579</v>
      </c>
      <c r="G43" s="332"/>
      <c r="H43" s="340"/>
      <c r="I43" s="333">
        <v>13</v>
      </c>
      <c r="J43" s="342" t="s">
        <v>412</v>
      </c>
      <c r="K43" s="126"/>
    </row>
    <row r="44" spans="1:11" x14ac:dyDescent="0.2">
      <c r="A44" s="64" t="s">
        <v>600</v>
      </c>
      <c r="B44" s="126" t="s">
        <v>585</v>
      </c>
      <c r="C44" s="338">
        <v>13</v>
      </c>
      <c r="D44" s="126"/>
      <c r="E44" s="337"/>
      <c r="F44" s="126"/>
      <c r="G44" s="126"/>
      <c r="H44" s="126"/>
      <c r="I44" s="126"/>
      <c r="J44" s="126"/>
      <c r="K44" s="126"/>
    </row>
    <row r="45" spans="1:11" x14ac:dyDescent="0.2">
      <c r="A45" s="126"/>
      <c r="B45" s="330"/>
      <c r="C45" s="339" t="s">
        <v>585</v>
      </c>
      <c r="D45" s="126"/>
      <c r="E45" s="340"/>
      <c r="F45" s="333">
        <v>4</v>
      </c>
      <c r="G45" s="126"/>
      <c r="H45" s="126"/>
      <c r="I45" s="126"/>
      <c r="J45" s="126"/>
      <c r="K45" s="126"/>
    </row>
    <row r="46" spans="1:11" x14ac:dyDescent="0.2">
      <c r="A46" s="64" t="s">
        <v>601</v>
      </c>
      <c r="B46" s="332" t="s">
        <v>577</v>
      </c>
      <c r="C46" s="345">
        <v>1</v>
      </c>
      <c r="D46" s="330"/>
      <c r="E46" s="126"/>
      <c r="F46" s="126"/>
      <c r="G46" s="126"/>
      <c r="H46" s="126"/>
      <c r="I46" s="126"/>
      <c r="J46" s="126"/>
      <c r="K46" s="126"/>
    </row>
    <row r="47" spans="1:11" x14ac:dyDescent="0.2">
      <c r="A47" s="126"/>
      <c r="B47" s="126"/>
      <c r="C47" s="126"/>
      <c r="D47" s="126"/>
      <c r="E47" s="126"/>
      <c r="F47" s="126" t="s">
        <v>582</v>
      </c>
      <c r="G47" s="126"/>
      <c r="H47" s="126"/>
      <c r="I47" s="338">
        <v>9</v>
      </c>
      <c r="J47" s="65"/>
      <c r="K47" s="65"/>
    </row>
    <row r="48" spans="1:11" ht="13.5" thickBot="1" x14ac:dyDescent="0.25">
      <c r="A48" s="126"/>
      <c r="B48" s="126"/>
      <c r="C48" s="126"/>
      <c r="D48" s="126"/>
      <c r="E48" s="126"/>
      <c r="F48" s="330"/>
      <c r="G48" s="330"/>
      <c r="H48" s="336"/>
      <c r="I48" s="344"/>
      <c r="J48" s="364" t="s">
        <v>585</v>
      </c>
      <c r="K48" s="344"/>
    </row>
    <row r="49" spans="1:11" x14ac:dyDescent="0.2">
      <c r="A49" s="126"/>
      <c r="B49" s="126"/>
      <c r="C49" s="126"/>
      <c r="D49" s="126"/>
      <c r="E49" s="126"/>
      <c r="F49" s="332" t="s">
        <v>585</v>
      </c>
      <c r="G49" s="332"/>
      <c r="H49" s="340"/>
      <c r="I49" s="333">
        <v>13</v>
      </c>
      <c r="J49" s="346" t="s">
        <v>413</v>
      </c>
      <c r="K49" s="65"/>
    </row>
    <row r="50" spans="1:11" x14ac:dyDescent="0.2">
      <c r="A50" s="126"/>
      <c r="B50" s="126"/>
      <c r="C50" s="126"/>
      <c r="D50" s="126"/>
      <c r="E50" s="126"/>
      <c r="F50" s="126"/>
      <c r="G50" s="126"/>
      <c r="H50" s="126"/>
      <c r="I50" s="126"/>
      <c r="J50" s="65"/>
      <c r="K50" s="65"/>
    </row>
    <row r="51" spans="1:11" ht="13.5" thickBot="1" x14ac:dyDescent="0.25">
      <c r="A51" s="126"/>
      <c r="B51" s="126"/>
      <c r="C51" s="126"/>
      <c r="D51" s="126"/>
      <c r="E51" s="126"/>
      <c r="F51" s="126"/>
      <c r="G51" s="65"/>
      <c r="H51" s="65"/>
      <c r="I51" s="126"/>
      <c r="J51" s="344" t="s">
        <v>582</v>
      </c>
      <c r="K51" s="344"/>
    </row>
    <row r="52" spans="1:11" x14ac:dyDescent="0.2">
      <c r="A52" s="126"/>
      <c r="B52" s="126"/>
      <c r="C52" s="126" t="s">
        <v>580</v>
      </c>
      <c r="D52" s="126"/>
      <c r="E52" s="126"/>
      <c r="F52" s="333">
        <v>13</v>
      </c>
      <c r="G52" s="126"/>
      <c r="H52" s="126"/>
      <c r="I52" s="126"/>
      <c r="J52" s="64" t="s">
        <v>414</v>
      </c>
      <c r="K52" s="126"/>
    </row>
    <row r="53" spans="1:11" x14ac:dyDescent="0.2">
      <c r="A53" s="126"/>
      <c r="B53" s="126"/>
      <c r="C53" s="330"/>
      <c r="D53" s="330"/>
      <c r="E53" s="336"/>
      <c r="F53" s="331" t="s">
        <v>580</v>
      </c>
      <c r="G53" s="332"/>
      <c r="H53" s="332"/>
      <c r="I53" s="333">
        <v>2</v>
      </c>
      <c r="J53" s="126"/>
      <c r="K53" s="126"/>
    </row>
    <row r="54" spans="1:11" x14ac:dyDescent="0.2">
      <c r="A54" s="126"/>
      <c r="B54" s="126"/>
      <c r="C54" s="332" t="s">
        <v>576</v>
      </c>
      <c r="D54" s="332"/>
      <c r="E54" s="340"/>
      <c r="F54" s="335">
        <v>0</v>
      </c>
      <c r="G54" s="126"/>
      <c r="H54" s="337"/>
      <c r="I54" s="126"/>
      <c r="J54" s="126"/>
      <c r="K54" s="126"/>
    </row>
    <row r="55" spans="1:11" ht="13.5" thickBot="1" x14ac:dyDescent="0.25">
      <c r="A55" s="126"/>
      <c r="B55" s="126"/>
      <c r="C55" s="126"/>
      <c r="D55" s="126"/>
      <c r="E55" s="126"/>
      <c r="F55" s="65"/>
      <c r="G55" s="126"/>
      <c r="H55" s="337"/>
      <c r="I55" s="126"/>
      <c r="J55" s="126" t="s">
        <v>581</v>
      </c>
      <c r="K55" s="126"/>
    </row>
    <row r="56" spans="1:11" x14ac:dyDescent="0.2">
      <c r="A56" s="126"/>
      <c r="B56" s="126"/>
      <c r="C56" s="354" t="s">
        <v>581</v>
      </c>
      <c r="D56" s="126"/>
      <c r="E56" s="126"/>
      <c r="F56" s="338">
        <v>13</v>
      </c>
      <c r="G56" s="126"/>
      <c r="H56" s="337"/>
      <c r="I56" s="341"/>
      <c r="J56" s="342" t="s">
        <v>415</v>
      </c>
      <c r="K56" s="343"/>
    </row>
    <row r="57" spans="1:11" x14ac:dyDescent="0.2">
      <c r="A57" s="126"/>
      <c r="B57" s="126"/>
      <c r="C57" s="330"/>
      <c r="D57" s="330"/>
      <c r="E57" s="336"/>
      <c r="F57" s="339" t="s">
        <v>581</v>
      </c>
      <c r="G57" s="126"/>
      <c r="H57" s="340"/>
      <c r="I57" s="338">
        <v>13</v>
      </c>
      <c r="J57" s="126"/>
      <c r="K57" s="126"/>
    </row>
    <row r="58" spans="1:11" ht="13.5" thickBot="1" x14ac:dyDescent="0.25">
      <c r="A58" s="126"/>
      <c r="B58" s="126"/>
      <c r="C58" s="332" t="s">
        <v>577</v>
      </c>
      <c r="D58" s="332"/>
      <c r="E58" s="340"/>
      <c r="F58" s="345">
        <v>8</v>
      </c>
      <c r="G58" s="330"/>
      <c r="H58" s="126"/>
      <c r="I58" s="65"/>
      <c r="J58" s="65" t="s">
        <v>580</v>
      </c>
      <c r="K58" s="344"/>
    </row>
    <row r="59" spans="1:11" x14ac:dyDescent="0.2">
      <c r="A59" s="126"/>
      <c r="B59" s="126"/>
      <c r="C59" s="126"/>
      <c r="D59" s="126"/>
      <c r="E59" s="126"/>
      <c r="F59" s="126"/>
      <c r="G59" s="126"/>
      <c r="H59" s="126"/>
      <c r="I59" s="65"/>
      <c r="J59" s="342" t="s">
        <v>416</v>
      </c>
      <c r="K59" s="65"/>
    </row>
    <row r="60" spans="1:11" x14ac:dyDescent="0.2">
      <c r="A60" s="126"/>
      <c r="B60" s="126"/>
      <c r="C60" s="126"/>
      <c r="D60" s="126"/>
      <c r="E60" s="126"/>
      <c r="F60" s="126" t="s">
        <v>576</v>
      </c>
      <c r="G60" s="126"/>
      <c r="H60" s="126"/>
      <c r="I60" s="338">
        <v>5</v>
      </c>
      <c r="J60" s="65"/>
      <c r="K60" s="65"/>
    </row>
    <row r="61" spans="1:11" ht="13.5" thickBot="1" x14ac:dyDescent="0.25">
      <c r="A61" s="126"/>
      <c r="B61" s="126"/>
      <c r="C61" s="126"/>
      <c r="D61" s="126"/>
      <c r="E61" s="126"/>
      <c r="F61" s="330"/>
      <c r="G61" s="330"/>
      <c r="H61" s="336"/>
      <c r="I61" s="344"/>
      <c r="J61" s="364" t="s">
        <v>577</v>
      </c>
      <c r="K61" s="344"/>
    </row>
    <row r="62" spans="1:11" x14ac:dyDescent="0.2">
      <c r="A62" s="126"/>
      <c r="B62" s="126"/>
      <c r="C62" s="126"/>
      <c r="D62" s="126"/>
      <c r="E62" s="126"/>
      <c r="F62" s="332" t="s">
        <v>577</v>
      </c>
      <c r="G62" s="332"/>
      <c r="H62" s="340"/>
      <c r="I62" s="333">
        <v>13</v>
      </c>
      <c r="J62" s="346" t="s">
        <v>417</v>
      </c>
      <c r="K62" s="65"/>
    </row>
    <row r="63" spans="1:11" x14ac:dyDescent="0.2">
      <c r="A63" s="126"/>
      <c r="B63" s="126"/>
      <c r="C63" s="126"/>
      <c r="D63" s="126"/>
      <c r="E63" s="126"/>
      <c r="F63" s="126"/>
      <c r="G63" s="126"/>
      <c r="H63" s="126"/>
      <c r="I63" s="126"/>
      <c r="J63" s="65"/>
      <c r="K63" s="65"/>
    </row>
    <row r="64" spans="1:11" ht="13.5" thickBot="1" x14ac:dyDescent="0.25">
      <c r="A64" s="126"/>
      <c r="B64" s="126"/>
      <c r="C64" s="126"/>
      <c r="D64" s="126"/>
      <c r="E64" s="126"/>
      <c r="F64" s="126"/>
      <c r="G64" s="65"/>
      <c r="H64" s="65"/>
      <c r="I64" s="126"/>
      <c r="J64" s="344" t="s">
        <v>576</v>
      </c>
      <c r="K64" s="344"/>
    </row>
    <row r="65" spans="1:12" x14ac:dyDescent="0.2">
      <c r="A65" s="126"/>
      <c r="B65" s="126"/>
      <c r="C65" s="126"/>
      <c r="D65" s="126"/>
      <c r="E65" s="126"/>
      <c r="F65" s="126"/>
      <c r="G65" s="65"/>
      <c r="H65" s="65"/>
      <c r="I65" s="126"/>
      <c r="J65" s="64" t="s">
        <v>418</v>
      </c>
      <c r="K65" s="126"/>
    </row>
    <row r="66" spans="1:12" x14ac:dyDescent="0.2">
      <c r="A66" s="126"/>
      <c r="B66" s="126"/>
      <c r="C66" s="126"/>
      <c r="D66" s="126"/>
      <c r="E66" s="126"/>
      <c r="F66" s="126"/>
      <c r="G66" s="65"/>
      <c r="H66" s="65"/>
      <c r="I66" s="126"/>
      <c r="J66" s="64"/>
      <c r="K66" s="126"/>
    </row>
    <row r="67" spans="1:12" x14ac:dyDescent="0.2">
      <c r="A67" s="329" t="s">
        <v>590</v>
      </c>
      <c r="B67" s="126"/>
      <c r="C67" s="126"/>
      <c r="D67" s="126"/>
      <c r="E67" s="126"/>
      <c r="F67" s="126"/>
      <c r="G67" s="126"/>
      <c r="H67" s="126"/>
      <c r="I67" s="126"/>
      <c r="J67" s="126"/>
      <c r="K67" s="126"/>
    </row>
    <row r="68" spans="1:12" x14ac:dyDescent="0.2">
      <c r="A68" s="206"/>
      <c r="B68" s="206"/>
      <c r="C68" s="206"/>
      <c r="D68" s="206"/>
      <c r="E68" s="206"/>
      <c r="F68" s="206"/>
      <c r="G68" s="206"/>
      <c r="H68" s="206"/>
      <c r="I68" s="206"/>
      <c r="J68" s="206"/>
      <c r="K68" s="206"/>
      <c r="L68" s="206"/>
    </row>
    <row r="69" spans="1:12" x14ac:dyDescent="0.2">
      <c r="A69" s="59"/>
      <c r="B69" s="59"/>
      <c r="C69" s="319">
        <v>1</v>
      </c>
      <c r="D69" s="319">
        <v>2</v>
      </c>
      <c r="E69" s="319">
        <v>3</v>
      </c>
      <c r="F69" s="319" t="s">
        <v>591</v>
      </c>
      <c r="G69" s="319" t="s">
        <v>155</v>
      </c>
      <c r="I69" s="206"/>
      <c r="J69" s="206"/>
      <c r="K69" s="206"/>
      <c r="L69" s="206"/>
    </row>
    <row r="70" spans="1:12" ht="13.5" thickBot="1" x14ac:dyDescent="0.25">
      <c r="A70" s="59">
        <v>1</v>
      </c>
      <c r="B70" s="355" t="s">
        <v>575</v>
      </c>
      <c r="C70" s="356"/>
      <c r="D70" s="357">
        <v>13</v>
      </c>
      <c r="E70" s="357">
        <v>7</v>
      </c>
      <c r="F70" s="358" t="s">
        <v>594</v>
      </c>
      <c r="G70" s="359" t="s">
        <v>587</v>
      </c>
      <c r="I70" s="206"/>
      <c r="J70" s="354" t="s">
        <v>583</v>
      </c>
      <c r="K70" s="126"/>
      <c r="L70" s="206"/>
    </row>
    <row r="71" spans="1:12" x14ac:dyDescent="0.2">
      <c r="A71" s="59">
        <v>2</v>
      </c>
      <c r="B71" s="360" t="s">
        <v>578</v>
      </c>
      <c r="C71" s="357">
        <v>8</v>
      </c>
      <c r="D71" s="356"/>
      <c r="E71" s="357">
        <v>3</v>
      </c>
      <c r="F71" s="358" t="s">
        <v>593</v>
      </c>
      <c r="G71" s="359" t="s">
        <v>588</v>
      </c>
      <c r="I71" s="206"/>
      <c r="J71" s="342" t="s">
        <v>419</v>
      </c>
      <c r="K71" s="343"/>
      <c r="L71" s="206"/>
    </row>
    <row r="72" spans="1:12" x14ac:dyDescent="0.2">
      <c r="A72" s="59">
        <v>3</v>
      </c>
      <c r="B72" s="361" t="s">
        <v>583</v>
      </c>
      <c r="C72" s="357">
        <v>13</v>
      </c>
      <c r="D72" s="362">
        <v>13</v>
      </c>
      <c r="E72" s="356"/>
      <c r="F72" s="358" t="s">
        <v>592</v>
      </c>
      <c r="G72" s="362" t="s">
        <v>586</v>
      </c>
      <c r="I72" s="206"/>
      <c r="J72" s="126"/>
      <c r="K72" s="126"/>
      <c r="L72" s="206"/>
    </row>
    <row r="73" spans="1:12" ht="13.5" thickBot="1" x14ac:dyDescent="0.25">
      <c r="A73" s="206"/>
      <c r="B73" s="206"/>
      <c r="C73" s="206"/>
      <c r="D73" s="206"/>
      <c r="E73" s="206"/>
      <c r="F73" s="206"/>
      <c r="G73" s="206"/>
      <c r="H73" s="206"/>
      <c r="I73" s="206"/>
      <c r="J73" s="344" t="s">
        <v>575</v>
      </c>
      <c r="K73" s="344"/>
      <c r="L73" s="206"/>
    </row>
    <row r="74" spans="1:12" x14ac:dyDescent="0.2">
      <c r="A74" s="206"/>
      <c r="B74" s="206"/>
      <c r="C74" s="206"/>
      <c r="D74" s="206"/>
      <c r="E74" s="206"/>
      <c r="F74" s="206"/>
      <c r="G74" s="206"/>
      <c r="H74" s="206"/>
      <c r="I74" s="206"/>
      <c r="J74" s="342" t="s">
        <v>420</v>
      </c>
      <c r="K74" s="126"/>
      <c r="L74" s="206"/>
    </row>
    <row r="75" spans="1:12" x14ac:dyDescent="0.2">
      <c r="A75" s="206"/>
      <c r="B75" s="206"/>
      <c r="C75" s="206"/>
      <c r="D75" s="206"/>
      <c r="E75" s="206"/>
      <c r="F75" s="206"/>
      <c r="G75" s="206"/>
      <c r="H75" s="206"/>
      <c r="I75" s="206"/>
      <c r="J75" s="126"/>
      <c r="K75" s="126"/>
      <c r="L75" s="206"/>
    </row>
    <row r="76" spans="1:12" ht="13.5" thickBot="1" x14ac:dyDescent="0.25">
      <c r="A76" s="206"/>
      <c r="B76" s="206"/>
      <c r="C76" s="206"/>
      <c r="D76" s="206"/>
      <c r="E76" s="206"/>
      <c r="F76" s="206"/>
      <c r="G76" s="206"/>
      <c r="H76" s="206"/>
      <c r="I76" s="206"/>
      <c r="J76" s="344" t="s">
        <v>578</v>
      </c>
      <c r="K76" s="344"/>
      <c r="L76" s="206"/>
    </row>
    <row r="77" spans="1:12" x14ac:dyDescent="0.2">
      <c r="A77" s="206"/>
      <c r="B77" s="206"/>
      <c r="C77" s="206"/>
      <c r="D77" s="206"/>
      <c r="E77" s="206"/>
      <c r="F77" s="206"/>
      <c r="G77" s="206"/>
      <c r="H77" s="206"/>
      <c r="I77" s="206"/>
      <c r="J77" s="346" t="s">
        <v>421</v>
      </c>
      <c r="K77" s="65"/>
      <c r="L77" s="206"/>
    </row>
    <row r="78" spans="1:12" x14ac:dyDescent="0.2">
      <c r="A78" s="206"/>
      <c r="B78" s="206"/>
      <c r="C78" s="206"/>
      <c r="D78" s="206"/>
      <c r="E78" s="206"/>
      <c r="F78" s="206"/>
      <c r="G78" s="206"/>
      <c r="H78" s="206"/>
      <c r="I78" s="206"/>
      <c r="J78" s="206"/>
      <c r="K78" s="206"/>
      <c r="L78" s="206"/>
    </row>
    <row r="79" spans="1:12" x14ac:dyDescent="0.2">
      <c r="A79" s="66">
        <v>1</v>
      </c>
      <c r="B79" s="67" t="s">
        <v>579</v>
      </c>
      <c r="C79" s="121"/>
      <c r="D79" s="121"/>
      <c r="E79" s="121"/>
      <c r="F79" s="121"/>
      <c r="G79" s="121"/>
      <c r="H79" s="121"/>
      <c r="I79" s="121"/>
      <c r="J79" s="121"/>
      <c r="K79" s="121"/>
    </row>
    <row r="80" spans="1:12" x14ac:dyDescent="0.2">
      <c r="A80" s="66">
        <v>2</v>
      </c>
      <c r="B80" s="127" t="s">
        <v>584</v>
      </c>
      <c r="C80" s="121"/>
      <c r="D80" s="121"/>
      <c r="E80" s="121"/>
      <c r="F80" s="121"/>
      <c r="G80" s="121"/>
      <c r="H80" s="121"/>
      <c r="I80" s="121"/>
      <c r="J80" s="121"/>
      <c r="K80" s="121"/>
    </row>
    <row r="81" spans="1:11" x14ac:dyDescent="0.2">
      <c r="A81" s="66">
        <v>3</v>
      </c>
      <c r="B81" s="128" t="s">
        <v>585</v>
      </c>
      <c r="C81" s="121"/>
      <c r="D81" s="121"/>
      <c r="E81" s="121"/>
      <c r="F81" s="121"/>
      <c r="G81" s="121"/>
      <c r="H81" s="121"/>
      <c r="I81" s="121"/>
      <c r="J81" s="121"/>
      <c r="K81" s="121"/>
    </row>
    <row r="82" spans="1:11" x14ac:dyDescent="0.2">
      <c r="A82" s="66">
        <v>4</v>
      </c>
      <c r="B82" s="365" t="s">
        <v>582</v>
      </c>
      <c r="C82" s="121"/>
      <c r="D82" s="121"/>
      <c r="E82" s="121"/>
      <c r="F82" s="121"/>
      <c r="G82" s="121"/>
      <c r="H82" s="121"/>
      <c r="I82" s="121"/>
      <c r="J82" s="121"/>
      <c r="K82" s="121"/>
    </row>
    <row r="83" spans="1:11" x14ac:dyDescent="0.2">
      <c r="A83" s="66">
        <v>5</v>
      </c>
      <c r="B83" s="124" t="s">
        <v>581</v>
      </c>
      <c r="C83" s="121"/>
      <c r="D83" s="121"/>
      <c r="E83" s="121"/>
      <c r="F83" s="121"/>
      <c r="G83" s="121"/>
      <c r="H83" s="121"/>
      <c r="I83" s="121"/>
      <c r="J83" s="121"/>
      <c r="K83" s="121"/>
    </row>
    <row r="84" spans="1:11" x14ac:dyDescent="0.2">
      <c r="A84" s="66">
        <v>6</v>
      </c>
      <c r="B84" s="124" t="s">
        <v>580</v>
      </c>
      <c r="C84" s="121"/>
      <c r="D84" s="121"/>
      <c r="E84" s="121"/>
      <c r="F84" s="121"/>
      <c r="G84" s="121"/>
      <c r="H84" s="121"/>
      <c r="I84" s="121"/>
      <c r="J84" s="121"/>
      <c r="K84" s="121"/>
    </row>
    <row r="85" spans="1:11" x14ac:dyDescent="0.2">
      <c r="A85" s="66">
        <v>7</v>
      </c>
      <c r="B85" s="124" t="s">
        <v>577</v>
      </c>
      <c r="C85" s="121"/>
      <c r="D85" s="121"/>
      <c r="E85" s="121"/>
      <c r="F85" s="121"/>
      <c r="G85" s="121"/>
      <c r="H85" s="121"/>
      <c r="I85" s="121"/>
      <c r="J85" s="121"/>
      <c r="K85" s="121"/>
    </row>
    <row r="86" spans="1:11" x14ac:dyDescent="0.2">
      <c r="A86" s="66">
        <v>8</v>
      </c>
      <c r="B86" s="124" t="s">
        <v>576</v>
      </c>
      <c r="C86" s="121"/>
      <c r="D86" s="121"/>
      <c r="E86" s="121"/>
      <c r="F86" s="121"/>
      <c r="G86" s="121"/>
      <c r="H86" s="121"/>
      <c r="I86" s="121"/>
      <c r="J86" s="121"/>
      <c r="K86" s="121"/>
    </row>
    <row r="87" spans="1:11" x14ac:dyDescent="0.2">
      <c r="A87" s="66">
        <v>9</v>
      </c>
      <c r="B87" s="136" t="s">
        <v>583</v>
      </c>
      <c r="C87" s="121"/>
      <c r="D87" s="121"/>
      <c r="E87" s="121"/>
      <c r="F87" s="121"/>
      <c r="G87" s="121"/>
      <c r="H87" s="121"/>
      <c r="I87" s="121"/>
      <c r="J87" s="121"/>
      <c r="K87" s="121"/>
    </row>
    <row r="88" spans="1:11" x14ac:dyDescent="0.2">
      <c r="A88" s="66">
        <v>10</v>
      </c>
      <c r="B88" s="136" t="s">
        <v>575</v>
      </c>
      <c r="C88" s="121"/>
      <c r="D88" s="121"/>
      <c r="E88" s="121"/>
      <c r="F88" s="121"/>
      <c r="G88" s="121"/>
      <c r="H88" s="121"/>
      <c r="I88" s="121"/>
      <c r="J88" s="121"/>
      <c r="K88" s="121"/>
    </row>
    <row r="89" spans="1:11" x14ac:dyDescent="0.2">
      <c r="A89" s="66">
        <v>11</v>
      </c>
      <c r="B89" s="123" t="s">
        <v>578</v>
      </c>
      <c r="C89" s="121"/>
      <c r="D89" s="121"/>
      <c r="E89" s="121"/>
      <c r="F89" s="121"/>
      <c r="G89" s="121"/>
      <c r="H89" s="121"/>
      <c r="I89" s="121"/>
      <c r="J89" s="121"/>
      <c r="K89" s="121"/>
    </row>
  </sheetData>
  <conditionalFormatting sqref="C7:I62">
    <cfRule type="cellIs" dxfId="541" priority="2" operator="equal">
      <formula>13</formula>
    </cfRule>
  </conditionalFormatting>
  <conditionalFormatting sqref="C70:F72">
    <cfRule type="cellIs" dxfId="540" priority="1" operator="equal">
      <formula>13</formula>
    </cfRule>
  </conditionalFormatting>
  <pageMargins left="0.59055118110236227" right="0.39370078740157483" top="0.78740157480314965" bottom="0.39370078740157483" header="0.59055118110236227" footer="0"/>
  <pageSetup paperSize="9" fitToHeight="0" orientation="landscape" r:id="rId1"/>
  <headerFooter>
    <oddHeader>&amp;RPage &amp;P of &amp;N</oddHeader>
  </headerFooter>
  <rowBreaks count="2" manualBreakCount="2">
    <brk id="28" max="16383" man="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showRowColHeaders="0" zoomScaleNormal="100" workbookViewId="0">
      <pane ySplit="2" topLeftCell="A3" activePane="bottomLeft" state="frozen"/>
      <selection activeCell="H1" sqref="H1"/>
      <selection pane="bottomLeft" activeCell="H1" sqref="H1"/>
    </sheetView>
  </sheetViews>
  <sheetFormatPr defaultRowHeight="12.75" x14ac:dyDescent="0.2"/>
  <cols>
    <col min="1" max="1" width="3.28515625" style="206" customWidth="1"/>
    <col min="2" max="2" width="39.140625" style="206" customWidth="1"/>
    <col min="3" max="9" width="5.7109375" style="206" customWidth="1"/>
    <col min="10" max="10" width="3.140625" style="206" bestFit="1" customWidth="1"/>
    <col min="11" max="16384" width="9.140625" style="206"/>
  </cols>
  <sheetData>
    <row r="1" spans="1:10" x14ac:dyDescent="0.2">
      <c r="A1" s="117" t="str">
        <f>UPPER((Kalend!E7)&amp;" - "&amp;(Kalend!C7)&amp;" - "&amp;(Kalend!D7))</f>
        <v>KV-1 - EM, MM KATSEVÕISTLUS - 1. ETAPP - TRIO</v>
      </c>
      <c r="F1" s="85" t="str">
        <f>HYPERLINK("#Üldreiting!I1","Reiting")</f>
        <v>Reiting</v>
      </c>
    </row>
    <row r="2" spans="1:10" x14ac:dyDescent="0.2">
      <c r="A2" s="116" t="str">
        <f>"Toimumisaeg: "&amp;(Kalend!A7)&amp;" kell "&amp;(Kalend!B7)</f>
        <v>Toimumisaeg: P, 21.05.2017 kell 11:00</v>
      </c>
    </row>
    <row r="3" spans="1:10" x14ac:dyDescent="0.2">
      <c r="A3" s="116" t="str">
        <f>"Toimumiskoht: "&amp;(Kalend!H7)</f>
        <v>Toimumiskoht: Saku, Teaduse 2</v>
      </c>
    </row>
    <row r="4" spans="1:10" x14ac:dyDescent="0.2">
      <c r="A4" s="116" t="str">
        <f>"Korraldaja: "&amp;(Kalend!I7)</f>
        <v>Korraldaja: EPKL</v>
      </c>
    </row>
    <row r="5" spans="1:10" s="135" customFormat="1" x14ac:dyDescent="0.2"/>
    <row r="6" spans="1:10" x14ac:dyDescent="0.2">
      <c r="A6" s="227" t="s">
        <v>168</v>
      </c>
    </row>
    <row r="8" spans="1:10" x14ac:dyDescent="0.2">
      <c r="A8" s="98"/>
      <c r="B8" s="98"/>
      <c r="C8" s="395">
        <v>1</v>
      </c>
      <c r="D8" s="395">
        <v>2</v>
      </c>
      <c r="E8" s="395">
        <v>3</v>
      </c>
      <c r="F8" s="395">
        <v>4</v>
      </c>
      <c r="G8" s="395">
        <v>5</v>
      </c>
      <c r="H8" s="396" t="s">
        <v>591</v>
      </c>
      <c r="I8" s="396" t="s">
        <v>155</v>
      </c>
    </row>
    <row r="9" spans="1:10" ht="25.5" x14ac:dyDescent="0.2">
      <c r="A9" s="411">
        <v>1</v>
      </c>
      <c r="B9" s="404" t="s">
        <v>983</v>
      </c>
      <c r="C9" s="406"/>
      <c r="D9" s="407">
        <v>13</v>
      </c>
      <c r="E9" s="408">
        <v>13</v>
      </c>
      <c r="F9" s="407">
        <v>5</v>
      </c>
      <c r="G9" s="408">
        <v>8</v>
      </c>
      <c r="H9" s="409" t="s">
        <v>606</v>
      </c>
      <c r="I9" s="410" t="s">
        <v>608</v>
      </c>
      <c r="J9" s="403" t="s">
        <v>607</v>
      </c>
    </row>
    <row r="10" spans="1:10" ht="25.5" x14ac:dyDescent="0.2">
      <c r="A10" s="411">
        <v>2</v>
      </c>
      <c r="B10" s="404" t="s">
        <v>982</v>
      </c>
      <c r="C10" s="407">
        <v>6</v>
      </c>
      <c r="D10" s="406"/>
      <c r="E10" s="408">
        <v>13</v>
      </c>
      <c r="F10" s="407">
        <v>13</v>
      </c>
      <c r="G10" s="408">
        <v>8</v>
      </c>
      <c r="H10" s="409" t="s">
        <v>606</v>
      </c>
      <c r="I10" s="410" t="s">
        <v>588</v>
      </c>
      <c r="J10" s="403" t="s">
        <v>609</v>
      </c>
    </row>
    <row r="11" spans="1:10" ht="25.5" x14ac:dyDescent="0.2">
      <c r="A11" s="411">
        <v>3</v>
      </c>
      <c r="B11" s="404" t="s">
        <v>577</v>
      </c>
      <c r="C11" s="408">
        <v>3</v>
      </c>
      <c r="D11" s="408">
        <v>12</v>
      </c>
      <c r="E11" s="406"/>
      <c r="F11" s="408">
        <v>1</v>
      </c>
      <c r="G11" s="408">
        <v>6</v>
      </c>
      <c r="H11" s="410" t="s">
        <v>610</v>
      </c>
      <c r="I11" s="410" t="s">
        <v>611</v>
      </c>
      <c r="J11" s="402"/>
    </row>
    <row r="12" spans="1:10" ht="25.5" x14ac:dyDescent="0.2">
      <c r="A12" s="411">
        <v>4</v>
      </c>
      <c r="B12" s="404" t="s">
        <v>981</v>
      </c>
      <c r="C12" s="407">
        <v>13</v>
      </c>
      <c r="D12" s="407">
        <v>6</v>
      </c>
      <c r="E12" s="408">
        <v>13</v>
      </c>
      <c r="F12" s="406"/>
      <c r="G12" s="408">
        <v>0</v>
      </c>
      <c r="H12" s="409" t="s">
        <v>606</v>
      </c>
      <c r="I12" s="410" t="s">
        <v>613</v>
      </c>
      <c r="J12" s="403" t="s">
        <v>612</v>
      </c>
    </row>
    <row r="13" spans="1:10" ht="25.5" x14ac:dyDescent="0.2">
      <c r="A13" s="412">
        <v>5</v>
      </c>
      <c r="B13" s="404" t="s">
        <v>980</v>
      </c>
      <c r="C13" s="408">
        <v>13</v>
      </c>
      <c r="D13" s="408">
        <v>13</v>
      </c>
      <c r="E13" s="408">
        <v>13</v>
      </c>
      <c r="F13" s="408">
        <v>13</v>
      </c>
      <c r="G13" s="406"/>
      <c r="H13" s="410" t="s">
        <v>614</v>
      </c>
      <c r="I13" s="410" t="s">
        <v>615</v>
      </c>
    </row>
    <row r="14" spans="1:10" x14ac:dyDescent="0.2">
      <c r="B14" s="100"/>
    </row>
    <row r="15" spans="1:10" x14ac:dyDescent="0.2">
      <c r="B15" s="405" t="s">
        <v>616</v>
      </c>
      <c r="C15" s="400" t="s">
        <v>617</v>
      </c>
      <c r="D15" s="400" t="s">
        <v>618</v>
      </c>
      <c r="E15" s="400"/>
    </row>
    <row r="16" spans="1:10" x14ac:dyDescent="0.2">
      <c r="B16" s="405" t="s">
        <v>619</v>
      </c>
      <c r="C16" s="400" t="s">
        <v>620</v>
      </c>
      <c r="D16" s="400" t="s">
        <v>621</v>
      </c>
      <c r="E16" s="400"/>
    </row>
    <row r="17" spans="1:8" x14ac:dyDescent="0.2">
      <c r="B17" s="405" t="s">
        <v>622</v>
      </c>
      <c r="C17" s="400" t="s">
        <v>623</v>
      </c>
      <c r="D17" s="400" t="s">
        <v>624</v>
      </c>
      <c r="E17" s="400"/>
    </row>
    <row r="18" spans="1:8" x14ac:dyDescent="0.2">
      <c r="B18" s="405" t="s">
        <v>625</v>
      </c>
      <c r="C18" s="400" t="s">
        <v>626</v>
      </c>
      <c r="D18" s="400" t="s">
        <v>627</v>
      </c>
      <c r="E18" s="400"/>
    </row>
    <row r="19" spans="1:8" x14ac:dyDescent="0.2">
      <c r="B19" s="405" t="s">
        <v>628</v>
      </c>
      <c r="C19" s="400" t="s">
        <v>629</v>
      </c>
      <c r="D19" s="400" t="s">
        <v>630</v>
      </c>
      <c r="E19" s="400"/>
    </row>
    <row r="20" spans="1:8" x14ac:dyDescent="0.2">
      <c r="B20" s="100"/>
    </row>
    <row r="21" spans="1:8" x14ac:dyDescent="0.2">
      <c r="A21" s="82" t="s">
        <v>169</v>
      </c>
      <c r="B21" s="100"/>
    </row>
    <row r="22" spans="1:8" x14ac:dyDescent="0.2">
      <c r="B22" s="100"/>
    </row>
    <row r="23" spans="1:8" x14ac:dyDescent="0.2">
      <c r="A23" s="98"/>
      <c r="B23" s="404"/>
      <c r="C23" s="395">
        <v>1</v>
      </c>
      <c r="D23" s="395">
        <v>2</v>
      </c>
      <c r="E23" s="395">
        <v>3</v>
      </c>
      <c r="F23" s="396" t="s">
        <v>591</v>
      </c>
    </row>
    <row r="24" spans="1:8" x14ac:dyDescent="0.2">
      <c r="A24" s="394">
        <v>1</v>
      </c>
      <c r="B24" s="404" t="s">
        <v>631</v>
      </c>
      <c r="C24" s="397"/>
      <c r="D24" s="398">
        <v>5</v>
      </c>
      <c r="E24" s="398">
        <v>13</v>
      </c>
      <c r="F24" s="399" t="s">
        <v>594</v>
      </c>
    </row>
    <row r="25" spans="1:8" x14ac:dyDescent="0.2">
      <c r="A25" s="394">
        <v>2</v>
      </c>
      <c r="B25" s="404" t="s">
        <v>984</v>
      </c>
      <c r="C25" s="398">
        <v>13</v>
      </c>
      <c r="D25" s="397"/>
      <c r="E25" s="398">
        <v>4</v>
      </c>
      <c r="F25" s="399" t="s">
        <v>594</v>
      </c>
    </row>
    <row r="26" spans="1:8" x14ac:dyDescent="0.2">
      <c r="A26" s="394">
        <v>3</v>
      </c>
      <c r="B26" s="404" t="s">
        <v>632</v>
      </c>
      <c r="C26" s="398">
        <v>11</v>
      </c>
      <c r="D26" s="398">
        <v>13</v>
      </c>
      <c r="E26" s="397"/>
      <c r="F26" s="399" t="s">
        <v>594</v>
      </c>
    </row>
    <row r="27" spans="1:8" x14ac:dyDescent="0.2">
      <c r="B27" s="100"/>
    </row>
    <row r="28" spans="1:8" x14ac:dyDescent="0.2">
      <c r="B28" s="100"/>
    </row>
    <row r="29" spans="1:8" x14ac:dyDescent="0.2">
      <c r="A29" s="98"/>
      <c r="B29" s="404"/>
      <c r="C29" s="395">
        <v>1</v>
      </c>
      <c r="D29" s="395">
        <v>2</v>
      </c>
      <c r="E29" s="395">
        <v>3</v>
      </c>
      <c r="F29" s="396" t="s">
        <v>591</v>
      </c>
      <c r="H29" s="400" t="s">
        <v>28</v>
      </c>
    </row>
    <row r="30" spans="1:8" x14ac:dyDescent="0.2">
      <c r="A30" s="394">
        <v>1</v>
      </c>
      <c r="B30" s="404" t="s">
        <v>631</v>
      </c>
      <c r="C30" s="397"/>
      <c r="D30" s="398">
        <v>9</v>
      </c>
      <c r="E30" s="398">
        <v>6</v>
      </c>
      <c r="F30" s="399" t="s">
        <v>593</v>
      </c>
      <c r="H30" s="893" t="s">
        <v>633</v>
      </c>
    </row>
    <row r="31" spans="1:8" x14ac:dyDescent="0.2">
      <c r="A31" s="394">
        <v>2</v>
      </c>
      <c r="B31" s="404" t="s">
        <v>984</v>
      </c>
      <c r="C31" s="398">
        <v>13</v>
      </c>
      <c r="D31" s="397"/>
      <c r="E31" s="398">
        <v>10</v>
      </c>
      <c r="F31" s="399" t="s">
        <v>594</v>
      </c>
      <c r="H31" s="893" t="s">
        <v>606</v>
      </c>
    </row>
    <row r="32" spans="1:8" x14ac:dyDescent="0.2">
      <c r="A32" s="394">
        <v>3</v>
      </c>
      <c r="B32" s="404" t="s">
        <v>632</v>
      </c>
      <c r="C32" s="398">
        <v>13</v>
      </c>
      <c r="D32" s="398">
        <v>13</v>
      </c>
      <c r="E32" s="397"/>
      <c r="F32" s="399" t="s">
        <v>592</v>
      </c>
      <c r="H32" s="893" t="s">
        <v>634</v>
      </c>
    </row>
    <row r="33" spans="1:8" x14ac:dyDescent="0.2">
      <c r="B33" s="100"/>
    </row>
    <row r="34" spans="1:8" x14ac:dyDescent="0.2">
      <c r="B34" s="405" t="s">
        <v>616</v>
      </c>
      <c r="C34" s="400" t="s">
        <v>629</v>
      </c>
    </row>
    <row r="35" spans="1:8" x14ac:dyDescent="0.2">
      <c r="B35" s="405" t="s">
        <v>619</v>
      </c>
      <c r="C35" s="400" t="s">
        <v>620</v>
      </c>
    </row>
    <row r="36" spans="1:8" x14ac:dyDescent="0.2">
      <c r="B36" s="405" t="s">
        <v>622</v>
      </c>
      <c r="C36" s="400" t="s">
        <v>635</v>
      </c>
    </row>
    <row r="37" spans="1:8" x14ac:dyDescent="0.2">
      <c r="B37" s="100"/>
    </row>
    <row r="38" spans="1:8" x14ac:dyDescent="0.2">
      <c r="A38" s="41" t="s">
        <v>636</v>
      </c>
      <c r="B38" s="100"/>
    </row>
    <row r="39" spans="1:8" x14ac:dyDescent="0.2">
      <c r="B39" s="100"/>
    </row>
    <row r="40" spans="1:8" x14ac:dyDescent="0.2">
      <c r="A40" s="98"/>
      <c r="B40" s="413"/>
      <c r="C40" s="395">
        <v>1</v>
      </c>
      <c r="D40" s="395">
        <v>2</v>
      </c>
      <c r="E40" s="395">
        <v>3</v>
      </c>
      <c r="F40" s="396" t="s">
        <v>591</v>
      </c>
    </row>
    <row r="41" spans="1:8" ht="25.5" x14ac:dyDescent="0.2">
      <c r="A41" s="411">
        <v>1</v>
      </c>
      <c r="B41" s="404" t="s">
        <v>991</v>
      </c>
      <c r="C41" s="406"/>
      <c r="D41" s="408">
        <v>11</v>
      </c>
      <c r="E41" s="408">
        <v>13</v>
      </c>
      <c r="F41" s="410" t="s">
        <v>594</v>
      </c>
    </row>
    <row r="42" spans="1:8" ht="25.5" x14ac:dyDescent="0.2">
      <c r="A42" s="411">
        <v>2</v>
      </c>
      <c r="B42" s="404" t="s">
        <v>1004</v>
      </c>
      <c r="C42" s="408">
        <v>13</v>
      </c>
      <c r="D42" s="406"/>
      <c r="E42" s="414">
        <v>13</v>
      </c>
      <c r="F42" s="410" t="s">
        <v>594</v>
      </c>
    </row>
    <row r="43" spans="1:8" ht="25.5" x14ac:dyDescent="0.2">
      <c r="A43" s="411">
        <v>3</v>
      </c>
      <c r="B43" s="404" t="s">
        <v>993</v>
      </c>
      <c r="C43" s="408">
        <v>4</v>
      </c>
      <c r="D43" s="408">
        <v>13</v>
      </c>
      <c r="E43" s="406"/>
      <c r="F43" s="410" t="s">
        <v>594</v>
      </c>
    </row>
    <row r="44" spans="1:8" x14ac:dyDescent="0.2">
      <c r="B44" s="301"/>
    </row>
    <row r="45" spans="1:8" x14ac:dyDescent="0.2">
      <c r="B45" s="301"/>
    </row>
    <row r="46" spans="1:8" x14ac:dyDescent="0.2">
      <c r="A46" s="98"/>
      <c r="B46" s="413"/>
      <c r="C46" s="395">
        <v>1</v>
      </c>
      <c r="D46" s="395">
        <v>2</v>
      </c>
      <c r="E46" s="395">
        <v>3</v>
      </c>
      <c r="F46" s="396" t="s">
        <v>591</v>
      </c>
      <c r="H46" s="400" t="s">
        <v>28</v>
      </c>
    </row>
    <row r="47" spans="1:8" ht="25.5" x14ac:dyDescent="0.2">
      <c r="A47" s="411">
        <v>1</v>
      </c>
      <c r="B47" s="404" t="s">
        <v>991</v>
      </c>
      <c r="C47" s="406"/>
      <c r="D47" s="408">
        <v>13</v>
      </c>
      <c r="E47" s="408">
        <v>13</v>
      </c>
      <c r="F47" s="410" t="s">
        <v>592</v>
      </c>
      <c r="H47" s="893" t="s">
        <v>634</v>
      </c>
    </row>
    <row r="48" spans="1:8" ht="25.5" x14ac:dyDescent="0.2">
      <c r="A48" s="411">
        <v>2</v>
      </c>
      <c r="B48" s="404" t="s">
        <v>1004</v>
      </c>
      <c r="C48" s="408">
        <v>5</v>
      </c>
      <c r="D48" s="406"/>
      <c r="E48" s="408">
        <v>13</v>
      </c>
      <c r="F48" s="410" t="s">
        <v>594</v>
      </c>
      <c r="H48" s="893" t="s">
        <v>606</v>
      </c>
    </row>
    <row r="49" spans="1:8" ht="25.5" x14ac:dyDescent="0.2">
      <c r="A49" s="411">
        <v>3</v>
      </c>
      <c r="B49" s="404" t="s">
        <v>993</v>
      </c>
      <c r="C49" s="408">
        <v>11</v>
      </c>
      <c r="D49" s="408">
        <v>7</v>
      </c>
      <c r="E49" s="406"/>
      <c r="F49" s="410" t="s">
        <v>593</v>
      </c>
      <c r="H49" s="893" t="s">
        <v>633</v>
      </c>
    </row>
    <row r="51" spans="1:8" hidden="1" x14ac:dyDescent="0.2">
      <c r="B51" s="208" t="s">
        <v>616</v>
      </c>
      <c r="C51" s="400" t="s">
        <v>629</v>
      </c>
    </row>
    <row r="52" spans="1:8" hidden="1" x14ac:dyDescent="0.2">
      <c r="B52" s="208" t="s">
        <v>619</v>
      </c>
      <c r="C52" s="400" t="s">
        <v>620</v>
      </c>
    </row>
    <row r="53" spans="1:8" hidden="1" x14ac:dyDescent="0.2">
      <c r="B53" s="208" t="s">
        <v>622</v>
      </c>
      <c r="C53" s="400" t="s">
        <v>635</v>
      </c>
    </row>
  </sheetData>
  <conditionalFormatting sqref="C9:G49">
    <cfRule type="cellIs" dxfId="539" priority="1"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ignoredErrors>
    <ignoredError sqref="J9:J12"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5"/>
  <sheetViews>
    <sheetView showGridLines="0" showRowColHeaders="0" zoomScaleNormal="100" workbookViewId="0">
      <pane ySplit="2" topLeftCell="A3" activePane="bottomLeft" state="frozen"/>
      <selection pane="bottomLeft" activeCell="I1" sqref="I1"/>
    </sheetView>
  </sheetViews>
  <sheetFormatPr defaultRowHeight="12.75" x14ac:dyDescent="0.2"/>
  <cols>
    <col min="1" max="1" width="3.28515625" style="206" customWidth="1"/>
    <col min="2" max="2" width="33" style="206" customWidth="1"/>
    <col min="3" max="3" width="7.28515625" style="206" bestFit="1" customWidth="1"/>
    <col min="4" max="4" width="7.42578125" style="206" customWidth="1"/>
    <col min="5" max="5" width="9.140625" style="206"/>
    <col min="6" max="6" width="6.7109375" style="206" bestFit="1" customWidth="1"/>
    <col min="7" max="7" width="5.140625" style="206" customWidth="1"/>
    <col min="8" max="10" width="9.140625" style="206" customWidth="1"/>
    <col min="11" max="11" width="7.28515625" style="206" bestFit="1" customWidth="1"/>
    <col min="12" max="12" width="9.140625" style="206" customWidth="1"/>
    <col min="13" max="13" width="9.140625" style="206"/>
    <col min="14" max="14" width="6.7109375" style="206" bestFit="1" customWidth="1"/>
    <col min="15" max="15" width="5.140625" style="206" bestFit="1" customWidth="1"/>
    <col min="16" max="18" width="0.85546875" style="206" customWidth="1"/>
    <col min="19" max="16384" width="9.140625" style="206"/>
  </cols>
  <sheetData>
    <row r="1" spans="1:7" x14ac:dyDescent="0.2">
      <c r="A1" s="117" t="str">
        <f>UPPER((Kalend!E10)&amp;" - "&amp;(Kalend!C10)&amp;" - "&amp;(Kalend!D10))</f>
        <v>2 - 20. EESTI MV - SEGADUO</v>
      </c>
      <c r="G1" s="85" t="str">
        <f>HYPERLINK("#Üldreiting!I1","Reiting")</f>
        <v>Reiting</v>
      </c>
    </row>
    <row r="2" spans="1:7" x14ac:dyDescent="0.2">
      <c r="A2" s="116" t="str">
        <f>"Toimumisaeg: "&amp;(Kalend!A10)&amp;" kell "&amp;(Kalend!B10)</f>
        <v>Toimumisaeg: L, 03.06.2017 kell 10:00</v>
      </c>
    </row>
    <row r="3" spans="1:7" x14ac:dyDescent="0.2">
      <c r="A3" s="116" t="str">
        <f>"Toimumiskoht: "&amp;(Kalend!H10)</f>
        <v>Toimumiskoht: Uuskalda (Läänemaa, Kärbla küla)</v>
      </c>
    </row>
    <row r="4" spans="1:7" x14ac:dyDescent="0.2">
      <c r="A4" s="116" t="str">
        <f>"Korraldaja: "&amp;(Kalend!I10)</f>
        <v>Korraldaja: PK Wicia</v>
      </c>
    </row>
    <row r="6" spans="1:7" s="420" customFormat="1" x14ac:dyDescent="0.2">
      <c r="A6" s="317" t="s">
        <v>402</v>
      </c>
      <c r="B6" s="318"/>
      <c r="C6" s="319" t="s">
        <v>403</v>
      </c>
      <c r="D6" s="319" t="s">
        <v>404</v>
      </c>
      <c r="E6" s="319" t="s">
        <v>405</v>
      </c>
      <c r="F6" s="319" t="s">
        <v>406</v>
      </c>
      <c r="G6" s="319" t="s">
        <v>26</v>
      </c>
    </row>
    <row r="7" spans="1:7" s="420" customFormat="1" x14ac:dyDescent="0.2">
      <c r="A7" s="320">
        <v>1</v>
      </c>
      <c r="B7" s="453" t="s">
        <v>654</v>
      </c>
      <c r="C7" s="321">
        <v>13</v>
      </c>
      <c r="D7" s="321">
        <v>7</v>
      </c>
      <c r="E7" s="321"/>
      <c r="F7" s="321">
        <v>13</v>
      </c>
      <c r="G7" s="321" t="str">
        <f>IF(AND(COUNTIF(C7:F7,13)=0,COUNT(C7:F7)=2),"IV",IF(AND(COUNTIF(C7:F7,13)=1,COUNT(C7:F7)=3),"III",IF(AND(COUNTIF(C7:F7,13)=2,COUNT(C7:F7)=3),"II",IF(AND(COUNTIF(C7:F7,13)=2,COUNT(C7:F7)=2),"I"))))</f>
        <v>II</v>
      </c>
    </row>
    <row r="8" spans="1:7" s="420" customFormat="1" x14ac:dyDescent="0.2">
      <c r="A8" s="320">
        <v>2</v>
      </c>
      <c r="B8" s="453" t="s">
        <v>655</v>
      </c>
      <c r="C8" s="321">
        <v>8</v>
      </c>
      <c r="D8" s="321"/>
      <c r="E8" s="321">
        <v>13</v>
      </c>
      <c r="F8" s="321">
        <v>5</v>
      </c>
      <c r="G8" s="321" t="str">
        <f>IF(AND(COUNTIF(C8:F8,13)=0,COUNT(C8:F8)=2),"IV",IF(AND(COUNTIF(C8:F8,13)=1,COUNT(C8:F8)=3),"III",IF(AND(COUNTIF(C8:F8,13)=2,COUNT(C8:F8)=3),"II",IF(AND(COUNTIF(C8:F8,13)=2,COUNT(C8:F8)=2),"I"))))</f>
        <v>III</v>
      </c>
    </row>
    <row r="9" spans="1:7" s="420" customFormat="1" x14ac:dyDescent="0.2">
      <c r="A9" s="320">
        <v>3</v>
      </c>
      <c r="B9" s="453" t="s">
        <v>656</v>
      </c>
      <c r="C9" s="321">
        <v>13</v>
      </c>
      <c r="D9" s="321">
        <v>13</v>
      </c>
      <c r="E9" s="321"/>
      <c r="F9" s="321"/>
      <c r="G9" s="321" t="str">
        <f>IF(AND(COUNTIF(C9:F9,13)=0,COUNT(C9:F9)=2),"IV",IF(AND(COUNTIF(C9:F9,13)=1,COUNT(C9:F9)=3),"III",IF(AND(COUNTIF(C9:F9,13)=2,COUNT(C9:F9)=3),"II",IF(AND(COUNTIF(C9:F9,13)=2,COUNT(C9:F9)=2),"I"))))</f>
        <v>I</v>
      </c>
    </row>
    <row r="10" spans="1:7" s="420" customFormat="1" x14ac:dyDescent="0.2">
      <c r="A10" s="320">
        <v>4</v>
      </c>
      <c r="B10" s="323"/>
      <c r="C10" s="321">
        <f>IF(ISBLANK(B10),0)</f>
        <v>0</v>
      </c>
      <c r="D10" s="321"/>
      <c r="E10" s="321">
        <f>IF(ISBLANK(B10),0)</f>
        <v>0</v>
      </c>
      <c r="F10" s="321"/>
      <c r="G10" s="321"/>
    </row>
    <row r="11" spans="1:7" s="420" customFormat="1" x14ac:dyDescent="0.2">
      <c r="A11" s="324"/>
      <c r="B11" s="325"/>
      <c r="C11" s="326"/>
      <c r="D11" s="326"/>
      <c r="E11" s="326"/>
      <c r="F11" s="327"/>
      <c r="G11" s="458"/>
    </row>
    <row r="12" spans="1:7" s="420" customFormat="1" x14ac:dyDescent="0.2">
      <c r="A12" s="317" t="s">
        <v>407</v>
      </c>
      <c r="B12" s="318"/>
      <c r="C12" s="319" t="s">
        <v>403</v>
      </c>
      <c r="D12" s="319" t="s">
        <v>404</v>
      </c>
      <c r="E12" s="319" t="s">
        <v>405</v>
      </c>
      <c r="F12" s="319" t="s">
        <v>406</v>
      </c>
      <c r="G12" s="680" t="s">
        <v>26</v>
      </c>
    </row>
    <row r="13" spans="1:7" s="420" customFormat="1" x14ac:dyDescent="0.2">
      <c r="A13" s="320">
        <v>1</v>
      </c>
      <c r="B13" s="453" t="s">
        <v>657</v>
      </c>
      <c r="C13" s="321">
        <v>13</v>
      </c>
      <c r="D13" s="321">
        <v>5</v>
      </c>
      <c r="E13" s="321"/>
      <c r="F13" s="321">
        <v>13</v>
      </c>
      <c r="G13" s="321" t="str">
        <f>IF(AND(COUNTIF(C13:F13,13)=0,COUNT(C13:F13)=2),"IV",IF(AND(COUNTIF(C13:F13,13)=1,COUNT(C13:F13)=3),"III",IF(AND(COUNTIF(C13:F13,13)=2,COUNT(C13:F13)=3),"II",IF(AND(COUNTIF(C13:F13,13)=2,COUNT(C13:F13)=2),"I"))))</f>
        <v>II</v>
      </c>
    </row>
    <row r="14" spans="1:7" s="420" customFormat="1" x14ac:dyDescent="0.2">
      <c r="A14" s="320">
        <v>2</v>
      </c>
      <c r="B14" s="453" t="s">
        <v>658</v>
      </c>
      <c r="C14" s="321">
        <v>13</v>
      </c>
      <c r="D14" s="321">
        <v>13</v>
      </c>
      <c r="E14" s="321"/>
      <c r="F14" s="321"/>
      <c r="G14" s="321" t="str">
        <f>IF(AND(COUNTIF(C14:F14,13)=0,COUNT(C14:F14)=2),"IV",IF(AND(COUNTIF(C14:F14,13)=1,COUNT(C14:F14)=3),"III",IF(AND(COUNTIF(C14:F14,13)=2,COUNT(C14:F14)=3),"II",IF(AND(COUNTIF(C14:F14,13)=2,COUNT(C14:F14)=2),"I"))))</f>
        <v>I</v>
      </c>
    </row>
    <row r="15" spans="1:7" s="420" customFormat="1" x14ac:dyDescent="0.2">
      <c r="A15" s="320">
        <v>3</v>
      </c>
      <c r="B15" s="453" t="s">
        <v>659</v>
      </c>
      <c r="C15" s="321">
        <v>4</v>
      </c>
      <c r="D15" s="321"/>
      <c r="E15" s="321">
        <v>13</v>
      </c>
      <c r="F15" s="321">
        <v>3</v>
      </c>
      <c r="G15" s="321" t="str">
        <f>IF(AND(COUNTIF(C15:F15,13)=0,COUNT(C15:F15)=2),"IV",IF(AND(COUNTIF(C15:F15,13)=1,COUNT(C15:F15)=3),"III",IF(AND(COUNTIF(C15:F15,13)=2,COUNT(C15:F15)=3),"II",IF(AND(COUNTIF(C15:F15,13)=2,COUNT(C15:F15)=2),"I"))))</f>
        <v>III</v>
      </c>
    </row>
    <row r="16" spans="1:7" s="420" customFormat="1" x14ac:dyDescent="0.2">
      <c r="A16" s="320">
        <v>4</v>
      </c>
      <c r="B16" s="323"/>
      <c r="C16" s="321">
        <f>IF(ISBLANK(B16),0)</f>
        <v>0</v>
      </c>
      <c r="D16" s="321"/>
      <c r="E16" s="321">
        <f>IF(ISBLANK(B16),0)</f>
        <v>0</v>
      </c>
      <c r="F16" s="321"/>
      <c r="G16" s="321"/>
    </row>
    <row r="17" spans="1:15" s="420" customFormat="1" x14ac:dyDescent="0.2">
      <c r="G17" s="700"/>
    </row>
    <row r="18" spans="1:15" s="420" customFormat="1" x14ac:dyDescent="0.2">
      <c r="A18" s="317" t="s">
        <v>408</v>
      </c>
      <c r="B18" s="318"/>
      <c r="C18" s="319" t="s">
        <v>403</v>
      </c>
      <c r="D18" s="319" t="s">
        <v>404</v>
      </c>
      <c r="E18" s="319" t="s">
        <v>405</v>
      </c>
      <c r="F18" s="319" t="s">
        <v>406</v>
      </c>
      <c r="G18" s="680" t="s">
        <v>26</v>
      </c>
    </row>
    <row r="19" spans="1:15" s="420" customFormat="1" x14ac:dyDescent="0.2">
      <c r="A19" s="320">
        <v>1</v>
      </c>
      <c r="B19" s="453" t="s">
        <v>660</v>
      </c>
      <c r="C19" s="321">
        <v>13</v>
      </c>
      <c r="D19" s="321">
        <v>8</v>
      </c>
      <c r="E19" s="321"/>
      <c r="F19" s="321">
        <v>13</v>
      </c>
      <c r="G19" s="321" t="str">
        <f>IF(AND(COUNTIF(C19:F19,13)=0,COUNT(C19:F19)=2),"IV",IF(AND(COUNTIF(C19:F19,13)=1,COUNT(C19:F19)=3),"III",IF(AND(COUNTIF(C19:F19,13)=2,COUNT(C19:F19)=3),"II",IF(AND(COUNTIF(C19:F19,13)=2,COUNT(C19:F19)=2),"I"))))</f>
        <v>II</v>
      </c>
    </row>
    <row r="20" spans="1:15" s="420" customFormat="1" x14ac:dyDescent="0.2">
      <c r="A20" s="320">
        <v>2</v>
      </c>
      <c r="B20" s="453" t="s">
        <v>720</v>
      </c>
      <c r="C20" s="321">
        <v>3</v>
      </c>
      <c r="D20" s="321"/>
      <c r="E20" s="321">
        <v>13</v>
      </c>
      <c r="F20" s="321">
        <v>5</v>
      </c>
      <c r="G20" s="321" t="str">
        <f>IF(AND(COUNTIF(C20:F20,13)=0,COUNT(C20:F20)=2),"IV",IF(AND(COUNTIF(C20:F20,13)=1,COUNT(C20:F20)=3),"III",IF(AND(COUNTIF(C20:F20,13)=2,COUNT(C20:F20)=3),"II",IF(AND(COUNTIF(C20:F20,13)=2,COUNT(C20:F20)=2),"I"))))</f>
        <v>III</v>
      </c>
    </row>
    <row r="21" spans="1:15" s="420" customFormat="1" x14ac:dyDescent="0.2">
      <c r="A21" s="320">
        <v>3</v>
      </c>
      <c r="B21" s="453" t="s">
        <v>661</v>
      </c>
      <c r="C21" s="321">
        <v>13</v>
      </c>
      <c r="D21" s="321">
        <v>13</v>
      </c>
      <c r="E21" s="321"/>
      <c r="F21" s="321"/>
      <c r="G21" s="321" t="str">
        <f>IF(AND(COUNTIF(C21:F21,13)=0,COUNT(C21:F21)=2),"IV",IF(AND(COUNTIF(C21:F21,13)=1,COUNT(C21:F21)=3),"III",IF(AND(COUNTIF(C21:F21,13)=2,COUNT(C21:F21)=3),"II",IF(AND(COUNTIF(C21:F21,13)=2,COUNT(C21:F21)=2),"I"))))</f>
        <v>I</v>
      </c>
    </row>
    <row r="22" spans="1:15" s="420" customFormat="1" x14ac:dyDescent="0.2">
      <c r="A22" s="320">
        <v>4</v>
      </c>
      <c r="B22" s="454" t="s">
        <v>662</v>
      </c>
      <c r="C22" s="321">
        <v>6</v>
      </c>
      <c r="D22" s="321"/>
      <c r="E22" s="321">
        <v>8</v>
      </c>
      <c r="F22" s="321"/>
      <c r="G22" s="321" t="str">
        <f>IF(AND(COUNTIF(C22:F22,13)=0,COUNT(C22:F22)=2),"IV",IF(AND(COUNTIF(C22:F22,13)=1,COUNT(C22:F22)=3),"III",IF(AND(COUNTIF(C22:F22,13)=2,COUNT(C22:F22)=3),"II",IF(AND(COUNTIF(C22:F22,13)=2,COUNT(C22:F22)=2),"I"))))</f>
        <v>IV</v>
      </c>
    </row>
    <row r="23" spans="1:15" s="420" customFormat="1" x14ac:dyDescent="0.2">
      <c r="A23" s="324"/>
      <c r="B23" s="457"/>
      <c r="C23" s="327"/>
      <c r="D23" s="327"/>
      <c r="E23" s="327"/>
      <c r="F23" s="327"/>
      <c r="G23" s="458"/>
      <c r="I23" s="324"/>
      <c r="J23" s="459"/>
      <c r="K23" s="327"/>
      <c r="L23" s="327"/>
      <c r="M23" s="327"/>
      <c r="N23" s="327"/>
      <c r="O23" s="458"/>
    </row>
    <row r="24" spans="1:15" s="420" customFormat="1" x14ac:dyDescent="0.2">
      <c r="A24" s="317" t="s">
        <v>409</v>
      </c>
      <c r="B24" s="318"/>
      <c r="C24" s="319" t="s">
        <v>403</v>
      </c>
      <c r="D24" s="319" t="s">
        <v>404</v>
      </c>
      <c r="E24" s="319" t="s">
        <v>405</v>
      </c>
      <c r="F24" s="319" t="s">
        <v>406</v>
      </c>
      <c r="G24" s="680" t="s">
        <v>26</v>
      </c>
      <c r="I24" s="324"/>
      <c r="J24" s="459"/>
      <c r="K24" s="327"/>
      <c r="L24" s="327"/>
      <c r="M24" s="327"/>
      <c r="N24" s="327"/>
      <c r="O24" s="458"/>
    </row>
    <row r="25" spans="1:15" s="420" customFormat="1" x14ac:dyDescent="0.2">
      <c r="A25" s="320">
        <v>1</v>
      </c>
      <c r="B25" s="453" t="s">
        <v>663</v>
      </c>
      <c r="C25" s="321">
        <v>13</v>
      </c>
      <c r="D25" s="321">
        <v>12</v>
      </c>
      <c r="E25" s="321"/>
      <c r="F25" s="321">
        <v>3</v>
      </c>
      <c r="G25" s="321" t="str">
        <f>IF(AND(COUNTIF(C25:F25,13)=0,COUNT(C25:F25)=2),"IV",IF(AND(COUNTIF(C25:F25,13)=1,COUNT(C25:F25)=3),"III",IF(AND(COUNTIF(C25:F25,13)=2,COUNT(C25:F25)=3),"II",IF(AND(COUNTIF(C25:F25,13)=2,COUNT(C25:F25)=2),"I"))))</f>
        <v>III</v>
      </c>
      <c r="I25" s="324"/>
      <c r="J25" s="459"/>
      <c r="K25" s="327"/>
      <c r="L25" s="327"/>
      <c r="M25" s="327"/>
      <c r="N25" s="327"/>
      <c r="O25" s="458"/>
    </row>
    <row r="26" spans="1:15" s="420" customFormat="1" x14ac:dyDescent="0.2">
      <c r="A26" s="320">
        <v>2</v>
      </c>
      <c r="B26" s="454" t="s">
        <v>664</v>
      </c>
      <c r="C26" s="321">
        <v>13</v>
      </c>
      <c r="D26" s="321">
        <v>13</v>
      </c>
      <c r="E26" s="321"/>
      <c r="F26" s="321"/>
      <c r="G26" s="321" t="str">
        <f>IF(AND(COUNTIF(C26:F26,13)=0,COUNT(C26:F26)=2),"IV",IF(AND(COUNTIF(C26:F26,13)=1,COUNT(C26:F26)=3),"III",IF(AND(COUNTIF(C26:F26,13)=2,COUNT(C26:F26)=3),"II",IF(AND(COUNTIF(C26:F26,13)=2,COUNT(C26:F26)=2),"I"))))</f>
        <v>I</v>
      </c>
      <c r="I26" s="324"/>
      <c r="J26" s="459"/>
      <c r="K26" s="327"/>
      <c r="L26" s="327"/>
      <c r="M26" s="327"/>
      <c r="N26" s="327"/>
      <c r="O26" s="458"/>
    </row>
    <row r="27" spans="1:15" s="420" customFormat="1" x14ac:dyDescent="0.2">
      <c r="A27" s="320">
        <v>3</v>
      </c>
      <c r="B27" s="453" t="s">
        <v>665</v>
      </c>
      <c r="C27" s="321">
        <v>6</v>
      </c>
      <c r="D27" s="321"/>
      <c r="E27" s="321">
        <v>13</v>
      </c>
      <c r="F27" s="701">
        <v>2</v>
      </c>
      <c r="G27" s="321" t="str">
        <f>IF(AND(COUNTIF(C27:F27,13)=0,COUNT(C27:F27)=2),"IV",IF(AND(COUNTIF(C27:F27,13)=1,COUNT(C27:F27)=3),"III",IF(AND(COUNTIF(C27:F27,13)=2,COUNT(C27:F27)=3),"II",IF(AND(COUNTIF(C27:F27,13)=2,COUNT(C27:F27)=2),"I"))))</f>
        <v>III</v>
      </c>
      <c r="I27" s="324"/>
      <c r="J27" s="459"/>
      <c r="K27" s="327"/>
      <c r="L27" s="327"/>
      <c r="M27" s="327"/>
      <c r="N27" s="327"/>
      <c r="O27" s="458"/>
    </row>
    <row r="28" spans="1:15" s="420" customFormat="1" x14ac:dyDescent="0.2">
      <c r="A28" s="320">
        <v>4</v>
      </c>
      <c r="B28" s="323"/>
      <c r="C28" s="321">
        <f>IF(ISBLANK(B28),0)</f>
        <v>0</v>
      </c>
      <c r="D28" s="321"/>
      <c r="E28" s="321">
        <f>IF(ISBLANK(B28),0)</f>
        <v>0</v>
      </c>
      <c r="F28" s="321"/>
      <c r="G28" s="321"/>
      <c r="I28" s="324"/>
      <c r="J28" s="459"/>
      <c r="K28" s="327"/>
      <c r="L28" s="327"/>
      <c r="M28" s="327"/>
      <c r="N28" s="327"/>
      <c r="O28" s="458"/>
    </row>
    <row r="29" spans="1:15" s="420" customFormat="1" x14ac:dyDescent="0.2">
      <c r="A29" s="324"/>
      <c r="B29" s="325"/>
      <c r="C29" s="326"/>
      <c r="D29" s="326"/>
      <c r="E29" s="326"/>
      <c r="F29" s="327"/>
      <c r="G29" s="458"/>
      <c r="I29" s="324"/>
      <c r="J29" s="459"/>
      <c r="K29" s="327"/>
      <c r="L29" s="327"/>
      <c r="M29" s="327"/>
      <c r="N29" s="327"/>
      <c r="O29" s="458"/>
    </row>
    <row r="30" spans="1:15" s="420" customFormat="1" x14ac:dyDescent="0.2">
      <c r="A30" s="317" t="s">
        <v>642</v>
      </c>
      <c r="B30" s="318"/>
      <c r="C30" s="319" t="s">
        <v>403</v>
      </c>
      <c r="D30" s="319" t="s">
        <v>404</v>
      </c>
      <c r="E30" s="319" t="s">
        <v>405</v>
      </c>
      <c r="F30" s="319" t="s">
        <v>406</v>
      </c>
      <c r="G30" s="680" t="s">
        <v>26</v>
      </c>
      <c r="I30" s="324"/>
      <c r="J30" s="459"/>
      <c r="K30" s="327"/>
      <c r="L30" s="327"/>
      <c r="M30" s="327"/>
      <c r="N30" s="327"/>
      <c r="O30" s="458"/>
    </row>
    <row r="31" spans="1:15" s="420" customFormat="1" x14ac:dyDescent="0.2">
      <c r="A31" s="320">
        <v>1</v>
      </c>
      <c r="B31" s="455" t="s">
        <v>666</v>
      </c>
      <c r="C31" s="321">
        <v>13</v>
      </c>
      <c r="D31" s="321">
        <v>13</v>
      </c>
      <c r="E31" s="321"/>
      <c r="F31" s="321"/>
      <c r="G31" s="321" t="str">
        <f>IF(AND(COUNTIF(C31:F31,13)=0,COUNT(C31:F31)=2),"IV",IF(AND(COUNTIF(C31:F31,13)=1,COUNT(C31:F31)=3),"III",IF(AND(COUNTIF(C31:F31,13)=2,COUNT(C31:F31)=3),"II",IF(AND(COUNTIF(C31:F31,13)=2,COUNT(C31:F31)=2),"I"))))</f>
        <v>I</v>
      </c>
      <c r="I31" s="324"/>
      <c r="J31" s="459"/>
      <c r="K31" s="327"/>
      <c r="L31" s="327"/>
      <c r="M31" s="327"/>
      <c r="N31" s="327"/>
      <c r="O31" s="458"/>
    </row>
    <row r="32" spans="1:15" s="420" customFormat="1" x14ac:dyDescent="0.2">
      <c r="A32" s="320">
        <v>2</v>
      </c>
      <c r="B32" s="455" t="s">
        <v>667</v>
      </c>
      <c r="C32" s="321">
        <v>7</v>
      </c>
      <c r="D32" s="321"/>
      <c r="E32" s="321">
        <v>1</v>
      </c>
      <c r="F32" s="321"/>
      <c r="G32" s="321" t="str">
        <f>IF(AND(COUNTIF(C32:F32,13)=0,COUNT(C32:F32)=2),"IV",IF(AND(COUNTIF(C32:F32,13)=1,COUNT(C32:F32)=3),"III",IF(AND(COUNTIF(C32:F32,13)=2,COUNT(C32:F32)=3),"II",IF(AND(COUNTIF(C32:F32,13)=2,COUNT(C32:F32)=2),"I"))))</f>
        <v>IV</v>
      </c>
      <c r="I32" s="324"/>
      <c r="J32" s="459"/>
      <c r="K32" s="327"/>
      <c r="L32" s="327"/>
      <c r="M32" s="327"/>
      <c r="N32" s="327"/>
      <c r="O32" s="458"/>
    </row>
    <row r="33" spans="1:15" s="420" customFormat="1" x14ac:dyDescent="0.2">
      <c r="A33" s="320">
        <v>3</v>
      </c>
      <c r="B33" s="456" t="s">
        <v>668</v>
      </c>
      <c r="C33" s="321">
        <v>13</v>
      </c>
      <c r="D33" s="321">
        <v>8</v>
      </c>
      <c r="E33" s="321"/>
      <c r="F33" s="321">
        <v>7</v>
      </c>
      <c r="G33" s="321" t="str">
        <f>IF(AND(COUNTIF(C33:F33,13)=0,COUNT(C33:F33)=2),"IV",IF(AND(COUNTIF(C33:F33,13)=1,COUNT(C33:F33)=3),"III",IF(AND(COUNTIF(C33:F33,13)=2,COUNT(C33:F33)=3),"II",IF(AND(COUNTIF(C33:F33,13)=2,COUNT(C33:F33)=2),"I"))))</f>
        <v>III</v>
      </c>
      <c r="I33" s="324"/>
      <c r="J33" s="459"/>
      <c r="K33" s="327"/>
      <c r="L33" s="327"/>
      <c r="M33" s="327"/>
      <c r="N33" s="327"/>
      <c r="O33" s="458"/>
    </row>
    <row r="34" spans="1:15" s="420" customFormat="1" x14ac:dyDescent="0.2">
      <c r="A34" s="320">
        <v>4</v>
      </c>
      <c r="B34" s="454" t="s">
        <v>669</v>
      </c>
      <c r="C34" s="321">
        <v>3</v>
      </c>
      <c r="D34" s="321"/>
      <c r="E34" s="321">
        <v>13</v>
      </c>
      <c r="F34" s="321">
        <v>13</v>
      </c>
      <c r="G34" s="321" t="str">
        <f>IF(AND(COUNTIF(C34:F34,13)=0,COUNT(C34:F34)=2),"IV",IF(AND(COUNTIF(C34:F34,13)=1,COUNT(C34:F34)=3),"III",IF(AND(COUNTIF(C34:F34,13)=2,COUNT(C34:F34)=3),"II",IF(AND(COUNTIF(C34:F34,13)=2,COUNT(C34:F34)=2),"I"))))</f>
        <v>II</v>
      </c>
      <c r="I34" s="324"/>
      <c r="J34" s="459"/>
      <c r="K34" s="327"/>
      <c r="L34" s="327"/>
      <c r="M34" s="327"/>
      <c r="N34" s="327"/>
      <c r="O34" s="458"/>
    </row>
    <row r="35" spans="1:15" s="420" customFormat="1" x14ac:dyDescent="0.2">
      <c r="A35" s="324"/>
      <c r="B35" s="325"/>
      <c r="C35" s="326"/>
      <c r="D35" s="326"/>
      <c r="E35" s="326"/>
      <c r="F35" s="327"/>
      <c r="G35" s="458"/>
      <c r="I35" s="324"/>
      <c r="J35" s="459"/>
      <c r="K35" s="327"/>
      <c r="L35" s="327"/>
      <c r="M35" s="327"/>
      <c r="N35" s="327"/>
      <c r="O35" s="458"/>
    </row>
    <row r="36" spans="1:15" s="420" customFormat="1" x14ac:dyDescent="0.2">
      <c r="A36" s="317" t="s">
        <v>643</v>
      </c>
      <c r="B36" s="318"/>
      <c r="C36" s="319" t="s">
        <v>403</v>
      </c>
      <c r="D36" s="319" t="s">
        <v>404</v>
      </c>
      <c r="E36" s="319" t="s">
        <v>405</v>
      </c>
      <c r="F36" s="319" t="s">
        <v>406</v>
      </c>
      <c r="G36" s="680" t="s">
        <v>26</v>
      </c>
      <c r="I36" s="324"/>
      <c r="J36" s="459"/>
      <c r="K36" s="327"/>
      <c r="L36" s="327"/>
      <c r="M36" s="327"/>
      <c r="N36" s="327"/>
      <c r="O36" s="458"/>
    </row>
    <row r="37" spans="1:15" s="420" customFormat="1" x14ac:dyDescent="0.2">
      <c r="A37" s="320">
        <v>1</v>
      </c>
      <c r="B37" s="453" t="s">
        <v>670</v>
      </c>
      <c r="C37" s="321">
        <v>13</v>
      </c>
      <c r="D37" s="321">
        <v>7</v>
      </c>
      <c r="E37" s="321"/>
      <c r="F37" s="321">
        <v>13</v>
      </c>
      <c r="G37" s="321" t="str">
        <f>IF(AND(COUNTIF(C37:F37,13)=0,COUNT(C37:F37)=2),"IV",IF(AND(COUNTIF(C37:F37,13)=1,COUNT(C37:F37)=3),"III",IF(AND(COUNTIF(C37:F37,13)=2,COUNT(C37:F37)=3),"II",IF(AND(COUNTIF(C37:F37,13)=2,COUNT(C37:F37)=2),"I"))))</f>
        <v>II</v>
      </c>
      <c r="I37" s="324"/>
      <c r="J37" s="459"/>
      <c r="K37" s="327"/>
      <c r="L37" s="327"/>
      <c r="M37" s="327"/>
      <c r="N37" s="327"/>
      <c r="O37" s="458"/>
    </row>
    <row r="38" spans="1:15" s="420" customFormat="1" x14ac:dyDescent="0.2">
      <c r="A38" s="320">
        <v>2</v>
      </c>
      <c r="B38" s="454" t="s">
        <v>671</v>
      </c>
      <c r="C38" s="321">
        <v>4</v>
      </c>
      <c r="D38" s="321"/>
      <c r="E38" s="321">
        <v>13</v>
      </c>
      <c r="F38" s="321">
        <v>2</v>
      </c>
      <c r="G38" s="321" t="str">
        <f>IF(AND(COUNTIF(C38:F38,13)=0,COUNT(C38:F38)=2),"IV",IF(AND(COUNTIF(C38:F38,13)=1,COUNT(C38:F38)=3),"III",IF(AND(COUNTIF(C38:F38,13)=2,COUNT(C38:F38)=3),"II",IF(AND(COUNTIF(C38:F38,13)=2,COUNT(C38:F38)=2),"I"))))</f>
        <v>III</v>
      </c>
      <c r="I38" s="324"/>
      <c r="J38" s="459"/>
      <c r="K38" s="327"/>
      <c r="L38" s="327"/>
      <c r="M38" s="327"/>
      <c r="N38" s="327"/>
      <c r="O38" s="458"/>
    </row>
    <row r="39" spans="1:15" s="420" customFormat="1" x14ac:dyDescent="0.2">
      <c r="A39" s="320">
        <v>3</v>
      </c>
      <c r="B39" s="453" t="s">
        <v>672</v>
      </c>
      <c r="C39" s="321">
        <v>13</v>
      </c>
      <c r="D39" s="321">
        <v>13</v>
      </c>
      <c r="E39" s="321"/>
      <c r="F39" s="321"/>
      <c r="G39" s="321" t="str">
        <f>IF(AND(COUNTIF(C39:F39,13)=0,COUNT(C39:F39)=2),"IV",IF(AND(COUNTIF(C39:F39,13)=1,COUNT(C39:F39)=3),"III",IF(AND(COUNTIF(C39:F39,13)=2,COUNT(C39:F39)=3),"II",IF(AND(COUNTIF(C39:F39,13)=2,COUNT(C39:F39)=2),"I"))))</f>
        <v>I</v>
      </c>
      <c r="I39" s="324"/>
      <c r="J39" s="459"/>
      <c r="K39" s="327"/>
      <c r="L39" s="327"/>
      <c r="M39" s="327"/>
      <c r="N39" s="327"/>
      <c r="O39" s="458"/>
    </row>
    <row r="40" spans="1:15" s="420" customFormat="1" x14ac:dyDescent="0.2">
      <c r="A40" s="320">
        <v>4</v>
      </c>
      <c r="B40" s="323"/>
      <c r="C40" s="321">
        <f>IF(ISBLANK(B40),0)</f>
        <v>0</v>
      </c>
      <c r="D40" s="321"/>
      <c r="E40" s="321">
        <f>IF(ISBLANK(B40),0)</f>
        <v>0</v>
      </c>
      <c r="F40" s="321"/>
      <c r="G40" s="321"/>
      <c r="I40" s="324"/>
      <c r="J40" s="459"/>
      <c r="K40" s="327"/>
      <c r="L40" s="327"/>
      <c r="M40" s="327"/>
      <c r="N40" s="327"/>
      <c r="O40" s="458"/>
    </row>
    <row r="42" spans="1:15" s="135" customFormat="1" x14ac:dyDescent="0.2">
      <c r="A42" s="421" t="s">
        <v>410</v>
      </c>
      <c r="B42" s="89"/>
      <c r="C42" s="326"/>
      <c r="D42" s="326"/>
      <c r="E42" s="326"/>
      <c r="F42" s="327"/>
      <c r="G42" s="328"/>
    </row>
    <row r="43" spans="1:15" s="135" customFormat="1" x14ac:dyDescent="0.2"/>
    <row r="44" spans="1:15" s="135" customFormat="1" x14ac:dyDescent="0.2">
      <c r="A44" s="422" t="s">
        <v>598</v>
      </c>
      <c r="B44" s="452" t="s">
        <v>661</v>
      </c>
      <c r="C44" s="423">
        <v>13</v>
      </c>
    </row>
    <row r="45" spans="1:15" s="135" customFormat="1" x14ac:dyDescent="0.2">
      <c r="A45" s="424"/>
      <c r="B45" s="425"/>
      <c r="C45" s="426" t="s">
        <v>661</v>
      </c>
      <c r="D45" s="427"/>
      <c r="F45" s="423">
        <v>9</v>
      </c>
    </row>
    <row r="46" spans="1:15" s="135" customFormat="1" x14ac:dyDescent="0.2">
      <c r="A46" s="424"/>
      <c r="B46" s="681" t="s">
        <v>729</v>
      </c>
      <c r="C46" s="428">
        <v>0</v>
      </c>
      <c r="E46" s="429"/>
    </row>
    <row r="47" spans="1:15" s="135" customFormat="1" x14ac:dyDescent="0.2">
      <c r="A47" s="424"/>
      <c r="D47" s="89"/>
      <c r="E47" s="430"/>
      <c r="F47" s="431" t="s">
        <v>654</v>
      </c>
      <c r="I47" s="423">
        <v>8</v>
      </c>
    </row>
    <row r="48" spans="1:15" s="135" customFormat="1" x14ac:dyDescent="0.2">
      <c r="A48" s="424" t="s">
        <v>601</v>
      </c>
      <c r="B48" s="135" t="s">
        <v>654</v>
      </c>
      <c r="C48" s="432">
        <v>13</v>
      </c>
      <c r="E48" s="430"/>
      <c r="F48" s="433"/>
      <c r="G48" s="425"/>
      <c r="H48" s="429"/>
    </row>
    <row r="49" spans="1:13" s="135" customFormat="1" x14ac:dyDescent="0.2">
      <c r="A49" s="424"/>
      <c r="B49" s="425"/>
      <c r="C49" s="431" t="s">
        <v>654</v>
      </c>
      <c r="E49" s="434"/>
      <c r="F49" s="432">
        <v>13</v>
      </c>
      <c r="G49" s="89"/>
      <c r="H49" s="430"/>
    </row>
    <row r="50" spans="1:13" s="135" customFormat="1" x14ac:dyDescent="0.2">
      <c r="A50" s="424" t="s">
        <v>733</v>
      </c>
      <c r="B50" s="427" t="s">
        <v>669</v>
      </c>
      <c r="C50" s="435">
        <v>4</v>
      </c>
      <c r="D50" s="425"/>
      <c r="F50" s="89"/>
      <c r="G50" s="89"/>
      <c r="H50" s="430"/>
    </row>
    <row r="51" spans="1:13" s="135" customFormat="1" x14ac:dyDescent="0.2">
      <c r="A51" s="63"/>
      <c r="F51" s="89"/>
      <c r="G51" s="89"/>
      <c r="H51" s="430"/>
      <c r="I51" s="431" t="s">
        <v>663</v>
      </c>
      <c r="K51" s="423">
        <v>5</v>
      </c>
    </row>
    <row r="52" spans="1:13" s="135" customFormat="1" x14ac:dyDescent="0.2">
      <c r="A52" s="422" t="s">
        <v>595</v>
      </c>
      <c r="B52" s="135" t="s">
        <v>663</v>
      </c>
      <c r="C52" s="423">
        <v>13</v>
      </c>
      <c r="F52" s="89"/>
      <c r="G52" s="89"/>
      <c r="H52" s="430"/>
      <c r="I52" s="425"/>
      <c r="J52" s="429"/>
    </row>
    <row r="53" spans="1:13" s="135" customFormat="1" x14ac:dyDescent="0.2">
      <c r="A53" s="424"/>
      <c r="B53" s="425"/>
      <c r="C53" s="426" t="s">
        <v>663</v>
      </c>
      <c r="D53" s="427"/>
      <c r="F53" s="432">
        <v>13</v>
      </c>
      <c r="G53" s="89"/>
      <c r="H53" s="430"/>
      <c r="I53" s="89"/>
      <c r="J53" s="430"/>
    </row>
    <row r="54" spans="1:13" s="135" customFormat="1" x14ac:dyDescent="0.2">
      <c r="A54" s="424" t="s">
        <v>730</v>
      </c>
      <c r="B54" s="427" t="s">
        <v>670</v>
      </c>
      <c r="C54" s="428">
        <v>2</v>
      </c>
      <c r="E54" s="429"/>
      <c r="F54" s="89"/>
      <c r="G54" s="89"/>
      <c r="H54" s="430"/>
      <c r="I54" s="89"/>
      <c r="J54" s="430"/>
    </row>
    <row r="55" spans="1:13" s="135" customFormat="1" x14ac:dyDescent="0.2">
      <c r="A55" s="424"/>
      <c r="D55" s="89"/>
      <c r="E55" s="430"/>
      <c r="F55" s="427" t="s">
        <v>663</v>
      </c>
      <c r="G55" s="427"/>
      <c r="H55" s="434"/>
      <c r="I55" s="432">
        <v>13</v>
      </c>
      <c r="J55" s="430"/>
    </row>
    <row r="56" spans="1:13" s="135" customFormat="1" x14ac:dyDescent="0.2">
      <c r="A56" s="424" t="s">
        <v>589</v>
      </c>
      <c r="B56" s="135" t="s">
        <v>658</v>
      </c>
      <c r="C56" s="432">
        <v>13</v>
      </c>
      <c r="E56" s="430"/>
      <c r="F56" s="431"/>
      <c r="G56" s="89"/>
      <c r="H56" s="89"/>
      <c r="I56" s="89"/>
      <c r="J56" s="430"/>
    </row>
    <row r="57" spans="1:13" s="135" customFormat="1" x14ac:dyDescent="0.2">
      <c r="A57" s="424"/>
      <c r="B57" s="425"/>
      <c r="C57" s="431" t="s">
        <v>658</v>
      </c>
      <c r="E57" s="434"/>
      <c r="F57" s="432">
        <v>12</v>
      </c>
      <c r="I57" s="89"/>
      <c r="J57" s="430"/>
    </row>
    <row r="58" spans="1:13" s="135" customFormat="1" x14ac:dyDescent="0.2">
      <c r="A58" s="424"/>
      <c r="B58" s="681" t="s">
        <v>729</v>
      </c>
      <c r="C58" s="435">
        <v>0</v>
      </c>
      <c r="D58" s="425"/>
      <c r="F58" s="89"/>
      <c r="G58" s="89"/>
      <c r="H58" s="89"/>
      <c r="I58" s="89"/>
      <c r="J58" s="430"/>
    </row>
    <row r="59" spans="1:13" s="135" customFormat="1" ht="13.5" thickBot="1" x14ac:dyDescent="0.25">
      <c r="I59" s="89"/>
      <c r="J59" s="430"/>
      <c r="L59" s="135" t="s">
        <v>666</v>
      </c>
    </row>
    <row r="60" spans="1:13" s="135" customFormat="1" x14ac:dyDescent="0.2">
      <c r="A60" s="422" t="s">
        <v>731</v>
      </c>
      <c r="B60" s="135" t="s">
        <v>666</v>
      </c>
      <c r="C60" s="423">
        <v>13</v>
      </c>
      <c r="I60" s="89"/>
      <c r="J60" s="430"/>
      <c r="K60" s="436"/>
      <c r="L60" s="437" t="s">
        <v>411</v>
      </c>
      <c r="M60" s="438"/>
    </row>
    <row r="61" spans="1:13" s="135" customFormat="1" x14ac:dyDescent="0.2">
      <c r="A61" s="424"/>
      <c r="B61" s="425"/>
      <c r="C61" s="426" t="s">
        <v>666</v>
      </c>
      <c r="D61" s="427"/>
      <c r="F61" s="423">
        <v>13</v>
      </c>
      <c r="I61" s="89"/>
      <c r="J61" s="430"/>
    </row>
    <row r="62" spans="1:13" s="135" customFormat="1" x14ac:dyDescent="0.2">
      <c r="A62" s="424"/>
      <c r="B62" s="681" t="s">
        <v>729</v>
      </c>
      <c r="C62" s="428">
        <v>0</v>
      </c>
      <c r="E62" s="429"/>
      <c r="I62" s="89"/>
      <c r="J62" s="430"/>
    </row>
    <row r="63" spans="1:13" s="135" customFormat="1" x14ac:dyDescent="0.2">
      <c r="A63" s="424"/>
      <c r="D63" s="89"/>
      <c r="E63" s="430"/>
      <c r="F63" s="135" t="s">
        <v>666</v>
      </c>
      <c r="I63" s="432">
        <v>13</v>
      </c>
      <c r="J63" s="430"/>
    </row>
    <row r="64" spans="1:13" s="135" customFormat="1" x14ac:dyDescent="0.2">
      <c r="A64" s="424" t="s">
        <v>596</v>
      </c>
      <c r="B64" s="135" t="s">
        <v>656</v>
      </c>
      <c r="C64" s="432">
        <v>13</v>
      </c>
      <c r="E64" s="430"/>
      <c r="F64" s="433"/>
      <c r="G64" s="425"/>
      <c r="H64" s="429"/>
      <c r="I64" s="89"/>
      <c r="J64" s="430"/>
    </row>
    <row r="65" spans="1:13" s="135" customFormat="1" x14ac:dyDescent="0.2">
      <c r="A65" s="424"/>
      <c r="B65" s="425"/>
      <c r="C65" s="431" t="s">
        <v>656</v>
      </c>
      <c r="E65" s="434"/>
      <c r="F65" s="432">
        <v>2</v>
      </c>
      <c r="G65" s="89"/>
      <c r="H65" s="430"/>
      <c r="I65" s="89"/>
      <c r="J65" s="430"/>
    </row>
    <row r="66" spans="1:13" s="135" customFormat="1" x14ac:dyDescent="0.2">
      <c r="A66" s="424"/>
      <c r="B66" s="681" t="s">
        <v>729</v>
      </c>
      <c r="C66" s="435">
        <v>0</v>
      </c>
      <c r="D66" s="425"/>
      <c r="F66" s="89"/>
      <c r="G66" s="89"/>
      <c r="H66" s="430"/>
      <c r="I66" s="89"/>
      <c r="J66" s="430"/>
    </row>
    <row r="67" spans="1:13" s="135" customFormat="1" x14ac:dyDescent="0.2">
      <c r="F67" s="89"/>
      <c r="G67" s="89"/>
      <c r="H67" s="430"/>
      <c r="I67" s="427" t="s">
        <v>666</v>
      </c>
      <c r="J67" s="434"/>
      <c r="K67" s="423">
        <v>13</v>
      </c>
    </row>
    <row r="68" spans="1:13" s="135" customFormat="1" ht="13.5" thickBot="1" x14ac:dyDescent="0.25">
      <c r="A68" s="422" t="s">
        <v>600</v>
      </c>
      <c r="B68" s="135" t="s">
        <v>664</v>
      </c>
      <c r="C68" s="423">
        <v>4</v>
      </c>
      <c r="F68" s="89"/>
      <c r="G68" s="89"/>
      <c r="H68" s="430"/>
      <c r="L68" s="89" t="s">
        <v>663</v>
      </c>
      <c r="M68" s="439"/>
    </row>
    <row r="69" spans="1:13" s="135" customFormat="1" x14ac:dyDescent="0.2">
      <c r="A69" s="424"/>
      <c r="B69" s="425"/>
      <c r="C69" s="440" t="s">
        <v>657</v>
      </c>
      <c r="D69" s="427"/>
      <c r="F69" s="432">
        <v>13</v>
      </c>
      <c r="G69" s="89"/>
      <c r="H69" s="430"/>
      <c r="L69" s="437" t="s">
        <v>412</v>
      </c>
      <c r="M69" s="89"/>
    </row>
    <row r="70" spans="1:13" s="135" customFormat="1" x14ac:dyDescent="0.2">
      <c r="A70" s="424" t="s">
        <v>599</v>
      </c>
      <c r="B70" s="427" t="s">
        <v>657</v>
      </c>
      <c r="C70" s="428">
        <v>13</v>
      </c>
      <c r="E70" s="429"/>
      <c r="F70" s="89"/>
      <c r="G70" s="89"/>
      <c r="H70" s="430"/>
    </row>
    <row r="71" spans="1:13" s="135" customFormat="1" x14ac:dyDescent="0.2">
      <c r="A71" s="424"/>
      <c r="D71" s="89"/>
      <c r="E71" s="430"/>
      <c r="F71" s="427" t="s">
        <v>657</v>
      </c>
      <c r="G71" s="427"/>
      <c r="H71" s="434"/>
      <c r="I71" s="423">
        <v>6</v>
      </c>
    </row>
    <row r="72" spans="1:13" s="135" customFormat="1" x14ac:dyDescent="0.2">
      <c r="A72" s="424" t="s">
        <v>732</v>
      </c>
      <c r="B72" s="135" t="s">
        <v>672</v>
      </c>
      <c r="C72" s="432">
        <v>2</v>
      </c>
      <c r="E72" s="430"/>
      <c r="F72" s="431"/>
      <c r="G72" s="89"/>
      <c r="H72" s="89"/>
    </row>
    <row r="73" spans="1:13" s="135" customFormat="1" x14ac:dyDescent="0.2">
      <c r="A73" s="424"/>
      <c r="B73" s="425"/>
      <c r="C73" s="431" t="s">
        <v>660</v>
      </c>
      <c r="E73" s="434"/>
      <c r="F73" s="432">
        <v>8</v>
      </c>
      <c r="I73" s="135" t="s">
        <v>654</v>
      </c>
      <c r="K73" s="432">
        <v>13</v>
      </c>
    </row>
    <row r="74" spans="1:13" s="135" customFormat="1" ht="13.5" thickBot="1" x14ac:dyDescent="0.25">
      <c r="A74" s="424" t="s">
        <v>597</v>
      </c>
      <c r="B74" s="427" t="s">
        <v>660</v>
      </c>
      <c r="C74" s="435">
        <v>13</v>
      </c>
      <c r="D74" s="425"/>
      <c r="F74" s="89"/>
      <c r="G74" s="89"/>
      <c r="H74" s="89"/>
      <c r="I74" s="425"/>
      <c r="J74" s="429"/>
      <c r="K74" s="439"/>
      <c r="L74" s="439" t="s">
        <v>654</v>
      </c>
      <c r="M74" s="439"/>
    </row>
    <row r="75" spans="1:13" s="135" customFormat="1" x14ac:dyDescent="0.2">
      <c r="H75" s="89"/>
      <c r="I75" s="427" t="s">
        <v>657</v>
      </c>
      <c r="J75" s="434"/>
      <c r="K75" s="423">
        <v>5</v>
      </c>
      <c r="L75" s="441" t="s">
        <v>413</v>
      </c>
      <c r="M75" s="89"/>
    </row>
    <row r="76" spans="1:13" s="135" customFormat="1" x14ac:dyDescent="0.2">
      <c r="H76" s="89"/>
      <c r="L76" s="89"/>
      <c r="M76" s="89"/>
    </row>
    <row r="77" spans="1:13" s="135" customFormat="1" ht="13.5" thickBot="1" x14ac:dyDescent="0.25">
      <c r="H77" s="89"/>
      <c r="I77" s="89"/>
      <c r="J77" s="89"/>
      <c r="L77" s="439" t="s">
        <v>657</v>
      </c>
      <c r="M77" s="439"/>
    </row>
    <row r="78" spans="1:13" s="135" customFormat="1" x14ac:dyDescent="0.2">
      <c r="I78" s="89"/>
      <c r="J78" s="89"/>
      <c r="L78" s="63" t="s">
        <v>414</v>
      </c>
    </row>
    <row r="79" spans="1:13" s="135" customFormat="1" x14ac:dyDescent="0.2">
      <c r="A79" s="442"/>
      <c r="I79" s="89"/>
      <c r="J79" s="89"/>
      <c r="L79" s="63"/>
    </row>
    <row r="80" spans="1:13" s="135" customFormat="1" x14ac:dyDescent="0.2">
      <c r="F80" s="443" t="s">
        <v>661</v>
      </c>
      <c r="G80" s="423"/>
      <c r="H80" s="423"/>
      <c r="I80" s="423">
        <v>12</v>
      </c>
      <c r="J80" s="423"/>
      <c r="K80" s="423"/>
    </row>
    <row r="81" spans="1:13" s="135" customFormat="1" x14ac:dyDescent="0.2">
      <c r="F81" s="444"/>
      <c r="G81" s="444"/>
      <c r="H81" s="445"/>
      <c r="I81" s="446" t="s">
        <v>658</v>
      </c>
      <c r="J81" s="423"/>
      <c r="K81" s="423">
        <v>13</v>
      </c>
    </row>
    <row r="82" spans="1:13" s="135" customFormat="1" x14ac:dyDescent="0.2">
      <c r="F82" s="446" t="s">
        <v>658</v>
      </c>
      <c r="G82" s="446"/>
      <c r="H82" s="447"/>
      <c r="I82" s="423">
        <v>13</v>
      </c>
      <c r="J82" s="445"/>
      <c r="K82" s="423"/>
    </row>
    <row r="83" spans="1:13" s="135" customFormat="1" ht="13.5" thickBot="1" x14ac:dyDescent="0.25">
      <c r="F83" s="423"/>
      <c r="G83" s="423"/>
      <c r="H83" s="423"/>
      <c r="I83" s="432"/>
      <c r="J83" s="448"/>
      <c r="K83" s="423"/>
      <c r="L83" s="135" t="s">
        <v>658</v>
      </c>
    </row>
    <row r="84" spans="1:13" s="135" customFormat="1" x14ac:dyDescent="0.2">
      <c r="F84" s="686" t="s">
        <v>656</v>
      </c>
      <c r="G84" s="423"/>
      <c r="H84" s="423"/>
      <c r="I84" s="423">
        <v>4</v>
      </c>
      <c r="J84" s="448"/>
      <c r="K84" s="449"/>
      <c r="L84" s="437" t="s">
        <v>415</v>
      </c>
      <c r="M84" s="438"/>
    </row>
    <row r="85" spans="1:13" s="135" customFormat="1" x14ac:dyDescent="0.2">
      <c r="F85" s="444"/>
      <c r="G85" s="444"/>
      <c r="H85" s="445"/>
      <c r="I85" s="423" t="s">
        <v>660</v>
      </c>
      <c r="J85" s="447"/>
      <c r="K85" s="432">
        <v>8</v>
      </c>
    </row>
    <row r="86" spans="1:13" s="135" customFormat="1" ht="13.5" thickBot="1" x14ac:dyDescent="0.25">
      <c r="F86" s="446" t="s">
        <v>660</v>
      </c>
      <c r="G86" s="446"/>
      <c r="H86" s="447"/>
      <c r="I86" s="444">
        <v>13</v>
      </c>
      <c r="J86" s="423"/>
      <c r="K86" s="432"/>
      <c r="L86" s="89" t="s">
        <v>660</v>
      </c>
      <c r="M86" s="439"/>
    </row>
    <row r="87" spans="1:13" s="135" customFormat="1" x14ac:dyDescent="0.2">
      <c r="F87" s="423"/>
      <c r="G87" s="423"/>
      <c r="H87" s="423"/>
      <c r="I87" s="423"/>
      <c r="J87" s="423"/>
      <c r="K87" s="432"/>
      <c r="L87" s="437" t="s">
        <v>416</v>
      </c>
      <c r="M87" s="89"/>
    </row>
    <row r="88" spans="1:13" s="135" customFormat="1" x14ac:dyDescent="0.2">
      <c r="F88" s="423"/>
      <c r="G88" s="423"/>
      <c r="H88" s="432"/>
      <c r="I88" s="423" t="s">
        <v>661</v>
      </c>
      <c r="J88" s="423"/>
      <c r="K88" s="432">
        <v>13</v>
      </c>
      <c r="L88" s="89"/>
      <c r="M88" s="89"/>
    </row>
    <row r="89" spans="1:13" s="135" customFormat="1" ht="13.5" thickBot="1" x14ac:dyDescent="0.25">
      <c r="F89" s="423"/>
      <c r="G89" s="423"/>
      <c r="H89" s="432"/>
      <c r="I89" s="444"/>
      <c r="J89" s="445"/>
      <c r="K89" s="450"/>
      <c r="L89" s="439" t="s">
        <v>661</v>
      </c>
      <c r="M89" s="439"/>
    </row>
    <row r="90" spans="1:13" s="135" customFormat="1" x14ac:dyDescent="0.2">
      <c r="F90" s="423"/>
      <c r="G90" s="423"/>
      <c r="H90" s="432"/>
      <c r="I90" s="446" t="s">
        <v>656</v>
      </c>
      <c r="J90" s="447"/>
      <c r="K90" s="423">
        <v>7</v>
      </c>
      <c r="L90" s="441" t="s">
        <v>417</v>
      </c>
      <c r="M90" s="89"/>
    </row>
    <row r="91" spans="1:13" s="135" customFormat="1" x14ac:dyDescent="0.2">
      <c r="H91" s="89"/>
      <c r="L91" s="89"/>
      <c r="M91" s="89"/>
    </row>
    <row r="92" spans="1:13" s="135" customFormat="1" ht="13.5" thickBot="1" x14ac:dyDescent="0.25">
      <c r="I92" s="89"/>
      <c r="J92" s="89"/>
      <c r="L92" s="439" t="s">
        <v>656</v>
      </c>
      <c r="M92" s="439"/>
    </row>
    <row r="93" spans="1:13" s="135" customFormat="1" x14ac:dyDescent="0.2">
      <c r="I93" s="89"/>
      <c r="J93" s="89"/>
      <c r="L93" s="441" t="s">
        <v>418</v>
      </c>
    </row>
    <row r="94" spans="1:13" s="135" customFormat="1" x14ac:dyDescent="0.2">
      <c r="I94" s="89"/>
      <c r="J94" s="89"/>
      <c r="L94" s="441"/>
    </row>
    <row r="95" spans="1:13" s="135" customFormat="1" x14ac:dyDescent="0.2">
      <c r="A95" s="421" t="s">
        <v>754</v>
      </c>
    </row>
    <row r="96" spans="1:13" s="135" customFormat="1" x14ac:dyDescent="0.2">
      <c r="B96" s="89"/>
      <c r="C96" s="681" t="s">
        <v>729</v>
      </c>
      <c r="D96" s="89"/>
      <c r="F96" s="423">
        <v>0</v>
      </c>
    </row>
    <row r="97" spans="2:13" s="135" customFormat="1" x14ac:dyDescent="0.2">
      <c r="B97" s="89"/>
      <c r="C97" s="425"/>
      <c r="D97" s="425"/>
      <c r="E97" s="429"/>
      <c r="F97" s="431" t="s">
        <v>669</v>
      </c>
      <c r="I97" s="423">
        <v>12</v>
      </c>
    </row>
    <row r="98" spans="2:13" s="135" customFormat="1" x14ac:dyDescent="0.2">
      <c r="B98" s="89"/>
      <c r="C98" s="427" t="s">
        <v>669</v>
      </c>
      <c r="D98" s="427"/>
      <c r="E98" s="434"/>
      <c r="F98" s="444">
        <v>13</v>
      </c>
      <c r="G98" s="425"/>
      <c r="H98" s="429"/>
    </row>
    <row r="99" spans="2:13" s="135" customFormat="1" x14ac:dyDescent="0.2">
      <c r="B99" s="89"/>
      <c r="F99" s="89"/>
      <c r="G99" s="89"/>
      <c r="H99" s="430"/>
      <c r="I99" s="431" t="s">
        <v>670</v>
      </c>
      <c r="K99" s="423">
        <v>13</v>
      </c>
    </row>
    <row r="100" spans="2:13" s="135" customFormat="1" x14ac:dyDescent="0.2">
      <c r="B100" s="89"/>
      <c r="C100" s="681" t="s">
        <v>670</v>
      </c>
      <c r="D100" s="427"/>
      <c r="F100" s="432">
        <v>13</v>
      </c>
      <c r="G100" s="89"/>
      <c r="H100" s="430"/>
      <c r="I100" s="433"/>
      <c r="J100" s="429"/>
    </row>
    <row r="101" spans="2:13" s="135" customFormat="1" x14ac:dyDescent="0.2">
      <c r="B101" s="89"/>
      <c r="D101" s="89"/>
      <c r="E101" s="429"/>
      <c r="F101" s="427" t="s">
        <v>670</v>
      </c>
      <c r="G101" s="427"/>
      <c r="H101" s="434"/>
      <c r="I101" s="432">
        <v>13</v>
      </c>
      <c r="J101" s="430"/>
    </row>
    <row r="102" spans="2:13" s="135" customFormat="1" x14ac:dyDescent="0.2">
      <c r="B102" s="89"/>
      <c r="C102" s="684" t="s">
        <v>729</v>
      </c>
      <c r="E102" s="434"/>
      <c r="F102" s="432">
        <v>0</v>
      </c>
      <c r="I102" s="89"/>
      <c r="J102" s="430"/>
    </row>
    <row r="103" spans="2:13" s="135" customFormat="1" ht="13.5" thickBot="1" x14ac:dyDescent="0.25">
      <c r="B103" s="89"/>
      <c r="C103" s="444"/>
      <c r="D103" s="425"/>
      <c r="F103" s="89"/>
      <c r="G103" s="89"/>
      <c r="H103" s="89"/>
      <c r="I103" s="89"/>
      <c r="J103" s="430"/>
      <c r="L103" s="135" t="s">
        <v>670</v>
      </c>
    </row>
    <row r="104" spans="2:13" s="135" customFormat="1" x14ac:dyDescent="0.2">
      <c r="B104" s="89"/>
      <c r="C104" s="684" t="s">
        <v>729</v>
      </c>
      <c r="D104" s="89"/>
      <c r="F104" s="423"/>
      <c r="J104" s="430"/>
      <c r="K104" s="438"/>
      <c r="L104" s="437" t="s">
        <v>419</v>
      </c>
      <c r="M104" s="438"/>
    </row>
    <row r="105" spans="2:13" s="135" customFormat="1" x14ac:dyDescent="0.2">
      <c r="B105" s="89"/>
      <c r="C105" s="425"/>
      <c r="D105" s="425"/>
      <c r="E105" s="429"/>
      <c r="F105" s="702" t="s">
        <v>729</v>
      </c>
      <c r="I105" s="423">
        <v>0</v>
      </c>
      <c r="J105" s="430"/>
    </row>
    <row r="106" spans="2:13" s="135" customFormat="1" ht="13.5" thickBot="1" x14ac:dyDescent="0.25">
      <c r="B106" s="89"/>
      <c r="C106" s="681" t="s">
        <v>729</v>
      </c>
      <c r="D106" s="427"/>
      <c r="E106" s="434"/>
      <c r="F106" s="444"/>
      <c r="G106" s="425"/>
      <c r="H106" s="429"/>
      <c r="J106" s="430"/>
      <c r="K106" s="423"/>
      <c r="L106" s="89" t="s">
        <v>664</v>
      </c>
      <c r="M106" s="439"/>
    </row>
    <row r="107" spans="2:13" s="135" customFormat="1" x14ac:dyDescent="0.2">
      <c r="B107" s="89"/>
      <c r="F107" s="89"/>
      <c r="G107" s="89"/>
      <c r="H107" s="430"/>
      <c r="I107" s="431" t="s">
        <v>664</v>
      </c>
      <c r="J107" s="434"/>
      <c r="K107" s="423">
        <v>5</v>
      </c>
      <c r="L107" s="437" t="s">
        <v>420</v>
      </c>
      <c r="M107" s="89"/>
    </row>
    <row r="108" spans="2:13" s="135" customFormat="1" x14ac:dyDescent="0.2">
      <c r="B108" s="89"/>
      <c r="C108" s="427" t="s">
        <v>664</v>
      </c>
      <c r="D108" s="427"/>
      <c r="F108" s="432">
        <v>13</v>
      </c>
      <c r="G108" s="89"/>
      <c r="H108" s="430"/>
      <c r="I108" s="433"/>
      <c r="J108" s="425"/>
    </row>
    <row r="109" spans="2:13" s="135" customFormat="1" x14ac:dyDescent="0.2">
      <c r="B109" s="89"/>
      <c r="D109" s="89"/>
      <c r="E109" s="429"/>
      <c r="F109" s="427" t="s">
        <v>664</v>
      </c>
      <c r="G109" s="427"/>
      <c r="H109" s="434"/>
      <c r="I109" s="432">
        <v>13</v>
      </c>
      <c r="J109" s="89"/>
    </row>
    <row r="110" spans="2:13" s="135" customFormat="1" x14ac:dyDescent="0.2">
      <c r="B110" s="89"/>
      <c r="C110" s="89" t="s">
        <v>672</v>
      </c>
      <c r="E110" s="434"/>
      <c r="F110" s="432">
        <v>12</v>
      </c>
      <c r="I110" s="89"/>
      <c r="J110" s="89"/>
    </row>
    <row r="111" spans="2:13" s="135" customFormat="1" x14ac:dyDescent="0.2">
      <c r="B111" s="89"/>
      <c r="C111" s="444"/>
      <c r="D111" s="425"/>
      <c r="F111" s="89"/>
      <c r="G111" s="89"/>
      <c r="H111" s="89"/>
      <c r="I111" s="452" t="s">
        <v>669</v>
      </c>
      <c r="K111" s="432">
        <v>1</v>
      </c>
    </row>
    <row r="112" spans="2:13" s="135" customFormat="1" ht="13.5" thickBot="1" x14ac:dyDescent="0.25">
      <c r="B112" s="89"/>
      <c r="F112" s="89"/>
      <c r="G112" s="89"/>
      <c r="H112" s="89"/>
      <c r="I112" s="425"/>
      <c r="J112" s="429"/>
      <c r="K112" s="439"/>
      <c r="L112" s="439" t="s">
        <v>672</v>
      </c>
      <c r="M112" s="439"/>
    </row>
    <row r="113" spans="1:13" s="135" customFormat="1" x14ac:dyDescent="0.2">
      <c r="B113" s="89"/>
      <c r="C113" s="423"/>
      <c r="F113" s="89"/>
      <c r="G113" s="89"/>
      <c r="H113" s="89"/>
      <c r="I113" s="427" t="s">
        <v>672</v>
      </c>
      <c r="J113" s="434"/>
      <c r="K113" s="423">
        <v>13</v>
      </c>
      <c r="L113" s="441" t="s">
        <v>421</v>
      </c>
      <c r="M113" s="89"/>
    </row>
    <row r="114" spans="1:13" s="135" customFormat="1" x14ac:dyDescent="0.2">
      <c r="B114" s="89"/>
      <c r="C114" s="89"/>
      <c r="D114" s="89"/>
      <c r="E114" s="89"/>
      <c r="F114" s="432"/>
      <c r="G114" s="89"/>
      <c r="H114" s="89"/>
      <c r="L114" s="89"/>
      <c r="M114" s="89"/>
    </row>
    <row r="115" spans="1:13" s="135" customFormat="1" ht="13.5" thickBot="1" x14ac:dyDescent="0.25">
      <c r="B115" s="89"/>
      <c r="C115" s="432"/>
      <c r="D115" s="89"/>
      <c r="E115" s="89"/>
      <c r="F115" s="89"/>
      <c r="G115" s="89"/>
      <c r="H115" s="89"/>
      <c r="I115" s="89"/>
      <c r="J115" s="89"/>
      <c r="L115" s="439" t="s">
        <v>669</v>
      </c>
      <c r="M115" s="439"/>
    </row>
    <row r="116" spans="1:13" s="135" customFormat="1" x14ac:dyDescent="0.2">
      <c r="B116" s="89"/>
      <c r="C116" s="89"/>
      <c r="D116" s="89"/>
      <c r="E116" s="89"/>
      <c r="F116" s="89"/>
      <c r="I116" s="423"/>
      <c r="L116" s="63" t="s">
        <v>645</v>
      </c>
    </row>
    <row r="117" spans="1:13" s="135" customFormat="1" x14ac:dyDescent="0.2">
      <c r="B117" s="89"/>
      <c r="C117" s="89"/>
      <c r="D117" s="89"/>
      <c r="E117" s="89"/>
      <c r="F117" s="89"/>
      <c r="I117" s="423"/>
      <c r="L117" s="63"/>
    </row>
    <row r="118" spans="1:13" s="135" customFormat="1" x14ac:dyDescent="0.2">
      <c r="A118" s="421" t="s">
        <v>753</v>
      </c>
      <c r="B118" s="89"/>
      <c r="C118" s="89"/>
      <c r="D118" s="89"/>
      <c r="E118" s="89"/>
      <c r="F118" s="89"/>
      <c r="I118" s="423"/>
      <c r="L118" s="63"/>
    </row>
    <row r="119" spans="1:13" s="135" customFormat="1" x14ac:dyDescent="0.2">
      <c r="C119" s="423"/>
    </row>
    <row r="120" spans="1:13" s="135" customFormat="1" x14ac:dyDescent="0.2">
      <c r="B120" s="703" t="s">
        <v>735</v>
      </c>
      <c r="C120" s="135" t="s">
        <v>720</v>
      </c>
      <c r="D120" s="89"/>
      <c r="F120" s="423">
        <v>13</v>
      </c>
    </row>
    <row r="121" spans="1:13" s="135" customFormat="1" x14ac:dyDescent="0.2">
      <c r="B121" s="424"/>
      <c r="C121" s="425"/>
      <c r="D121" s="425"/>
      <c r="E121" s="429"/>
      <c r="F121" s="426" t="s">
        <v>720</v>
      </c>
      <c r="G121" s="427"/>
      <c r="I121" s="423">
        <v>13</v>
      </c>
    </row>
    <row r="122" spans="1:13" s="135" customFormat="1" x14ac:dyDescent="0.2">
      <c r="B122" s="424" t="s">
        <v>736</v>
      </c>
      <c r="C122" s="681" t="s">
        <v>659</v>
      </c>
      <c r="D122" s="427"/>
      <c r="E122" s="434"/>
      <c r="F122" s="460">
        <v>8</v>
      </c>
      <c r="H122" s="429"/>
    </row>
    <row r="123" spans="1:13" s="135" customFormat="1" x14ac:dyDescent="0.2">
      <c r="B123" s="687"/>
      <c r="F123" s="89"/>
      <c r="G123" s="89"/>
      <c r="H123" s="430"/>
      <c r="I123" s="431" t="s">
        <v>720</v>
      </c>
      <c r="K123" s="423">
        <v>12</v>
      </c>
    </row>
    <row r="124" spans="1:13" s="135" customFormat="1" x14ac:dyDescent="0.2">
      <c r="B124" s="687" t="s">
        <v>739</v>
      </c>
      <c r="C124" s="681" t="s">
        <v>668</v>
      </c>
      <c r="D124" s="427"/>
      <c r="F124" s="432">
        <v>4</v>
      </c>
      <c r="G124" s="89"/>
      <c r="H124" s="430"/>
      <c r="I124" s="433"/>
      <c r="J124" s="429"/>
    </row>
    <row r="125" spans="1:13" s="135" customFormat="1" x14ac:dyDescent="0.2">
      <c r="B125" s="687"/>
      <c r="D125" s="89"/>
      <c r="E125" s="429"/>
      <c r="F125" s="427" t="s">
        <v>671</v>
      </c>
      <c r="G125" s="427"/>
      <c r="H125" s="434"/>
      <c r="I125" s="432">
        <v>8</v>
      </c>
      <c r="J125" s="430"/>
    </row>
    <row r="126" spans="1:13" s="135" customFormat="1" x14ac:dyDescent="0.2">
      <c r="B126" s="687" t="s">
        <v>738</v>
      </c>
      <c r="C126" s="684" t="s">
        <v>671</v>
      </c>
      <c r="E126" s="434"/>
      <c r="F126" s="432">
        <v>13</v>
      </c>
      <c r="I126" s="89"/>
      <c r="J126" s="430"/>
    </row>
    <row r="127" spans="1:13" s="135" customFormat="1" ht="13.5" thickBot="1" x14ac:dyDescent="0.25">
      <c r="B127" s="687"/>
      <c r="C127" s="444"/>
      <c r="D127" s="425"/>
      <c r="F127" s="89"/>
      <c r="G127" s="89"/>
      <c r="H127" s="89"/>
      <c r="I127" s="89"/>
      <c r="J127" s="430"/>
      <c r="L127" s="452" t="s">
        <v>662</v>
      </c>
    </row>
    <row r="128" spans="1:13" s="135" customFormat="1" x14ac:dyDescent="0.2">
      <c r="B128" s="687" t="s">
        <v>737</v>
      </c>
      <c r="C128" s="684" t="s">
        <v>665</v>
      </c>
      <c r="D128" s="89"/>
      <c r="F128" s="423">
        <v>13</v>
      </c>
      <c r="J128" s="430"/>
      <c r="K128" s="438"/>
      <c r="L128" s="437" t="s">
        <v>646</v>
      </c>
      <c r="M128" s="438"/>
    </row>
    <row r="129" spans="2:13" s="135" customFormat="1" x14ac:dyDescent="0.2">
      <c r="B129" s="687"/>
      <c r="C129" s="425"/>
      <c r="D129" s="425"/>
      <c r="E129" s="429"/>
      <c r="F129" s="702" t="s">
        <v>665</v>
      </c>
      <c r="I129" s="423">
        <v>6</v>
      </c>
      <c r="J129" s="430"/>
    </row>
    <row r="130" spans="2:13" s="135" customFormat="1" ht="13.5" thickBot="1" x14ac:dyDescent="0.25">
      <c r="B130" s="687" t="s">
        <v>755</v>
      </c>
      <c r="C130" s="681" t="s">
        <v>667</v>
      </c>
      <c r="D130" s="427"/>
      <c r="E130" s="434"/>
      <c r="F130" s="444">
        <v>4</v>
      </c>
      <c r="G130" s="425"/>
      <c r="H130" s="429"/>
      <c r="J130" s="430"/>
      <c r="K130" s="423"/>
      <c r="L130" s="89" t="s">
        <v>720</v>
      </c>
      <c r="M130" s="439"/>
    </row>
    <row r="131" spans="2:13" s="135" customFormat="1" x14ac:dyDescent="0.2">
      <c r="B131" s="687"/>
      <c r="F131" s="89"/>
      <c r="G131" s="89"/>
      <c r="H131" s="430"/>
      <c r="I131" s="431" t="s">
        <v>662</v>
      </c>
      <c r="J131" s="434"/>
      <c r="K131" s="423">
        <v>13</v>
      </c>
      <c r="L131" s="437" t="s">
        <v>647</v>
      </c>
      <c r="M131" s="89"/>
    </row>
    <row r="132" spans="2:13" s="135" customFormat="1" x14ac:dyDescent="0.2">
      <c r="B132" s="687" t="s">
        <v>740</v>
      </c>
      <c r="C132" s="427" t="s">
        <v>655</v>
      </c>
      <c r="D132" s="427"/>
      <c r="F132" s="432">
        <v>7</v>
      </c>
      <c r="G132" s="89"/>
      <c r="H132" s="430"/>
      <c r="I132" s="433"/>
      <c r="J132" s="425"/>
    </row>
    <row r="133" spans="2:13" s="135" customFormat="1" x14ac:dyDescent="0.2">
      <c r="B133" s="687"/>
      <c r="D133" s="89"/>
      <c r="E133" s="429"/>
      <c r="F133" s="427" t="s">
        <v>662</v>
      </c>
      <c r="G133" s="427"/>
      <c r="H133" s="434"/>
      <c r="I133" s="432">
        <v>13</v>
      </c>
      <c r="J133" s="89"/>
    </row>
    <row r="134" spans="2:13" s="135" customFormat="1" x14ac:dyDescent="0.2">
      <c r="B134" s="687" t="s">
        <v>756</v>
      </c>
      <c r="C134" s="89" t="s">
        <v>662</v>
      </c>
      <c r="E134" s="434"/>
      <c r="F134" s="432">
        <v>13</v>
      </c>
      <c r="I134" s="89"/>
      <c r="J134" s="89"/>
    </row>
    <row r="135" spans="2:13" s="135" customFormat="1" x14ac:dyDescent="0.2">
      <c r="B135" s="89"/>
      <c r="C135" s="444"/>
      <c r="D135" s="425"/>
      <c r="F135" s="89"/>
      <c r="G135" s="89"/>
      <c r="H135" s="89"/>
      <c r="I135" s="452" t="s">
        <v>671</v>
      </c>
      <c r="K135" s="432">
        <v>3</v>
      </c>
    </row>
    <row r="136" spans="2:13" s="135" customFormat="1" ht="13.5" thickBot="1" x14ac:dyDescent="0.25">
      <c r="B136" s="89"/>
      <c r="F136" s="89"/>
      <c r="G136" s="89"/>
      <c r="H136" s="89"/>
      <c r="I136" s="425"/>
      <c r="J136" s="429"/>
      <c r="K136" s="439"/>
      <c r="L136" s="439" t="s">
        <v>665</v>
      </c>
      <c r="M136" s="439"/>
    </row>
    <row r="137" spans="2:13" s="135" customFormat="1" x14ac:dyDescent="0.2">
      <c r="B137" s="89"/>
      <c r="C137" s="423"/>
      <c r="F137" s="89"/>
      <c r="G137" s="89"/>
      <c r="H137" s="89"/>
      <c r="I137" s="427" t="s">
        <v>665</v>
      </c>
      <c r="J137" s="434"/>
      <c r="K137" s="423">
        <v>13</v>
      </c>
      <c r="L137" s="441" t="s">
        <v>648</v>
      </c>
      <c r="M137" s="89"/>
    </row>
    <row r="138" spans="2:13" s="135" customFormat="1" x14ac:dyDescent="0.2">
      <c r="B138" s="89"/>
      <c r="C138" s="89"/>
      <c r="D138" s="89"/>
      <c r="E138" s="89"/>
      <c r="F138" s="432"/>
      <c r="G138" s="89"/>
      <c r="H138" s="89"/>
      <c r="L138" s="89"/>
      <c r="M138" s="89"/>
    </row>
    <row r="139" spans="2:13" s="135" customFormat="1" ht="13.5" thickBot="1" x14ac:dyDescent="0.25">
      <c r="B139" s="89"/>
      <c r="C139" s="432"/>
      <c r="D139" s="89"/>
      <c r="E139" s="89"/>
      <c r="F139" s="89"/>
      <c r="G139" s="89"/>
      <c r="H139" s="89"/>
      <c r="I139" s="89"/>
      <c r="J139" s="89"/>
      <c r="L139" s="439" t="s">
        <v>671</v>
      </c>
      <c r="M139" s="439"/>
    </row>
    <row r="140" spans="2:13" s="135" customFormat="1" x14ac:dyDescent="0.2">
      <c r="B140" s="89"/>
      <c r="C140" s="89"/>
      <c r="D140" s="89"/>
      <c r="E140" s="89"/>
      <c r="F140" s="89"/>
      <c r="I140" s="423"/>
      <c r="L140" s="63" t="s">
        <v>649</v>
      </c>
    </row>
    <row r="141" spans="2:13" s="135" customFormat="1" x14ac:dyDescent="0.2">
      <c r="F141" s="685" t="s">
        <v>659</v>
      </c>
      <c r="G141" s="423"/>
      <c r="H141" s="423"/>
      <c r="I141" s="423">
        <v>6</v>
      </c>
      <c r="J141" s="423"/>
      <c r="K141" s="423"/>
    </row>
    <row r="142" spans="2:13" s="135" customFormat="1" x14ac:dyDescent="0.2">
      <c r="F142" s="444"/>
      <c r="G142" s="444"/>
      <c r="H142" s="445"/>
      <c r="I142" s="446" t="s">
        <v>668</v>
      </c>
      <c r="J142" s="423"/>
      <c r="K142" s="423">
        <v>13</v>
      </c>
    </row>
    <row r="143" spans="2:13" s="135" customFormat="1" x14ac:dyDescent="0.2">
      <c r="F143" s="446" t="s">
        <v>668</v>
      </c>
      <c r="G143" s="446"/>
      <c r="H143" s="447"/>
      <c r="I143" s="423">
        <v>13</v>
      </c>
      <c r="J143" s="445"/>
      <c r="K143" s="423"/>
    </row>
    <row r="144" spans="2:13" s="135" customFormat="1" ht="13.5" thickBot="1" x14ac:dyDescent="0.25">
      <c r="F144" s="423"/>
      <c r="G144" s="423"/>
      <c r="H144" s="423"/>
      <c r="I144" s="432"/>
      <c r="J144" s="448"/>
      <c r="K144" s="423"/>
      <c r="L144" s="135" t="s">
        <v>668</v>
      </c>
    </row>
    <row r="145" spans="1:13" s="135" customFormat="1" x14ac:dyDescent="0.2">
      <c r="F145" s="686" t="s">
        <v>667</v>
      </c>
      <c r="G145" s="423"/>
      <c r="H145" s="423"/>
      <c r="I145" s="423">
        <v>3</v>
      </c>
      <c r="J145" s="448"/>
      <c r="K145" s="449"/>
      <c r="L145" s="437" t="s">
        <v>650</v>
      </c>
      <c r="M145" s="438"/>
    </row>
    <row r="146" spans="1:13" s="135" customFormat="1" x14ac:dyDescent="0.2">
      <c r="F146" s="444"/>
      <c r="G146" s="444"/>
      <c r="H146" s="445"/>
      <c r="I146" s="423" t="s">
        <v>655</v>
      </c>
      <c r="J146" s="447"/>
      <c r="K146" s="432">
        <v>7</v>
      </c>
    </row>
    <row r="147" spans="1:13" s="135" customFormat="1" ht="13.5" thickBot="1" x14ac:dyDescent="0.25">
      <c r="F147" s="446" t="s">
        <v>655</v>
      </c>
      <c r="G147" s="446"/>
      <c r="H147" s="447"/>
      <c r="I147" s="444">
        <v>13</v>
      </c>
      <c r="J147" s="423"/>
      <c r="K147" s="432"/>
      <c r="L147" s="89" t="s">
        <v>655</v>
      </c>
      <c r="M147" s="439"/>
    </row>
    <row r="148" spans="1:13" s="135" customFormat="1" x14ac:dyDescent="0.2">
      <c r="F148" s="423"/>
      <c r="G148" s="423"/>
      <c r="H148" s="423"/>
      <c r="I148" s="423"/>
      <c r="J148" s="423"/>
      <c r="K148" s="432"/>
      <c r="L148" s="437" t="s">
        <v>651</v>
      </c>
      <c r="M148" s="89"/>
    </row>
    <row r="149" spans="1:13" s="135" customFormat="1" x14ac:dyDescent="0.2">
      <c r="F149" s="423"/>
      <c r="G149" s="423"/>
      <c r="H149" s="432"/>
      <c r="I149" s="423" t="s">
        <v>659</v>
      </c>
      <c r="J149" s="423"/>
      <c r="K149" s="432">
        <v>12</v>
      </c>
      <c r="L149" s="89"/>
      <c r="M149" s="89"/>
    </row>
    <row r="150" spans="1:13" s="135" customFormat="1" ht="13.5" thickBot="1" x14ac:dyDescent="0.25">
      <c r="F150" s="423"/>
      <c r="G150" s="423"/>
      <c r="H150" s="432"/>
      <c r="I150" s="444"/>
      <c r="J150" s="445"/>
      <c r="K150" s="450"/>
      <c r="L150" s="439" t="s">
        <v>667</v>
      </c>
      <c r="M150" s="439"/>
    </row>
    <row r="151" spans="1:13" s="135" customFormat="1" x14ac:dyDescent="0.2">
      <c r="F151" s="423"/>
      <c r="G151" s="423"/>
      <c r="H151" s="432"/>
      <c r="I151" s="446" t="s">
        <v>667</v>
      </c>
      <c r="J151" s="447"/>
      <c r="K151" s="423">
        <v>13</v>
      </c>
      <c r="L151" s="441" t="s">
        <v>652</v>
      </c>
      <c r="M151" s="89"/>
    </row>
    <row r="152" spans="1:13" s="135" customFormat="1" x14ac:dyDescent="0.2">
      <c r="H152" s="89"/>
      <c r="L152" s="89"/>
      <c r="M152" s="89"/>
    </row>
    <row r="153" spans="1:13" s="135" customFormat="1" ht="13.5" thickBot="1" x14ac:dyDescent="0.25">
      <c r="I153" s="89"/>
      <c r="J153" s="89"/>
      <c r="L153" s="439" t="s">
        <v>659</v>
      </c>
      <c r="M153" s="439"/>
    </row>
    <row r="154" spans="1:13" s="135" customFormat="1" x14ac:dyDescent="0.2">
      <c r="I154" s="89"/>
      <c r="J154" s="89"/>
      <c r="L154" s="63" t="s">
        <v>653</v>
      </c>
    </row>
    <row r="155" spans="1:13" s="135" customFormat="1" x14ac:dyDescent="0.2">
      <c r="I155" s="89"/>
      <c r="J155" s="89"/>
      <c r="L155" s="441"/>
    </row>
    <row r="156" spans="1:13" s="135" customFormat="1" x14ac:dyDescent="0.2">
      <c r="A156" s="59">
        <v>1</v>
      </c>
      <c r="B156" s="84" t="s">
        <v>666</v>
      </c>
    </row>
    <row r="157" spans="1:13" s="135" customFormat="1" x14ac:dyDescent="0.2">
      <c r="A157" s="59">
        <v>2</v>
      </c>
      <c r="B157" s="115" t="s">
        <v>663</v>
      </c>
    </row>
    <row r="158" spans="1:13" s="135" customFormat="1" x14ac:dyDescent="0.2">
      <c r="A158" s="59">
        <v>3</v>
      </c>
      <c r="B158" s="92" t="s">
        <v>654</v>
      </c>
    </row>
    <row r="159" spans="1:13" s="135" customFormat="1" x14ac:dyDescent="0.2">
      <c r="A159" s="59">
        <v>4</v>
      </c>
      <c r="B159" s="94" t="s">
        <v>657</v>
      </c>
    </row>
    <row r="160" spans="1:13" s="135" customFormat="1" x14ac:dyDescent="0.2">
      <c r="A160" s="59">
        <v>5</v>
      </c>
      <c r="B160" s="94" t="s">
        <v>658</v>
      </c>
    </row>
    <row r="161" spans="1:3" s="135" customFormat="1" x14ac:dyDescent="0.2">
      <c r="A161" s="59">
        <v>6</v>
      </c>
      <c r="B161" s="94" t="s">
        <v>660</v>
      </c>
    </row>
    <row r="162" spans="1:3" s="135" customFormat="1" x14ac:dyDescent="0.2">
      <c r="A162" s="59">
        <v>7</v>
      </c>
      <c r="B162" s="94" t="s">
        <v>661</v>
      </c>
    </row>
    <row r="163" spans="1:3" s="135" customFormat="1" x14ac:dyDescent="0.2">
      <c r="A163" s="59">
        <v>8</v>
      </c>
      <c r="B163" s="94" t="s">
        <v>656</v>
      </c>
    </row>
    <row r="164" spans="1:3" s="135" customFormat="1" x14ac:dyDescent="0.2">
      <c r="A164" s="59">
        <v>9</v>
      </c>
      <c r="B164" s="94" t="s">
        <v>670</v>
      </c>
    </row>
    <row r="165" spans="1:3" s="135" customFormat="1" x14ac:dyDescent="0.2">
      <c r="A165" s="59">
        <v>10</v>
      </c>
      <c r="B165" s="94" t="s">
        <v>664</v>
      </c>
    </row>
    <row r="166" spans="1:3" s="135" customFormat="1" x14ac:dyDescent="0.2">
      <c r="A166" s="59">
        <v>11</v>
      </c>
      <c r="B166" s="94" t="s">
        <v>672</v>
      </c>
    </row>
    <row r="167" spans="1:3" s="135" customFormat="1" x14ac:dyDescent="0.2">
      <c r="A167" s="59">
        <v>12</v>
      </c>
      <c r="B167" s="94" t="s">
        <v>669</v>
      </c>
    </row>
    <row r="168" spans="1:3" s="135" customFormat="1" x14ac:dyDescent="0.2">
      <c r="A168" s="59">
        <v>13</v>
      </c>
      <c r="B168" s="94" t="s">
        <v>662</v>
      </c>
    </row>
    <row r="169" spans="1:3" s="135" customFormat="1" x14ac:dyDescent="0.2">
      <c r="A169" s="59">
        <v>14</v>
      </c>
      <c r="B169" s="94" t="s">
        <v>720</v>
      </c>
    </row>
    <row r="170" spans="1:3" s="135" customFormat="1" x14ac:dyDescent="0.2">
      <c r="A170" s="59">
        <v>15</v>
      </c>
      <c r="B170" s="94" t="s">
        <v>665</v>
      </c>
    </row>
    <row r="171" spans="1:3" s="135" customFormat="1" x14ac:dyDescent="0.2">
      <c r="A171" s="59">
        <v>16</v>
      </c>
      <c r="B171" s="94" t="s">
        <v>671</v>
      </c>
    </row>
    <row r="172" spans="1:3" s="135" customFormat="1" x14ac:dyDescent="0.2">
      <c r="A172" s="59">
        <v>17</v>
      </c>
      <c r="B172" s="361" t="s">
        <v>668</v>
      </c>
      <c r="C172" s="135" t="s">
        <v>6</v>
      </c>
    </row>
    <row r="173" spans="1:3" s="135" customFormat="1" x14ac:dyDescent="0.2">
      <c r="A173" s="59">
        <v>18</v>
      </c>
      <c r="B173" s="94" t="s">
        <v>655</v>
      </c>
    </row>
    <row r="174" spans="1:3" s="135" customFormat="1" x14ac:dyDescent="0.2">
      <c r="A174" s="59">
        <v>19</v>
      </c>
      <c r="B174" s="94" t="s">
        <v>667</v>
      </c>
    </row>
    <row r="175" spans="1:3" s="135" customFormat="1" x14ac:dyDescent="0.2">
      <c r="A175" s="59">
        <v>20</v>
      </c>
      <c r="B175" s="94" t="s">
        <v>659</v>
      </c>
    </row>
  </sheetData>
  <conditionalFormatting sqref="C7:F9 D10 F10 C44:K140 C141:E152 F141:K151">
    <cfRule type="cellIs" dxfId="538" priority="60" operator="equal">
      <formula>13</formula>
    </cfRule>
  </conditionalFormatting>
  <conditionalFormatting sqref="G7:G10">
    <cfRule type="duplicateValues" dxfId="537" priority="58"/>
    <cfRule type="cellIs" dxfId="536" priority="59" operator="equal">
      <formula>13</formula>
    </cfRule>
  </conditionalFormatting>
  <conditionalFormatting sqref="C7:F9 D10 F10">
    <cfRule type="cellIs" dxfId="535" priority="57" operator="greaterThan">
      <formula>13</formula>
    </cfRule>
  </conditionalFormatting>
  <conditionalFormatting sqref="C10">
    <cfRule type="cellIs" dxfId="534" priority="56" operator="equal">
      <formula>13</formula>
    </cfRule>
  </conditionalFormatting>
  <conditionalFormatting sqref="C10">
    <cfRule type="cellIs" dxfId="533" priority="55" operator="greaterThan">
      <formula>13</formula>
    </cfRule>
  </conditionalFormatting>
  <conditionalFormatting sqref="E10">
    <cfRule type="cellIs" dxfId="532" priority="54" operator="equal">
      <formula>13</formula>
    </cfRule>
  </conditionalFormatting>
  <conditionalFormatting sqref="E10">
    <cfRule type="cellIs" dxfId="531" priority="53" operator="greaterThan">
      <formula>13</formula>
    </cfRule>
  </conditionalFormatting>
  <conditionalFormatting sqref="C13:F15 D16 F16">
    <cfRule type="cellIs" dxfId="530" priority="52" operator="equal">
      <formula>13</formula>
    </cfRule>
  </conditionalFormatting>
  <conditionalFormatting sqref="G13:G16">
    <cfRule type="duplicateValues" dxfId="529" priority="50"/>
    <cfRule type="cellIs" dxfId="528" priority="51" operator="equal">
      <formula>13</formula>
    </cfRule>
  </conditionalFormatting>
  <conditionalFormatting sqref="C13:F15 D16 F16">
    <cfRule type="cellIs" dxfId="527" priority="49" operator="greaterThan">
      <formula>13</formula>
    </cfRule>
  </conditionalFormatting>
  <conditionalFormatting sqref="C16">
    <cfRule type="cellIs" dxfId="526" priority="48" operator="equal">
      <formula>13</formula>
    </cfRule>
  </conditionalFormatting>
  <conditionalFormatting sqref="C16">
    <cfRule type="cellIs" dxfId="525" priority="47" operator="greaterThan">
      <formula>13</formula>
    </cfRule>
  </conditionalFormatting>
  <conditionalFormatting sqref="E16">
    <cfRule type="cellIs" dxfId="524" priority="46" operator="equal">
      <formula>13</formula>
    </cfRule>
  </conditionalFormatting>
  <conditionalFormatting sqref="E16">
    <cfRule type="cellIs" dxfId="523" priority="45" operator="greaterThan">
      <formula>13</formula>
    </cfRule>
  </conditionalFormatting>
  <conditionalFormatting sqref="C37:F39 D40 F40">
    <cfRule type="cellIs" dxfId="522" priority="12" operator="equal">
      <formula>13</formula>
    </cfRule>
  </conditionalFormatting>
  <conditionalFormatting sqref="C37:F39 D40 F40">
    <cfRule type="cellIs" dxfId="521" priority="9" operator="greaterThan">
      <formula>13</formula>
    </cfRule>
  </conditionalFormatting>
  <conditionalFormatting sqref="C40">
    <cfRule type="cellIs" dxfId="520" priority="8" operator="equal">
      <formula>13</formula>
    </cfRule>
  </conditionalFormatting>
  <conditionalFormatting sqref="C40">
    <cfRule type="cellIs" dxfId="519" priority="7" operator="greaterThan">
      <formula>13</formula>
    </cfRule>
  </conditionalFormatting>
  <conditionalFormatting sqref="E40">
    <cfRule type="cellIs" dxfId="518" priority="6" operator="equal">
      <formula>13</formula>
    </cfRule>
  </conditionalFormatting>
  <conditionalFormatting sqref="E40">
    <cfRule type="cellIs" dxfId="517" priority="5" operator="greaterThan">
      <formula>13</formula>
    </cfRule>
  </conditionalFormatting>
  <conditionalFormatting sqref="C19:F21 D22 F22">
    <cfRule type="cellIs" dxfId="516" priority="36" operator="equal">
      <formula>13</formula>
    </cfRule>
  </conditionalFormatting>
  <conditionalFormatting sqref="G19:G22">
    <cfRule type="duplicateValues" dxfId="515" priority="34"/>
    <cfRule type="cellIs" dxfId="514" priority="35" operator="equal">
      <formula>13</formula>
    </cfRule>
  </conditionalFormatting>
  <conditionalFormatting sqref="C19:F21 D22 F22">
    <cfRule type="cellIs" dxfId="513" priority="33" operator="greaterThan">
      <formula>13</formula>
    </cfRule>
  </conditionalFormatting>
  <conditionalFormatting sqref="C22">
    <cfRule type="cellIs" dxfId="512" priority="32" operator="equal">
      <formula>13</formula>
    </cfRule>
  </conditionalFormatting>
  <conditionalFormatting sqref="C22">
    <cfRule type="cellIs" dxfId="511" priority="31" operator="greaterThan">
      <formula>13</formula>
    </cfRule>
  </conditionalFormatting>
  <conditionalFormatting sqref="E22">
    <cfRule type="cellIs" dxfId="510" priority="30" operator="equal">
      <formula>13</formula>
    </cfRule>
  </conditionalFormatting>
  <conditionalFormatting sqref="E22">
    <cfRule type="cellIs" dxfId="509" priority="29" operator="greaterThan">
      <formula>13</formula>
    </cfRule>
  </conditionalFormatting>
  <conditionalFormatting sqref="C25:F27 D28 F28">
    <cfRule type="cellIs" dxfId="508" priority="28" operator="equal">
      <formula>13</formula>
    </cfRule>
  </conditionalFormatting>
  <conditionalFormatting sqref="G25:G28">
    <cfRule type="duplicateValues" dxfId="507" priority="26"/>
    <cfRule type="cellIs" dxfId="506" priority="27" operator="equal">
      <formula>13</formula>
    </cfRule>
  </conditionalFormatting>
  <conditionalFormatting sqref="C25:F27 D28 F28">
    <cfRule type="cellIs" dxfId="505" priority="25" operator="greaterThan">
      <formula>13</formula>
    </cfRule>
  </conditionalFormatting>
  <conditionalFormatting sqref="C28">
    <cfRule type="cellIs" dxfId="504" priority="24" operator="equal">
      <formula>13</formula>
    </cfRule>
  </conditionalFormatting>
  <conditionalFormatting sqref="C28">
    <cfRule type="cellIs" dxfId="503" priority="23" operator="greaterThan">
      <formula>13</formula>
    </cfRule>
  </conditionalFormatting>
  <conditionalFormatting sqref="E28">
    <cfRule type="cellIs" dxfId="502" priority="22" operator="equal">
      <formula>13</formula>
    </cfRule>
  </conditionalFormatting>
  <conditionalFormatting sqref="E28">
    <cfRule type="cellIs" dxfId="501" priority="21" operator="greaterThan">
      <formula>13</formula>
    </cfRule>
  </conditionalFormatting>
  <conditionalFormatting sqref="C31:F33 D34 F34">
    <cfRule type="cellIs" dxfId="500" priority="20" operator="equal">
      <formula>13</formula>
    </cfRule>
  </conditionalFormatting>
  <conditionalFormatting sqref="G31:G34">
    <cfRule type="duplicateValues" dxfId="499" priority="18"/>
    <cfRule type="cellIs" dxfId="498" priority="19" operator="equal">
      <formula>13</formula>
    </cfRule>
  </conditionalFormatting>
  <conditionalFormatting sqref="C31:F33 D34 F34">
    <cfRule type="cellIs" dxfId="497" priority="17" operator="greaterThan">
      <formula>13</formula>
    </cfRule>
  </conditionalFormatting>
  <conditionalFormatting sqref="C34">
    <cfRule type="cellIs" dxfId="496" priority="16" operator="equal">
      <formula>13</formula>
    </cfRule>
  </conditionalFormatting>
  <conditionalFormatting sqref="C34">
    <cfRule type="cellIs" dxfId="495" priority="15" operator="greaterThan">
      <formula>13</formula>
    </cfRule>
  </conditionalFormatting>
  <conditionalFormatting sqref="E34">
    <cfRule type="cellIs" dxfId="494" priority="14" operator="equal">
      <formula>13</formula>
    </cfRule>
  </conditionalFormatting>
  <conditionalFormatting sqref="E34">
    <cfRule type="cellIs" dxfId="493" priority="13" operator="greaterThan">
      <formula>13</formula>
    </cfRule>
  </conditionalFormatting>
  <conditionalFormatting sqref="G37:G40">
    <cfRule type="duplicateValues" dxfId="492" priority="10"/>
    <cfRule type="cellIs" dxfId="491" priority="11" operator="equal">
      <formula>13</formula>
    </cfRule>
  </conditionalFormatting>
  <pageMargins left="0.39370078740157483" right="0.39370078740157483" top="0.78740157480314965" bottom="0.31496062992125984" header="0.59055118110236227" footer="0"/>
  <pageSetup paperSize="9" fitToHeight="0" orientation="landscape" r:id="rId1"/>
  <headerFooter>
    <oddHeader>&amp;RPage &amp;P of &amp;N</oddHeader>
  </headerFooter>
  <rowBreaks count="3" manualBreakCount="3">
    <brk id="40" max="16383" man="1"/>
    <brk id="78" max="16383" man="1"/>
    <brk id="116"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5"/>
  <sheetViews>
    <sheetView showGridLines="0" showRowColHeaders="0" zoomScaleNormal="100" workbookViewId="0">
      <pane ySplit="2" topLeftCell="A129" activePane="bottomLeft" state="frozen"/>
      <selection pane="bottomLeft" activeCell="F107" sqref="F107"/>
    </sheetView>
  </sheetViews>
  <sheetFormatPr defaultRowHeight="12.75" x14ac:dyDescent="0.2"/>
  <cols>
    <col min="1" max="1" width="3" style="206" customWidth="1"/>
    <col min="2" max="2" width="42" style="206" customWidth="1"/>
    <col min="3" max="3" width="3.5703125" style="206" customWidth="1"/>
    <col min="4" max="4" width="5.28515625" style="206" customWidth="1"/>
    <col min="5" max="5" width="3.5703125" style="206" customWidth="1"/>
    <col min="6" max="6" width="42" style="206" customWidth="1"/>
    <col min="7" max="7" width="2.7109375" style="206" customWidth="1"/>
    <col min="8" max="8" width="9.140625" style="206"/>
    <col min="9" max="9" width="9.140625" style="206" customWidth="1"/>
    <col min="10" max="11" width="9.140625" style="206"/>
    <col min="12" max="17" width="1.7109375" style="206" customWidth="1"/>
    <col min="18" max="16384" width="9.140625" style="206"/>
  </cols>
  <sheetData>
    <row r="1" spans="1:9" x14ac:dyDescent="0.2">
      <c r="A1" s="117" t="str">
        <f>UPPER((Kalend!E11)&amp;" - "&amp;(Kalend!C11)&amp;" - "&amp;(Kalend!D11))</f>
        <v>3 - EESTI REITINGUVÕISTLUS - TRIO</v>
      </c>
      <c r="E1" s="506" t="str">
        <f>HYPERLINK("#Üldreiting!I1","Reiting")</f>
        <v>Reiting</v>
      </c>
      <c r="F1" s="208" t="s">
        <v>715</v>
      </c>
      <c r="I1" s="505" t="s">
        <v>697</v>
      </c>
    </row>
    <row r="2" spans="1:9" x14ac:dyDescent="0.2">
      <c r="A2" s="116" t="str">
        <f>"Toimumisaeg: "&amp;(Kalend!A11)&amp;" kell "&amp;(Kalend!B11)</f>
        <v>Toimumisaeg: P, 04.06.2017 kell 10:00</v>
      </c>
      <c r="F2" s="208" t="s">
        <v>699</v>
      </c>
      <c r="I2" s="505" t="s">
        <v>698</v>
      </c>
    </row>
    <row r="3" spans="1:9" x14ac:dyDescent="0.2">
      <c r="A3" s="116" t="str">
        <f>"Toimumiskoht: "&amp;(Kalend!H11)</f>
        <v>Toimumiskoht: Uuskalda (Läänemaa, Kärbla küla)</v>
      </c>
      <c r="I3" s="505" t="s">
        <v>699</v>
      </c>
    </row>
    <row r="4" spans="1:9" x14ac:dyDescent="0.2">
      <c r="A4" s="116" t="str">
        <f>"Korraldaja: "&amp;(Kalend!I11)</f>
        <v>Korraldaja: PK Wicia</v>
      </c>
    </row>
    <row r="5" spans="1:9" x14ac:dyDescent="0.2">
      <c r="F5" s="206" t="s">
        <v>6</v>
      </c>
    </row>
    <row r="6" spans="1:9" x14ac:dyDescent="0.2">
      <c r="A6" s="465" t="s">
        <v>616</v>
      </c>
      <c r="B6" s="466"/>
      <c r="C6" s="467" t="s">
        <v>199</v>
      </c>
      <c r="D6" s="504" t="s">
        <v>700</v>
      </c>
      <c r="E6" s="467" t="s">
        <v>199</v>
      </c>
      <c r="F6" s="121"/>
    </row>
    <row r="7" spans="1:9" x14ac:dyDescent="0.2">
      <c r="A7" s="468" t="s">
        <v>701</v>
      </c>
      <c r="B7" s="502" t="s">
        <v>673</v>
      </c>
      <c r="C7" s="469"/>
      <c r="D7" s="470"/>
      <c r="E7" s="469"/>
      <c r="F7" s="98" t="s">
        <v>685</v>
      </c>
      <c r="G7" s="41" t="s">
        <v>199</v>
      </c>
    </row>
    <row r="8" spans="1:9" x14ac:dyDescent="0.2">
      <c r="A8" s="468" t="s">
        <v>702</v>
      </c>
      <c r="B8" s="502" t="s">
        <v>674</v>
      </c>
      <c r="C8" s="469"/>
      <c r="D8" s="470"/>
      <c r="E8" s="469"/>
      <c r="F8" s="98" t="s">
        <v>684</v>
      </c>
      <c r="G8" s="41" t="s">
        <v>711</v>
      </c>
    </row>
    <row r="9" spans="1:9" x14ac:dyDescent="0.2">
      <c r="A9" s="468" t="s">
        <v>703</v>
      </c>
      <c r="B9" s="502" t="s">
        <v>675</v>
      </c>
      <c r="C9" s="469"/>
      <c r="D9" s="470"/>
      <c r="E9" s="469"/>
      <c r="F9" s="98" t="s">
        <v>632</v>
      </c>
      <c r="G9" s="41" t="s">
        <v>29</v>
      </c>
    </row>
    <row r="10" spans="1:9" x14ac:dyDescent="0.2">
      <c r="A10" s="468" t="s">
        <v>704</v>
      </c>
      <c r="B10" s="502" t="s">
        <v>676</v>
      </c>
      <c r="C10" s="469"/>
      <c r="D10" s="470"/>
      <c r="E10" s="469"/>
      <c r="F10" s="98" t="s">
        <v>683</v>
      </c>
      <c r="G10" s="41" t="s">
        <v>150</v>
      </c>
    </row>
    <row r="11" spans="1:9" x14ac:dyDescent="0.2">
      <c r="A11" s="468" t="s">
        <v>705</v>
      </c>
      <c r="B11" s="502" t="s">
        <v>677</v>
      </c>
      <c r="C11" s="469"/>
      <c r="D11" s="470"/>
      <c r="E11" s="469"/>
      <c r="F11" s="499" t="s">
        <v>721</v>
      </c>
      <c r="G11" s="41" t="s">
        <v>710</v>
      </c>
    </row>
    <row r="12" spans="1:9" x14ac:dyDescent="0.2">
      <c r="A12" s="468" t="s">
        <v>706</v>
      </c>
      <c r="B12" s="502" t="s">
        <v>678</v>
      </c>
      <c r="C12" s="469"/>
      <c r="D12" s="470"/>
      <c r="E12" s="469"/>
      <c r="F12" s="98" t="s">
        <v>682</v>
      </c>
      <c r="G12" s="41" t="s">
        <v>155</v>
      </c>
    </row>
    <row r="13" spans="1:9" x14ac:dyDescent="0.2">
      <c r="A13" s="468" t="s">
        <v>707</v>
      </c>
      <c r="B13" s="502" t="s">
        <v>679</v>
      </c>
      <c r="C13" s="469"/>
      <c r="D13" s="470"/>
      <c r="E13" s="469"/>
      <c r="F13" s="502" t="s">
        <v>681</v>
      </c>
      <c r="G13" s="41" t="s">
        <v>30</v>
      </c>
    </row>
    <row r="14" spans="1:9" x14ac:dyDescent="0.2">
      <c r="A14" s="468" t="s">
        <v>708</v>
      </c>
      <c r="B14" s="502" t="s">
        <v>680</v>
      </c>
      <c r="C14" s="469"/>
      <c r="D14" s="470"/>
      <c r="E14" s="469"/>
      <c r="F14" s="122"/>
      <c r="G14" s="41" t="s">
        <v>586</v>
      </c>
    </row>
    <row r="15" spans="1:9" x14ac:dyDescent="0.2">
      <c r="A15" s="468"/>
      <c r="B15" s="473"/>
      <c r="C15" s="474"/>
      <c r="D15" s="475"/>
      <c r="E15" s="474"/>
      <c r="F15" s="476"/>
      <c r="G15" s="41"/>
    </row>
    <row r="16" spans="1:9" x14ac:dyDescent="0.2">
      <c r="A16" s="477" t="s">
        <v>619</v>
      </c>
      <c r="B16" s="466"/>
      <c r="C16" s="467" t="s">
        <v>199</v>
      </c>
      <c r="D16" s="504" t="s">
        <v>700</v>
      </c>
      <c r="E16" s="467" t="s">
        <v>199</v>
      </c>
      <c r="F16" s="121"/>
      <c r="G16" s="41"/>
    </row>
    <row r="17" spans="1:9" x14ac:dyDescent="0.2">
      <c r="A17" s="468"/>
      <c r="B17" s="122"/>
      <c r="C17" s="469"/>
      <c r="D17" s="470"/>
      <c r="E17" s="469"/>
      <c r="F17" s="98"/>
      <c r="G17" s="117"/>
    </row>
    <row r="18" spans="1:9" x14ac:dyDescent="0.2">
      <c r="A18" s="468"/>
      <c r="B18" s="98"/>
      <c r="C18" s="469"/>
      <c r="D18" s="470"/>
      <c r="E18" s="469"/>
      <c r="F18" s="98"/>
      <c r="G18" s="117"/>
    </row>
    <row r="19" spans="1:9" x14ac:dyDescent="0.2">
      <c r="A19" s="468"/>
      <c r="B19" s="471"/>
      <c r="C19" s="469"/>
      <c r="D19" s="470"/>
      <c r="E19" s="469"/>
      <c r="F19" s="122"/>
      <c r="G19" s="41"/>
    </row>
    <row r="20" spans="1:9" x14ac:dyDescent="0.2">
      <c r="A20" s="468"/>
      <c r="B20" s="98"/>
      <c r="C20" s="469"/>
      <c r="D20" s="470"/>
      <c r="E20" s="469"/>
      <c r="F20" s="122"/>
      <c r="G20" s="41"/>
    </row>
    <row r="21" spans="1:9" x14ac:dyDescent="0.2">
      <c r="A21" s="468"/>
      <c r="B21" s="98"/>
      <c r="C21" s="469"/>
      <c r="D21" s="470"/>
      <c r="E21" s="469"/>
      <c r="F21" s="98"/>
      <c r="G21" s="41"/>
    </row>
    <row r="22" spans="1:9" x14ac:dyDescent="0.2">
      <c r="A22" s="468"/>
      <c r="B22" s="472"/>
      <c r="C22" s="469"/>
      <c r="D22" s="470"/>
      <c r="E22" s="469"/>
      <c r="F22" s="472"/>
      <c r="G22" s="117"/>
    </row>
    <row r="23" spans="1:9" x14ac:dyDescent="0.2">
      <c r="A23" s="468"/>
      <c r="B23" s="472"/>
      <c r="C23" s="469"/>
      <c r="D23" s="470"/>
      <c r="E23" s="469"/>
      <c r="F23" s="122"/>
      <c r="G23" s="117"/>
    </row>
    <row r="24" spans="1:9" x14ac:dyDescent="0.2">
      <c r="A24" s="468"/>
      <c r="B24" s="122"/>
      <c r="C24" s="469"/>
      <c r="D24" s="470"/>
      <c r="E24" s="469"/>
      <c r="F24" s="98"/>
      <c r="G24" s="41"/>
    </row>
    <row r="25" spans="1:9" x14ac:dyDescent="0.2">
      <c r="A25" s="478"/>
      <c r="B25" s="207"/>
      <c r="C25" s="474"/>
      <c r="D25" s="475"/>
      <c r="E25" s="474"/>
      <c r="F25" s="473"/>
      <c r="G25" s="41"/>
    </row>
    <row r="26" spans="1:9" x14ac:dyDescent="0.2">
      <c r="A26" s="465" t="s">
        <v>622</v>
      </c>
      <c r="B26" s="466"/>
      <c r="C26" s="467" t="s">
        <v>199</v>
      </c>
      <c r="D26" s="504" t="s">
        <v>700</v>
      </c>
      <c r="E26" s="467" t="s">
        <v>199</v>
      </c>
      <c r="F26" s="121"/>
      <c r="G26" s="41"/>
    </row>
    <row r="27" spans="1:9" x14ac:dyDescent="0.2">
      <c r="A27" s="468"/>
      <c r="B27" s="122"/>
      <c r="C27" s="469"/>
      <c r="D27" s="470"/>
      <c r="E27" s="469"/>
      <c r="F27" s="136"/>
      <c r="G27" s="41"/>
      <c r="I27" s="468"/>
    </row>
    <row r="28" spans="1:9" x14ac:dyDescent="0.2">
      <c r="A28" s="468"/>
      <c r="B28" s="98"/>
      <c r="C28" s="469"/>
      <c r="D28" s="470"/>
      <c r="E28" s="469"/>
      <c r="F28" s="98"/>
      <c r="G28" s="41"/>
      <c r="I28" s="468"/>
    </row>
    <row r="29" spans="1:9" x14ac:dyDescent="0.2">
      <c r="A29" s="468"/>
      <c r="B29" s="471"/>
      <c r="C29" s="469"/>
      <c r="D29" s="470"/>
      <c r="E29" s="469"/>
      <c r="F29" s="98"/>
      <c r="G29" s="41"/>
      <c r="I29" s="468"/>
    </row>
    <row r="30" spans="1:9" x14ac:dyDescent="0.2">
      <c r="A30" s="468"/>
      <c r="B30" s="98"/>
      <c r="C30" s="469"/>
      <c r="D30" s="470"/>
      <c r="E30" s="469"/>
      <c r="F30" s="472"/>
      <c r="G30" s="479"/>
      <c r="I30" s="468"/>
    </row>
    <row r="31" spans="1:9" x14ac:dyDescent="0.2">
      <c r="A31" s="468"/>
      <c r="B31" s="472"/>
      <c r="C31" s="469"/>
      <c r="D31" s="470"/>
      <c r="E31" s="469"/>
      <c r="F31" s="122"/>
      <c r="G31" s="41"/>
      <c r="I31" s="468"/>
    </row>
    <row r="32" spans="1:9" x14ac:dyDescent="0.2">
      <c r="A32" s="468"/>
      <c r="B32" s="98"/>
      <c r="C32" s="469"/>
      <c r="D32" s="470"/>
      <c r="E32" s="469"/>
      <c r="F32" s="98"/>
      <c r="G32" s="41"/>
      <c r="I32" s="468"/>
    </row>
    <row r="33" spans="1:9" x14ac:dyDescent="0.2">
      <c r="A33" s="468"/>
      <c r="B33" s="472"/>
      <c r="C33" s="469"/>
      <c r="D33" s="470"/>
      <c r="E33" s="469"/>
      <c r="F33" s="472"/>
      <c r="G33" s="41"/>
      <c r="I33" s="468"/>
    </row>
    <row r="34" spans="1:9" x14ac:dyDescent="0.2">
      <c r="A34" s="468"/>
      <c r="B34" s="122"/>
      <c r="C34" s="469"/>
      <c r="D34" s="470"/>
      <c r="E34" s="469"/>
      <c r="F34" s="122"/>
      <c r="G34" s="41"/>
      <c r="I34" s="468"/>
    </row>
    <row r="35" spans="1:9" x14ac:dyDescent="0.2">
      <c r="A35" s="478"/>
      <c r="B35" s="207"/>
      <c r="C35" s="474"/>
      <c r="D35" s="475"/>
      <c r="E35" s="474"/>
      <c r="F35" s="207"/>
      <c r="G35" s="41"/>
      <c r="I35" s="468"/>
    </row>
    <row r="36" spans="1:9" x14ac:dyDescent="0.2">
      <c r="A36" s="465" t="s">
        <v>625</v>
      </c>
      <c r="B36" s="466"/>
      <c r="C36" s="467" t="s">
        <v>199</v>
      </c>
      <c r="D36" s="504" t="s">
        <v>700</v>
      </c>
      <c r="E36" s="467" t="s">
        <v>199</v>
      </c>
      <c r="F36" s="121"/>
      <c r="G36" s="41"/>
    </row>
    <row r="37" spans="1:9" x14ac:dyDescent="0.2">
      <c r="A37" s="468"/>
      <c r="B37" s="122"/>
      <c r="C37" s="469"/>
      <c r="D37" s="470"/>
      <c r="E37" s="469"/>
      <c r="F37" s="98"/>
      <c r="G37" s="41"/>
      <c r="I37" s="468"/>
    </row>
    <row r="38" spans="1:9" x14ac:dyDescent="0.2">
      <c r="A38" s="468"/>
      <c r="B38" s="98"/>
      <c r="C38" s="469"/>
      <c r="D38" s="470"/>
      <c r="E38" s="469"/>
      <c r="F38" s="472"/>
      <c r="G38" s="41"/>
      <c r="I38" s="468"/>
    </row>
    <row r="39" spans="1:9" x14ac:dyDescent="0.2">
      <c r="A39" s="468"/>
      <c r="B39" s="98"/>
      <c r="C39" s="469"/>
      <c r="D39" s="470"/>
      <c r="E39" s="469"/>
      <c r="F39" s="122"/>
      <c r="G39" s="41"/>
      <c r="I39" s="468"/>
    </row>
    <row r="40" spans="1:9" x14ac:dyDescent="0.2">
      <c r="A40" s="468"/>
      <c r="B40" s="471"/>
      <c r="C40" s="469"/>
      <c r="D40" s="470"/>
      <c r="E40" s="469"/>
      <c r="F40" s="98"/>
      <c r="G40" s="41"/>
      <c r="I40" s="468"/>
    </row>
    <row r="41" spans="1:9" x14ac:dyDescent="0.2">
      <c r="A41" s="468"/>
      <c r="B41" s="98"/>
      <c r="C41" s="469"/>
      <c r="D41" s="470"/>
      <c r="E41" s="469"/>
      <c r="F41" s="122"/>
      <c r="G41" s="41"/>
      <c r="I41" s="468"/>
    </row>
    <row r="42" spans="1:9" x14ac:dyDescent="0.2">
      <c r="A42" s="468"/>
      <c r="B42" s="472"/>
      <c r="C42" s="469"/>
      <c r="D42" s="470"/>
      <c r="E42" s="469"/>
      <c r="F42" s="98"/>
      <c r="G42" s="41"/>
      <c r="I42" s="468"/>
    </row>
    <row r="43" spans="1:9" x14ac:dyDescent="0.2">
      <c r="A43" s="468"/>
      <c r="B43" s="472"/>
      <c r="C43" s="469"/>
      <c r="D43" s="470"/>
      <c r="E43" s="469"/>
      <c r="F43" s="98"/>
      <c r="G43" s="41"/>
      <c r="I43" s="468"/>
    </row>
    <row r="44" spans="1:9" x14ac:dyDescent="0.2">
      <c r="A44" s="468"/>
      <c r="B44" s="472"/>
      <c r="C44" s="469"/>
      <c r="D44" s="470"/>
      <c r="E44" s="469"/>
      <c r="F44" s="122"/>
      <c r="G44" s="41"/>
      <c r="I44" s="468"/>
    </row>
    <row r="45" spans="1:9" x14ac:dyDescent="0.2">
      <c r="A45" s="468"/>
      <c r="B45" s="476"/>
      <c r="C45" s="474"/>
      <c r="D45" s="475"/>
      <c r="E45" s="474"/>
      <c r="F45" s="207"/>
      <c r="G45" s="41"/>
      <c r="I45" s="468"/>
    </row>
    <row r="46" spans="1:9" x14ac:dyDescent="0.2">
      <c r="A46" s="480" t="s">
        <v>712</v>
      </c>
      <c r="B46" s="476"/>
      <c r="C46" s="474"/>
      <c r="D46" s="475"/>
      <c r="E46" s="474"/>
      <c r="F46" s="207"/>
      <c r="G46" s="41"/>
      <c r="I46" s="468"/>
    </row>
    <row r="47" spans="1:9" x14ac:dyDescent="0.2">
      <c r="A47" s="468"/>
      <c r="B47" s="476"/>
      <c r="C47" s="481" t="s">
        <v>586</v>
      </c>
      <c r="D47" s="482" t="s">
        <v>587</v>
      </c>
      <c r="E47" s="481" t="s">
        <v>588</v>
      </c>
      <c r="F47" s="207"/>
      <c r="G47" s="41"/>
      <c r="I47" s="468"/>
    </row>
    <row r="48" spans="1:9" x14ac:dyDescent="0.2">
      <c r="A48" s="468"/>
      <c r="B48" s="136"/>
      <c r="C48" s="498" t="s">
        <v>199</v>
      </c>
      <c r="D48" s="503" t="s">
        <v>714</v>
      </c>
      <c r="E48" s="498" t="s">
        <v>713</v>
      </c>
      <c r="F48" s="483"/>
      <c r="I48" s="468"/>
    </row>
    <row r="49" spans="1:9" x14ac:dyDescent="0.2">
      <c r="A49" s="468">
        <v>1</v>
      </c>
      <c r="B49" s="499"/>
      <c r="C49" s="500"/>
      <c r="D49" s="485"/>
      <c r="E49" s="500"/>
      <c r="I49" s="468"/>
    </row>
    <row r="50" spans="1:9" x14ac:dyDescent="0.2">
      <c r="A50" s="468">
        <v>2</v>
      </c>
      <c r="B50" s="501"/>
      <c r="C50" s="500"/>
      <c r="D50" s="485"/>
      <c r="E50" s="500"/>
      <c r="I50" s="468"/>
    </row>
    <row r="51" spans="1:9" x14ac:dyDescent="0.2">
      <c r="A51" s="468">
        <v>3</v>
      </c>
      <c r="B51" s="499"/>
      <c r="C51" s="500"/>
      <c r="D51" s="485"/>
      <c r="E51" s="500"/>
      <c r="I51" s="468"/>
    </row>
    <row r="52" spans="1:9" x14ac:dyDescent="0.2">
      <c r="A52" s="468">
        <v>4</v>
      </c>
      <c r="B52" s="499"/>
      <c r="C52" s="500"/>
      <c r="D52" s="485"/>
      <c r="E52" s="500"/>
      <c r="I52" s="468"/>
    </row>
    <row r="53" spans="1:9" x14ac:dyDescent="0.2">
      <c r="A53" s="468">
        <v>5</v>
      </c>
      <c r="B53" s="499"/>
      <c r="C53" s="500"/>
      <c r="D53" s="485"/>
      <c r="E53" s="500"/>
      <c r="I53" s="468"/>
    </row>
    <row r="54" spans="1:9" x14ac:dyDescent="0.2">
      <c r="A54" s="468">
        <v>6</v>
      </c>
      <c r="B54" s="471"/>
      <c r="C54" s="500"/>
      <c r="D54" s="485"/>
      <c r="E54" s="500"/>
      <c r="I54" s="468"/>
    </row>
    <row r="55" spans="1:9" x14ac:dyDescent="0.2">
      <c r="A55" s="468">
        <v>7</v>
      </c>
      <c r="B55" s="501"/>
      <c r="C55" s="500"/>
      <c r="D55" s="485"/>
      <c r="E55" s="500"/>
      <c r="I55" s="468"/>
    </row>
    <row r="56" spans="1:9" x14ac:dyDescent="0.2">
      <c r="A56" s="468">
        <v>8</v>
      </c>
      <c r="B56" s="471"/>
      <c r="C56" s="500"/>
      <c r="D56" s="485"/>
      <c r="E56" s="500"/>
      <c r="I56" s="468"/>
    </row>
    <row r="57" spans="1:9" x14ac:dyDescent="0.2">
      <c r="A57" s="484"/>
      <c r="B57" s="495"/>
      <c r="C57" s="497"/>
      <c r="D57" s="496"/>
      <c r="E57" s="497"/>
      <c r="I57" s="468"/>
    </row>
    <row r="58" spans="1:9" x14ac:dyDescent="0.2">
      <c r="A58" s="468">
        <v>9</v>
      </c>
      <c r="B58" s="501"/>
      <c r="C58" s="500"/>
      <c r="D58" s="485"/>
      <c r="E58" s="500"/>
      <c r="I58" s="468"/>
    </row>
    <row r="59" spans="1:9" x14ac:dyDescent="0.2">
      <c r="A59" s="468">
        <v>10</v>
      </c>
      <c r="B59" s="499"/>
      <c r="C59" s="500"/>
      <c r="D59" s="485"/>
      <c r="E59" s="500"/>
      <c r="I59" s="468"/>
    </row>
    <row r="60" spans="1:9" x14ac:dyDescent="0.2">
      <c r="A60" s="468">
        <v>11</v>
      </c>
      <c r="B60" s="499"/>
      <c r="C60" s="500"/>
      <c r="D60" s="485"/>
      <c r="E60" s="500"/>
      <c r="I60" s="468"/>
    </row>
    <row r="61" spans="1:9" x14ac:dyDescent="0.2">
      <c r="A61" s="468">
        <v>12</v>
      </c>
      <c r="B61" s="501"/>
      <c r="C61" s="500"/>
      <c r="D61" s="485"/>
      <c r="E61" s="500"/>
      <c r="I61" s="468"/>
    </row>
    <row r="62" spans="1:9" x14ac:dyDescent="0.2">
      <c r="A62" s="468">
        <v>13</v>
      </c>
      <c r="B62" s="471"/>
      <c r="C62" s="500"/>
      <c r="D62" s="485"/>
      <c r="E62" s="500"/>
      <c r="I62" s="468"/>
    </row>
    <row r="63" spans="1:9" x14ac:dyDescent="0.2">
      <c r="A63" s="468">
        <v>14</v>
      </c>
      <c r="B63" s="499"/>
      <c r="C63" s="500"/>
      <c r="D63" s="485"/>
      <c r="E63" s="500"/>
      <c r="I63" s="468"/>
    </row>
    <row r="64" spans="1:9" x14ac:dyDescent="0.2">
      <c r="A64" s="468">
        <v>15</v>
      </c>
      <c r="B64" s="499"/>
      <c r="C64" s="500"/>
      <c r="D64" s="485"/>
      <c r="E64" s="500"/>
      <c r="I64" s="468"/>
    </row>
    <row r="65" spans="1:9" x14ac:dyDescent="0.2">
      <c r="A65" s="468">
        <v>16</v>
      </c>
      <c r="B65" s="471"/>
      <c r="C65" s="500"/>
      <c r="D65" s="485"/>
      <c r="E65" s="500"/>
      <c r="I65" s="468"/>
    </row>
    <row r="67" spans="1:9" x14ac:dyDescent="0.2">
      <c r="A67" s="329" t="s">
        <v>410</v>
      </c>
      <c r="B67" s="126"/>
      <c r="C67" s="126"/>
      <c r="D67" s="126"/>
      <c r="E67" s="126"/>
      <c r="F67" s="126"/>
      <c r="G67" s="126"/>
      <c r="H67" s="126"/>
    </row>
    <row r="68" spans="1:9" x14ac:dyDescent="0.2">
      <c r="A68" s="329"/>
      <c r="B68" s="126"/>
      <c r="C68" s="126"/>
      <c r="D68" s="126"/>
      <c r="E68" s="126"/>
      <c r="F68" s="126"/>
      <c r="G68" s="126"/>
      <c r="H68" s="126"/>
    </row>
    <row r="69" spans="1:9" x14ac:dyDescent="0.2">
      <c r="A69" s="980">
        <v>1</v>
      </c>
      <c r="B69" s="126" t="s">
        <v>673</v>
      </c>
      <c r="C69" s="333">
        <v>13</v>
      </c>
      <c r="D69" s="126"/>
      <c r="E69" s="126"/>
      <c r="F69" s="126"/>
      <c r="G69" s="126"/>
      <c r="H69" s="126"/>
    </row>
    <row r="70" spans="1:9" x14ac:dyDescent="0.2">
      <c r="A70" s="981"/>
      <c r="B70" s="330"/>
      <c r="C70" s="331" t="s">
        <v>673</v>
      </c>
      <c r="D70" s="332"/>
      <c r="E70" s="126"/>
      <c r="F70" s="333">
        <v>13</v>
      </c>
      <c r="G70" s="126"/>
      <c r="H70" s="126"/>
    </row>
    <row r="71" spans="1:9" x14ac:dyDescent="0.2">
      <c r="A71" s="980">
        <v>8</v>
      </c>
      <c r="B71" s="334" t="s">
        <v>676</v>
      </c>
      <c r="C71" s="335">
        <v>9</v>
      </c>
      <c r="D71" s="126"/>
      <c r="E71" s="336"/>
      <c r="F71" s="126"/>
      <c r="G71" s="126"/>
      <c r="H71" s="126"/>
    </row>
    <row r="72" spans="1:9" x14ac:dyDescent="0.2">
      <c r="A72" s="981"/>
      <c r="B72" s="126"/>
      <c r="C72" s="126"/>
      <c r="D72" s="65"/>
      <c r="E72" s="337"/>
      <c r="F72" s="126" t="s">
        <v>673</v>
      </c>
      <c r="G72" s="333">
        <v>13</v>
      </c>
      <c r="H72" s="126"/>
    </row>
    <row r="73" spans="1:9" x14ac:dyDescent="0.2">
      <c r="A73" s="980">
        <v>4</v>
      </c>
      <c r="B73" s="486" t="s">
        <v>632</v>
      </c>
      <c r="C73" s="882">
        <v>13</v>
      </c>
      <c r="D73" s="126"/>
      <c r="E73" s="337"/>
      <c r="F73" s="336"/>
      <c r="G73" s="126"/>
      <c r="H73" s="126"/>
    </row>
    <row r="74" spans="1:9" x14ac:dyDescent="0.2">
      <c r="A74" s="981"/>
      <c r="B74" s="336"/>
      <c r="C74" s="206" t="s">
        <v>685</v>
      </c>
      <c r="D74" s="126"/>
      <c r="E74" s="340"/>
      <c r="F74" s="487">
        <v>6</v>
      </c>
      <c r="G74" s="126"/>
      <c r="H74" s="126"/>
    </row>
    <row r="75" spans="1:9" x14ac:dyDescent="0.2">
      <c r="A75" s="980">
        <v>5</v>
      </c>
      <c r="B75" s="334" t="s">
        <v>685</v>
      </c>
      <c r="C75" s="883">
        <v>12</v>
      </c>
      <c r="D75" s="330"/>
      <c r="E75" s="126"/>
      <c r="F75" s="337"/>
      <c r="G75" s="126"/>
      <c r="H75" s="126"/>
    </row>
    <row r="76" spans="1:9" ht="13.5" thickBot="1" x14ac:dyDescent="0.25">
      <c r="A76" s="981"/>
      <c r="B76" s="126"/>
      <c r="C76" s="126"/>
      <c r="D76" s="126"/>
      <c r="E76" s="126"/>
      <c r="F76" s="337"/>
      <c r="G76" s="126"/>
      <c r="H76" s="879" t="s">
        <v>673</v>
      </c>
    </row>
    <row r="77" spans="1:9" x14ac:dyDescent="0.2">
      <c r="A77" s="980">
        <v>3</v>
      </c>
      <c r="B77" s="126" t="s">
        <v>681</v>
      </c>
      <c r="C77" s="333">
        <v>12</v>
      </c>
      <c r="D77" s="126"/>
      <c r="E77" s="126"/>
      <c r="F77" s="337"/>
      <c r="G77" s="343"/>
      <c r="H77" s="342" t="s">
        <v>411</v>
      </c>
      <c r="I77" s="490"/>
    </row>
    <row r="78" spans="1:9" x14ac:dyDescent="0.2">
      <c r="A78" s="981"/>
      <c r="B78" s="330"/>
      <c r="C78" s="331" t="s">
        <v>680</v>
      </c>
      <c r="D78" s="332"/>
      <c r="E78" s="126"/>
      <c r="F78" s="487">
        <v>13</v>
      </c>
      <c r="G78" s="126"/>
      <c r="H78" s="126"/>
      <c r="I78" s="207"/>
    </row>
    <row r="79" spans="1:9" ht="13.5" thickBot="1" x14ac:dyDescent="0.25">
      <c r="A79" s="980">
        <v>6</v>
      </c>
      <c r="B79" s="332" t="s">
        <v>680</v>
      </c>
      <c r="C79" s="335">
        <v>13</v>
      </c>
      <c r="D79" s="126"/>
      <c r="E79" s="336"/>
      <c r="F79" s="337"/>
      <c r="G79" s="126"/>
      <c r="H79" s="364" t="s">
        <v>680</v>
      </c>
      <c r="I79" s="491"/>
    </row>
    <row r="80" spans="1:9" x14ac:dyDescent="0.2">
      <c r="A80" s="981"/>
      <c r="B80" s="126"/>
      <c r="C80" s="126"/>
      <c r="D80" s="65"/>
      <c r="E80" s="337"/>
      <c r="F80" s="340" t="s">
        <v>680</v>
      </c>
      <c r="G80" s="333">
        <v>9</v>
      </c>
      <c r="H80" s="342" t="s">
        <v>412</v>
      </c>
    </row>
    <row r="81" spans="1:9" x14ac:dyDescent="0.2">
      <c r="A81" s="980">
        <v>2</v>
      </c>
      <c r="B81" s="126" t="s">
        <v>675</v>
      </c>
      <c r="C81" s="338">
        <v>13</v>
      </c>
      <c r="D81" s="126"/>
      <c r="E81" s="337"/>
      <c r="F81" s="126"/>
      <c r="G81" s="126"/>
      <c r="H81" s="126"/>
    </row>
    <row r="82" spans="1:9" x14ac:dyDescent="0.2">
      <c r="A82" s="981"/>
      <c r="B82" s="330"/>
      <c r="C82" s="339" t="s">
        <v>675</v>
      </c>
      <c r="D82" s="126"/>
      <c r="E82" s="340"/>
      <c r="F82" s="333">
        <v>1</v>
      </c>
      <c r="G82" s="126"/>
      <c r="H82" s="126"/>
    </row>
    <row r="83" spans="1:9" x14ac:dyDescent="0.2">
      <c r="A83" s="980">
        <v>7</v>
      </c>
      <c r="B83" s="332" t="s">
        <v>677</v>
      </c>
      <c r="C83" s="345">
        <v>4</v>
      </c>
      <c r="D83" s="330"/>
      <c r="E83" s="126"/>
      <c r="F83" s="126"/>
      <c r="G83" s="126"/>
      <c r="H83" s="126"/>
    </row>
    <row r="84" spans="1:9" x14ac:dyDescent="0.2">
      <c r="A84" s="126"/>
      <c r="B84" s="126"/>
      <c r="C84" s="126"/>
      <c r="D84" s="126"/>
      <c r="E84" s="126"/>
      <c r="F84" s="206" t="s">
        <v>685</v>
      </c>
      <c r="G84" s="338">
        <v>13</v>
      </c>
      <c r="H84" s="65"/>
    </row>
    <row r="85" spans="1:9" ht="13.5" thickBot="1" x14ac:dyDescent="0.25">
      <c r="A85" s="126"/>
      <c r="B85" s="126"/>
      <c r="C85" s="126"/>
      <c r="D85" s="126"/>
      <c r="E85" s="126"/>
      <c r="F85" s="336"/>
      <c r="G85" s="344"/>
      <c r="H85" s="491" t="s">
        <v>685</v>
      </c>
    </row>
    <row r="86" spans="1:9" x14ac:dyDescent="0.2">
      <c r="A86" s="126"/>
      <c r="B86" s="126"/>
      <c r="C86" s="126"/>
      <c r="D86" s="126"/>
      <c r="E86" s="126"/>
      <c r="F86" s="340" t="s">
        <v>675</v>
      </c>
      <c r="G86" s="333">
        <v>7</v>
      </c>
      <c r="H86" s="342" t="s">
        <v>413</v>
      </c>
      <c r="I86" s="490"/>
    </row>
    <row r="87" spans="1:9" x14ac:dyDescent="0.2">
      <c r="A87" s="126"/>
      <c r="B87" s="126"/>
      <c r="C87" s="126"/>
      <c r="D87" s="126"/>
      <c r="E87" s="126"/>
      <c r="F87" s="126"/>
      <c r="G87" s="126"/>
      <c r="H87" s="65"/>
      <c r="I87" s="207"/>
    </row>
    <row r="88" spans="1:9" ht="13.5" thickBot="1" x14ac:dyDescent="0.25">
      <c r="A88" s="126"/>
      <c r="B88" s="126"/>
      <c r="C88" s="126"/>
      <c r="D88" s="126"/>
      <c r="E88" s="126"/>
      <c r="F88" s="126"/>
      <c r="G88" s="126"/>
      <c r="H88" s="491" t="s">
        <v>675</v>
      </c>
      <c r="I88" s="491"/>
    </row>
    <row r="89" spans="1:9" x14ac:dyDescent="0.2">
      <c r="A89" s="126"/>
      <c r="B89" s="126"/>
      <c r="C89" s="126" t="s">
        <v>676</v>
      </c>
      <c r="D89" s="126"/>
      <c r="E89" s="126"/>
      <c r="F89" s="880">
        <v>12</v>
      </c>
      <c r="G89" s="126"/>
      <c r="H89" s="342" t="s">
        <v>414</v>
      </c>
    </row>
    <row r="90" spans="1:9" x14ac:dyDescent="0.2">
      <c r="A90" s="126"/>
      <c r="B90" s="126"/>
      <c r="C90" s="330"/>
      <c r="D90" s="330"/>
      <c r="E90" s="336"/>
      <c r="F90" s="331" t="s">
        <v>676</v>
      </c>
      <c r="G90" s="333">
        <v>13</v>
      </c>
      <c r="H90" s="126"/>
    </row>
    <row r="91" spans="1:9" x14ac:dyDescent="0.2">
      <c r="A91" s="126"/>
      <c r="B91" s="126"/>
      <c r="C91" s="332" t="s">
        <v>632</v>
      </c>
      <c r="D91" s="332"/>
      <c r="E91" s="340"/>
      <c r="F91" s="881">
        <v>13</v>
      </c>
      <c r="G91" s="126"/>
      <c r="H91" s="126"/>
    </row>
    <row r="92" spans="1:9" ht="13.5" thickBot="1" x14ac:dyDescent="0.25">
      <c r="A92" s="126"/>
      <c r="B92" s="126"/>
      <c r="C92" s="126"/>
      <c r="D92" s="126"/>
      <c r="E92" s="126"/>
      <c r="F92" s="337"/>
      <c r="G92" s="126"/>
      <c r="H92" s="354" t="s">
        <v>676</v>
      </c>
    </row>
    <row r="93" spans="1:9" x14ac:dyDescent="0.2">
      <c r="A93" s="126"/>
      <c r="B93" s="126"/>
      <c r="C93" s="126" t="s">
        <v>681</v>
      </c>
      <c r="D93" s="126"/>
      <c r="E93" s="126"/>
      <c r="F93" s="487">
        <v>13</v>
      </c>
      <c r="G93" s="343"/>
      <c r="H93" s="342" t="s">
        <v>415</v>
      </c>
      <c r="I93" s="490"/>
    </row>
    <row r="94" spans="1:9" x14ac:dyDescent="0.2">
      <c r="A94" s="126"/>
      <c r="B94" s="126"/>
      <c r="C94" s="330"/>
      <c r="D94" s="330"/>
      <c r="E94" s="336"/>
      <c r="F94" s="493" t="s">
        <v>681</v>
      </c>
      <c r="G94" s="338">
        <v>12</v>
      </c>
      <c r="H94" s="126"/>
      <c r="I94" s="207"/>
    </row>
    <row r="95" spans="1:9" ht="13.5" thickBot="1" x14ac:dyDescent="0.25">
      <c r="A95" s="126"/>
      <c r="B95" s="126"/>
      <c r="C95" s="332" t="s">
        <v>677</v>
      </c>
      <c r="D95" s="332"/>
      <c r="E95" s="340"/>
      <c r="F95" s="345">
        <v>7</v>
      </c>
      <c r="G95" s="65"/>
      <c r="H95" s="884" t="s">
        <v>681</v>
      </c>
      <c r="I95" s="491"/>
    </row>
    <row r="96" spans="1:9" ht="13.5" customHeight="1" x14ac:dyDescent="0.2">
      <c r="A96" s="126"/>
      <c r="B96" s="126"/>
      <c r="C96" s="126"/>
      <c r="D96" s="126"/>
      <c r="E96" s="126"/>
      <c r="F96" s="126"/>
      <c r="G96" s="65"/>
      <c r="H96" s="342" t="s">
        <v>416</v>
      </c>
    </row>
    <row r="97" spans="1:9" ht="13.5" customHeight="1" x14ac:dyDescent="0.2">
      <c r="A97" s="126"/>
      <c r="B97" s="126"/>
      <c r="C97" s="126"/>
      <c r="D97" s="126"/>
      <c r="E97" s="126"/>
      <c r="F97" s="126" t="s">
        <v>632</v>
      </c>
      <c r="G97" s="338">
        <v>13</v>
      </c>
      <c r="H97" s="65"/>
    </row>
    <row r="98" spans="1:9" ht="13.5" thickBot="1" x14ac:dyDescent="0.25">
      <c r="A98" s="126"/>
      <c r="B98" s="126"/>
      <c r="C98" s="126"/>
      <c r="D98" s="126"/>
      <c r="E98" s="126"/>
      <c r="F98" s="336"/>
      <c r="G98" s="344"/>
      <c r="H98" s="364" t="s">
        <v>632</v>
      </c>
    </row>
    <row r="99" spans="1:9" x14ac:dyDescent="0.2">
      <c r="A99" s="126"/>
      <c r="B99" s="126"/>
      <c r="C99" s="126"/>
      <c r="D99" s="126"/>
      <c r="E99" s="126"/>
      <c r="F99" s="340" t="s">
        <v>677</v>
      </c>
      <c r="G99" s="333">
        <v>12</v>
      </c>
      <c r="H99" s="346" t="s">
        <v>417</v>
      </c>
      <c r="I99" s="490"/>
    </row>
    <row r="100" spans="1:9" x14ac:dyDescent="0.2">
      <c r="A100" s="126"/>
      <c r="B100" s="126"/>
      <c r="C100" s="126"/>
      <c r="D100" s="126"/>
      <c r="E100" s="126"/>
      <c r="F100" s="126"/>
      <c r="G100" s="126"/>
      <c r="H100" s="65"/>
      <c r="I100" s="207"/>
    </row>
    <row r="101" spans="1:9" ht="13.5" thickBot="1" x14ac:dyDescent="0.25">
      <c r="A101" s="126"/>
      <c r="B101" s="126"/>
      <c r="C101" s="126"/>
      <c r="D101" s="126"/>
      <c r="E101" s="126"/>
      <c r="F101" s="126"/>
      <c r="G101" s="126"/>
      <c r="H101" s="364" t="s">
        <v>677</v>
      </c>
      <c r="I101" s="491"/>
    </row>
    <row r="102" spans="1:9" x14ac:dyDescent="0.2">
      <c r="A102" s="126"/>
      <c r="B102" s="126"/>
      <c r="C102" s="126"/>
      <c r="D102" s="126"/>
      <c r="E102" s="126"/>
      <c r="F102" s="126"/>
      <c r="G102" s="126"/>
      <c r="H102" s="64" t="s">
        <v>418</v>
      </c>
    </row>
    <row r="103" spans="1:9" x14ac:dyDescent="0.2">
      <c r="A103" s="126"/>
      <c r="B103" s="126"/>
      <c r="C103" s="126"/>
      <c r="D103" s="126"/>
      <c r="E103" s="126"/>
      <c r="F103" s="126"/>
      <c r="G103" s="126"/>
      <c r="H103" s="64"/>
    </row>
    <row r="104" spans="1:9" x14ac:dyDescent="0.2">
      <c r="A104" s="329" t="s">
        <v>686</v>
      </c>
      <c r="B104" s="126"/>
      <c r="C104" s="126"/>
      <c r="D104" s="126"/>
      <c r="E104" s="126"/>
      <c r="F104" s="126"/>
      <c r="G104" s="126"/>
      <c r="H104" s="126"/>
    </row>
    <row r="105" spans="1:9" x14ac:dyDescent="0.2">
      <c r="A105" s="329"/>
      <c r="B105" s="126"/>
      <c r="C105" s="126"/>
      <c r="D105" s="126"/>
      <c r="E105" s="126"/>
      <c r="F105" s="126"/>
      <c r="G105" s="126"/>
      <c r="H105" s="126"/>
    </row>
    <row r="106" spans="1:9" x14ac:dyDescent="0.2">
      <c r="A106" s="980">
        <v>9</v>
      </c>
      <c r="B106" s="126" t="s">
        <v>679</v>
      </c>
      <c r="C106" s="333">
        <v>13</v>
      </c>
      <c r="D106" s="126"/>
      <c r="E106" s="126"/>
      <c r="F106" s="126"/>
      <c r="G106" s="126"/>
      <c r="H106" s="126"/>
    </row>
    <row r="107" spans="1:9" x14ac:dyDescent="0.2">
      <c r="A107" s="981"/>
      <c r="B107" s="330"/>
      <c r="C107" s="331" t="s">
        <v>679</v>
      </c>
      <c r="D107" s="332"/>
      <c r="E107" s="126"/>
      <c r="F107" s="333">
        <v>13</v>
      </c>
      <c r="G107" s="126"/>
      <c r="H107" s="126"/>
    </row>
    <row r="108" spans="1:9" x14ac:dyDescent="0.2">
      <c r="A108" s="980">
        <v>16</v>
      </c>
      <c r="B108" s="885" t="s">
        <v>729</v>
      </c>
      <c r="C108" s="335">
        <v>0</v>
      </c>
      <c r="D108" s="126"/>
      <c r="E108" s="336"/>
      <c r="F108" s="126"/>
      <c r="G108" s="126"/>
      <c r="H108" s="126"/>
    </row>
    <row r="109" spans="1:9" x14ac:dyDescent="0.2">
      <c r="A109" s="981"/>
      <c r="B109" s="126"/>
      <c r="C109" s="126"/>
      <c r="D109" s="65"/>
      <c r="E109" s="337"/>
      <c r="F109" s="126" t="s">
        <v>679</v>
      </c>
      <c r="G109" s="333">
        <v>13</v>
      </c>
      <c r="H109" s="126"/>
    </row>
    <row r="110" spans="1:9" x14ac:dyDescent="0.2">
      <c r="A110" s="980">
        <v>12</v>
      </c>
      <c r="B110" s="486" t="s">
        <v>682</v>
      </c>
      <c r="C110" s="338">
        <v>13</v>
      </c>
      <c r="D110" s="126"/>
      <c r="E110" s="337"/>
      <c r="F110" s="336"/>
      <c r="G110" s="126"/>
      <c r="H110" s="126"/>
    </row>
    <row r="111" spans="1:9" x14ac:dyDescent="0.2">
      <c r="A111" s="981"/>
      <c r="B111" s="330"/>
      <c r="C111" s="339" t="s">
        <v>682</v>
      </c>
      <c r="D111" s="126"/>
      <c r="E111" s="340"/>
      <c r="F111" s="487">
        <v>4</v>
      </c>
      <c r="G111" s="126"/>
      <c r="H111" s="126"/>
    </row>
    <row r="112" spans="1:9" x14ac:dyDescent="0.2">
      <c r="A112" s="980">
        <v>13</v>
      </c>
      <c r="B112" s="885" t="s">
        <v>683</v>
      </c>
      <c r="C112" s="345">
        <v>10</v>
      </c>
      <c r="D112" s="330"/>
      <c r="E112" s="126"/>
      <c r="F112" s="337"/>
      <c r="G112" s="126"/>
      <c r="H112" s="126"/>
    </row>
    <row r="113" spans="1:9" ht="13.5" thickBot="1" x14ac:dyDescent="0.25">
      <c r="A113" s="981"/>
      <c r="B113" s="126"/>
      <c r="C113" s="126"/>
      <c r="D113" s="126"/>
      <c r="E113" s="126"/>
      <c r="F113" s="337"/>
      <c r="G113" s="126"/>
      <c r="H113" s="354" t="s">
        <v>679</v>
      </c>
    </row>
    <row r="114" spans="1:9" x14ac:dyDescent="0.2">
      <c r="A114" s="980">
        <v>11</v>
      </c>
      <c r="B114" s="126" t="s">
        <v>674</v>
      </c>
      <c r="C114" s="333">
        <v>13</v>
      </c>
      <c r="D114" s="126"/>
      <c r="E114" s="126"/>
      <c r="F114" s="337"/>
      <c r="G114" s="343"/>
      <c r="H114" s="342" t="s">
        <v>419</v>
      </c>
      <c r="I114" s="490"/>
    </row>
    <row r="115" spans="1:9" x14ac:dyDescent="0.2">
      <c r="A115" s="981"/>
      <c r="B115" s="330"/>
      <c r="C115" s="331" t="s">
        <v>674</v>
      </c>
      <c r="D115" s="332"/>
      <c r="E115" s="126"/>
      <c r="F115" s="487">
        <v>13</v>
      </c>
      <c r="G115" s="126"/>
      <c r="H115" s="126"/>
      <c r="I115" s="207"/>
    </row>
    <row r="116" spans="1:9" ht="13.5" thickBot="1" x14ac:dyDescent="0.25">
      <c r="A116" s="980">
        <v>14</v>
      </c>
      <c r="B116" s="332" t="s">
        <v>684</v>
      </c>
      <c r="C116" s="335">
        <v>8</v>
      </c>
      <c r="D116" s="126"/>
      <c r="E116" s="336"/>
      <c r="F116" s="337"/>
      <c r="G116" s="126"/>
      <c r="H116" s="364" t="s">
        <v>674</v>
      </c>
      <c r="I116" s="491"/>
    </row>
    <row r="117" spans="1:9" x14ac:dyDescent="0.2">
      <c r="A117" s="981"/>
      <c r="B117" s="126"/>
      <c r="C117" s="126"/>
      <c r="D117" s="65"/>
      <c r="E117" s="337"/>
      <c r="F117" s="340" t="s">
        <v>674</v>
      </c>
      <c r="G117" s="333">
        <v>4</v>
      </c>
      <c r="H117" s="342" t="s">
        <v>420</v>
      </c>
    </row>
    <row r="118" spans="1:9" x14ac:dyDescent="0.2">
      <c r="A118" s="980">
        <v>10</v>
      </c>
      <c r="B118" s="126" t="s">
        <v>678</v>
      </c>
      <c r="C118" s="338">
        <v>13</v>
      </c>
      <c r="D118" s="126"/>
      <c r="E118" s="337"/>
      <c r="F118" s="126"/>
      <c r="G118" s="126"/>
      <c r="H118" s="126"/>
    </row>
    <row r="119" spans="1:9" x14ac:dyDescent="0.2">
      <c r="A119" s="981"/>
      <c r="B119" s="330"/>
      <c r="C119" s="339" t="s">
        <v>678</v>
      </c>
      <c r="D119" s="126"/>
      <c r="E119" s="340"/>
      <c r="F119" s="333">
        <v>11</v>
      </c>
      <c r="G119" s="126"/>
      <c r="H119" s="126"/>
    </row>
    <row r="120" spans="1:9" x14ac:dyDescent="0.2">
      <c r="A120" s="980">
        <v>15</v>
      </c>
      <c r="B120" s="332" t="s">
        <v>721</v>
      </c>
      <c r="C120" s="345">
        <v>1</v>
      </c>
      <c r="D120" s="330"/>
      <c r="E120" s="126"/>
      <c r="F120" s="126"/>
      <c r="G120" s="126"/>
      <c r="H120" s="126"/>
    </row>
    <row r="121" spans="1:9" x14ac:dyDescent="0.2">
      <c r="A121" s="981"/>
      <c r="B121" s="126"/>
      <c r="C121" s="126"/>
      <c r="D121" s="126"/>
      <c r="E121" s="126"/>
      <c r="F121" s="126" t="s">
        <v>682</v>
      </c>
      <c r="G121" s="338">
        <v>13</v>
      </c>
      <c r="H121" s="65"/>
    </row>
    <row r="122" spans="1:9" ht="13.5" thickBot="1" x14ac:dyDescent="0.25">
      <c r="A122" s="981"/>
      <c r="B122" s="126"/>
      <c r="C122" s="126"/>
      <c r="D122" s="126"/>
      <c r="E122" s="126"/>
      <c r="F122" s="336"/>
      <c r="G122" s="344"/>
      <c r="H122" s="364" t="s">
        <v>682</v>
      </c>
    </row>
    <row r="123" spans="1:9" x14ac:dyDescent="0.2">
      <c r="A123" s="126"/>
      <c r="B123" s="126"/>
      <c r="C123" s="126"/>
      <c r="D123" s="126"/>
      <c r="E123" s="126"/>
      <c r="F123" s="340" t="s">
        <v>678</v>
      </c>
      <c r="G123" s="333">
        <v>11</v>
      </c>
      <c r="H123" s="346" t="s">
        <v>421</v>
      </c>
      <c r="I123" s="490"/>
    </row>
    <row r="124" spans="1:9" x14ac:dyDescent="0.2">
      <c r="A124" s="126"/>
      <c r="B124" s="126"/>
      <c r="C124" s="126"/>
      <c r="D124" s="126"/>
      <c r="E124" s="126"/>
      <c r="F124" s="126"/>
      <c r="G124" s="126"/>
      <c r="H124" s="65"/>
      <c r="I124" s="207"/>
    </row>
    <row r="125" spans="1:9" ht="13.5" thickBot="1" x14ac:dyDescent="0.25">
      <c r="A125" s="126"/>
      <c r="B125" s="126"/>
      <c r="C125" s="126"/>
      <c r="D125" s="126"/>
      <c r="E125" s="126"/>
      <c r="F125" s="126"/>
      <c r="G125" s="126"/>
      <c r="H125" s="364" t="s">
        <v>678</v>
      </c>
      <c r="I125" s="491"/>
    </row>
    <row r="126" spans="1:9" x14ac:dyDescent="0.2">
      <c r="A126" s="126"/>
      <c r="B126" s="126"/>
      <c r="C126" s="354" t="s">
        <v>729</v>
      </c>
      <c r="D126" s="126"/>
      <c r="E126" s="126"/>
      <c r="F126" s="333">
        <v>0</v>
      </c>
      <c r="G126" s="126"/>
      <c r="H126" s="64" t="s">
        <v>645</v>
      </c>
    </row>
    <row r="127" spans="1:9" x14ac:dyDescent="0.2">
      <c r="A127" s="126"/>
      <c r="B127" s="126"/>
      <c r="C127" s="330"/>
      <c r="D127" s="330"/>
      <c r="E127" s="336"/>
      <c r="F127" s="887" t="s">
        <v>683</v>
      </c>
      <c r="G127" s="333">
        <v>13</v>
      </c>
      <c r="H127" s="126"/>
    </row>
    <row r="128" spans="1:9" x14ac:dyDescent="0.2">
      <c r="A128" s="126"/>
      <c r="B128" s="126"/>
      <c r="C128" s="886" t="s">
        <v>683</v>
      </c>
      <c r="D128" s="332"/>
      <c r="E128" s="340"/>
      <c r="F128" s="492">
        <v>13</v>
      </c>
      <c r="G128" s="126"/>
      <c r="H128" s="126"/>
    </row>
    <row r="129" spans="1:9" ht="13.5" thickBot="1" x14ac:dyDescent="0.25">
      <c r="A129" s="126"/>
      <c r="B129" s="126"/>
      <c r="C129" s="126"/>
      <c r="D129" s="126"/>
      <c r="E129" s="126"/>
      <c r="F129" s="337"/>
      <c r="G129" s="126"/>
      <c r="H129" s="354" t="s">
        <v>683</v>
      </c>
    </row>
    <row r="130" spans="1:9" x14ac:dyDescent="0.2">
      <c r="A130" s="126"/>
      <c r="B130" s="126"/>
      <c r="C130" s="126" t="s">
        <v>684</v>
      </c>
      <c r="D130" s="126"/>
      <c r="E130" s="126"/>
      <c r="F130" s="487">
        <v>13</v>
      </c>
      <c r="G130" s="343"/>
      <c r="H130" s="342" t="s">
        <v>646</v>
      </c>
      <c r="I130" s="490"/>
    </row>
    <row r="131" spans="1:9" x14ac:dyDescent="0.2">
      <c r="A131" s="126"/>
      <c r="B131" s="126"/>
      <c r="C131" s="330"/>
      <c r="D131" s="330"/>
      <c r="E131" s="336"/>
      <c r="F131" s="493" t="s">
        <v>684</v>
      </c>
      <c r="G131" s="338">
        <v>8</v>
      </c>
      <c r="H131" s="126"/>
      <c r="I131" s="207"/>
    </row>
    <row r="132" spans="1:9" ht="13.5" thickBot="1" x14ac:dyDescent="0.25">
      <c r="A132" s="126"/>
      <c r="B132" s="126"/>
      <c r="C132" s="332" t="s">
        <v>721</v>
      </c>
      <c r="D132" s="332"/>
      <c r="E132" s="340"/>
      <c r="F132" s="494">
        <v>6</v>
      </c>
      <c r="G132" s="65"/>
      <c r="H132" s="884" t="s">
        <v>684</v>
      </c>
      <c r="I132" s="491"/>
    </row>
    <row r="133" spans="1:9" x14ac:dyDescent="0.2">
      <c r="A133" s="126"/>
      <c r="B133" s="126"/>
      <c r="C133" s="126"/>
      <c r="D133" s="126"/>
      <c r="E133" s="126"/>
      <c r="F133" s="126"/>
      <c r="G133" s="65"/>
      <c r="H133" s="342" t="s">
        <v>647</v>
      </c>
    </row>
    <row r="134" spans="1:9" x14ac:dyDescent="0.2">
      <c r="A134" s="126"/>
      <c r="B134" s="126"/>
      <c r="C134" s="126"/>
      <c r="D134" s="126"/>
      <c r="E134" s="126"/>
      <c r="F134" s="354" t="s">
        <v>729</v>
      </c>
      <c r="G134" s="338">
        <v>0</v>
      </c>
      <c r="H134" s="65"/>
    </row>
    <row r="135" spans="1:9" ht="13.5" thickBot="1" x14ac:dyDescent="0.25">
      <c r="A135" s="126"/>
      <c r="B135" s="126"/>
      <c r="C135" s="126"/>
      <c r="D135" s="126"/>
      <c r="E135" s="126"/>
      <c r="F135" s="336"/>
      <c r="G135" s="344"/>
      <c r="H135" s="364" t="s">
        <v>721</v>
      </c>
    </row>
    <row r="136" spans="1:9" x14ac:dyDescent="0.2">
      <c r="A136" s="126"/>
      <c r="B136" s="126"/>
      <c r="C136" s="126"/>
      <c r="D136" s="126"/>
      <c r="E136" s="126"/>
      <c r="F136" s="340" t="s">
        <v>721</v>
      </c>
      <c r="G136" s="333">
        <v>13</v>
      </c>
      <c r="H136" s="346" t="s">
        <v>648</v>
      </c>
      <c r="I136" s="490"/>
    </row>
    <row r="137" spans="1:9" x14ac:dyDescent="0.2">
      <c r="A137" s="126"/>
      <c r="B137" s="126"/>
      <c r="C137" s="126"/>
      <c r="D137" s="126"/>
      <c r="E137" s="126"/>
      <c r="F137" s="126"/>
      <c r="G137" s="126"/>
      <c r="H137" s="65"/>
      <c r="I137" s="207"/>
    </row>
    <row r="138" spans="1:9" ht="13.5" thickBot="1" x14ac:dyDescent="0.25">
      <c r="A138" s="126"/>
      <c r="B138" s="126"/>
      <c r="C138" s="126"/>
      <c r="D138" s="126"/>
      <c r="E138" s="126"/>
      <c r="F138" s="126"/>
      <c r="G138" s="126"/>
      <c r="H138" s="344"/>
      <c r="I138" s="491"/>
    </row>
    <row r="139" spans="1:9" x14ac:dyDescent="0.2">
      <c r="A139" s="126"/>
      <c r="B139" s="126"/>
      <c r="C139" s="126"/>
      <c r="D139" s="126"/>
      <c r="E139" s="126"/>
      <c r="F139" s="126"/>
      <c r="G139" s="126"/>
      <c r="H139" s="64"/>
    </row>
    <row r="140" spans="1:9" x14ac:dyDescent="0.2">
      <c r="A140" s="126"/>
      <c r="B140" s="126"/>
      <c r="C140" s="126"/>
      <c r="D140" s="126"/>
      <c r="E140" s="126"/>
      <c r="F140" s="126"/>
      <c r="G140" s="126"/>
      <c r="H140" s="126"/>
    </row>
    <row r="141" spans="1:9" x14ac:dyDescent="0.2">
      <c r="A141" s="66">
        <v>1</v>
      </c>
      <c r="B141" s="67" t="s">
        <v>673</v>
      </c>
      <c r="C141" s="121"/>
      <c r="D141" s="121"/>
      <c r="E141" s="121"/>
      <c r="F141" s="121"/>
      <c r="G141" s="121"/>
      <c r="H141" s="121"/>
    </row>
    <row r="142" spans="1:9" x14ac:dyDescent="0.2">
      <c r="A142" s="66">
        <v>2</v>
      </c>
      <c r="B142" s="127" t="s">
        <v>680</v>
      </c>
      <c r="C142" s="121"/>
      <c r="D142" s="121"/>
      <c r="E142" s="121"/>
      <c r="F142" s="121"/>
      <c r="G142" s="121"/>
      <c r="H142" s="121"/>
    </row>
    <row r="143" spans="1:9" x14ac:dyDescent="0.2">
      <c r="A143" s="66">
        <v>3</v>
      </c>
      <c r="B143" s="128" t="s">
        <v>685</v>
      </c>
      <c r="C143" s="121"/>
      <c r="D143" s="121"/>
      <c r="E143" s="121"/>
      <c r="F143" s="121"/>
      <c r="G143" s="121"/>
      <c r="H143" s="121"/>
    </row>
    <row r="144" spans="1:9" x14ac:dyDescent="0.2">
      <c r="A144" s="66">
        <v>4</v>
      </c>
      <c r="B144" s="98" t="s">
        <v>675</v>
      </c>
      <c r="C144" s="121"/>
      <c r="D144" s="121"/>
      <c r="E144" s="121"/>
      <c r="F144" s="121"/>
      <c r="G144" s="121"/>
      <c r="H144" s="121"/>
    </row>
    <row r="145" spans="1:8" x14ac:dyDescent="0.2">
      <c r="A145" s="66">
        <v>5</v>
      </c>
      <c r="B145" s="124" t="s">
        <v>676</v>
      </c>
      <c r="C145" s="121"/>
      <c r="D145" s="121"/>
      <c r="E145" s="121"/>
      <c r="F145" s="121"/>
      <c r="G145" s="121"/>
      <c r="H145" s="121"/>
    </row>
    <row r="146" spans="1:8" x14ac:dyDescent="0.2">
      <c r="A146" s="66">
        <v>6</v>
      </c>
      <c r="B146" s="124" t="s">
        <v>681</v>
      </c>
      <c r="C146" s="121"/>
      <c r="D146" s="121"/>
      <c r="E146" s="121"/>
      <c r="F146" s="121"/>
      <c r="G146" s="121"/>
      <c r="H146" s="121"/>
    </row>
    <row r="147" spans="1:8" x14ac:dyDescent="0.2">
      <c r="A147" s="66">
        <v>7</v>
      </c>
      <c r="B147" s="124" t="s">
        <v>632</v>
      </c>
      <c r="C147" s="121"/>
      <c r="D147" s="121"/>
      <c r="E147" s="121"/>
      <c r="F147" s="121"/>
      <c r="G147" s="121"/>
      <c r="H147" s="121"/>
    </row>
    <row r="148" spans="1:8" x14ac:dyDescent="0.2">
      <c r="A148" s="66">
        <v>8</v>
      </c>
      <c r="B148" s="124" t="s">
        <v>677</v>
      </c>
      <c r="C148" s="121"/>
      <c r="D148" s="121"/>
      <c r="E148" s="121"/>
      <c r="F148" s="121"/>
      <c r="G148" s="121"/>
      <c r="H148" s="121"/>
    </row>
    <row r="149" spans="1:8" x14ac:dyDescent="0.2">
      <c r="A149" s="66">
        <v>9</v>
      </c>
      <c r="B149" s="136" t="s">
        <v>679</v>
      </c>
      <c r="C149" s="121"/>
      <c r="D149" s="121"/>
      <c r="E149" s="121"/>
      <c r="F149" s="121"/>
      <c r="G149" s="121"/>
      <c r="H149" s="121"/>
    </row>
    <row r="150" spans="1:8" x14ac:dyDescent="0.2">
      <c r="A150" s="66">
        <v>10</v>
      </c>
      <c r="B150" s="136" t="s">
        <v>674</v>
      </c>
      <c r="C150" s="121"/>
      <c r="D150" s="121"/>
      <c r="E150" s="121"/>
      <c r="F150" s="121"/>
      <c r="G150" s="121"/>
      <c r="H150" s="121"/>
    </row>
    <row r="151" spans="1:8" x14ac:dyDescent="0.2">
      <c r="A151" s="66">
        <v>11</v>
      </c>
      <c r="B151" s="123" t="s">
        <v>682</v>
      </c>
      <c r="C151" s="121"/>
      <c r="D151" s="121"/>
      <c r="E151" s="121"/>
      <c r="F151" s="121"/>
      <c r="G151" s="121"/>
      <c r="H151" s="121"/>
    </row>
    <row r="152" spans="1:8" x14ac:dyDescent="0.2">
      <c r="A152" s="66">
        <v>12</v>
      </c>
      <c r="B152" s="136" t="s">
        <v>678</v>
      </c>
      <c r="C152" s="121"/>
      <c r="D152" s="121"/>
      <c r="E152" s="121"/>
      <c r="F152" s="121"/>
      <c r="G152" s="121"/>
      <c r="H152" s="121"/>
    </row>
    <row r="153" spans="1:8" x14ac:dyDescent="0.2">
      <c r="A153" s="66">
        <v>13</v>
      </c>
      <c r="B153" s="122" t="s">
        <v>683</v>
      </c>
      <c r="C153" s="121"/>
      <c r="D153" s="121"/>
      <c r="E153" s="121"/>
      <c r="F153" s="121"/>
      <c r="G153" s="121"/>
      <c r="H153" s="121"/>
    </row>
    <row r="154" spans="1:8" x14ac:dyDescent="0.2">
      <c r="A154" s="66">
        <v>14</v>
      </c>
      <c r="B154" s="123" t="s">
        <v>684</v>
      </c>
    </row>
    <row r="155" spans="1:8" x14ac:dyDescent="0.2">
      <c r="A155" s="66">
        <v>15</v>
      </c>
      <c r="B155" s="136" t="s">
        <v>721</v>
      </c>
    </row>
  </sheetData>
  <conditionalFormatting sqref="B74 B84:E84 B69:F73 B75:F83 D74:F74 B85:F99 G69:G99 B106:G136 D7:D15 D17:D25 D27:D35 D37:D65">
    <cfRule type="cellIs" dxfId="490" priority="3" stopIfTrue="1" operator="equal">
      <formula>13</formula>
    </cfRule>
  </conditionalFormatting>
  <pageMargins left="0.31496062992125984" right="0.31496062992125984" top="0.78740157480314965" bottom="0.39370078740157483" header="0.59055118110236227" footer="0"/>
  <pageSetup paperSize="9" fitToHeight="0" orientation="landscape" r:id="rId1"/>
  <headerFooter>
    <oddHeader>&amp;RPage &amp;P of &amp;N</oddHeader>
  </headerFooter>
  <rowBreaks count="4" manualBreakCount="4">
    <brk id="34" max="16383" man="1"/>
    <brk id="65" max="16383" man="1"/>
    <brk id="102" max="16383" man="1"/>
    <brk id="1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M195"/>
  <sheetViews>
    <sheetView showGridLines="0" showRowColHeaders="0" zoomScaleNormal="100" workbookViewId="0">
      <pane ySplit="2" topLeftCell="A3" activePane="bottomLeft" state="frozen"/>
      <selection pane="bottomLeft" activeCell="K1" sqref="K1"/>
    </sheetView>
  </sheetViews>
  <sheetFormatPr defaultRowHeight="12.75" x14ac:dyDescent="0.2"/>
  <cols>
    <col min="1" max="1" width="3.28515625" style="97" customWidth="1"/>
    <col min="2" max="2" width="18.7109375" style="97" bestFit="1" customWidth="1"/>
    <col min="3" max="4" width="7.42578125" style="97" bestFit="1" customWidth="1"/>
    <col min="5" max="5" width="9.28515625" style="97" bestFit="1" customWidth="1"/>
    <col min="6" max="6" width="6.7109375" style="97" bestFit="1" customWidth="1"/>
    <col min="7" max="7" width="7" style="97" bestFit="1" customWidth="1"/>
    <col min="8" max="8" width="9.140625" style="97"/>
    <col min="9" max="9" width="3.28515625" style="97" customWidth="1"/>
    <col min="10" max="10" width="18.7109375" style="97" bestFit="1" customWidth="1"/>
    <col min="11" max="11" width="7.28515625" style="97" bestFit="1" customWidth="1"/>
    <col min="12" max="12" width="8" style="97" bestFit="1" customWidth="1"/>
    <col min="13" max="13" width="9.140625" style="97"/>
    <col min="14" max="14" width="6.7109375" style="97" bestFit="1" customWidth="1"/>
    <col min="15" max="15" width="5.140625" style="97" bestFit="1" customWidth="1"/>
    <col min="16" max="16384" width="9.140625" style="97"/>
  </cols>
  <sheetData>
    <row r="1" spans="1:11" x14ac:dyDescent="0.2">
      <c r="A1" s="117" t="str">
        <f>UPPER((Kalend!E12)&amp;" - "&amp;(Kalend!C12)&amp;" - "&amp;(Kalend!D12))</f>
        <v>4M - 27. EESTI MV - ÜKSIK</v>
      </c>
      <c r="E1" s="227" t="s">
        <v>168</v>
      </c>
      <c r="I1" s="85" t="str">
        <f>HYPERLINK("#Üldreiting!I1","Reiting")</f>
        <v>Reiting</v>
      </c>
      <c r="J1" s="206"/>
      <c r="K1" s="206"/>
    </row>
    <row r="2" spans="1:11" x14ac:dyDescent="0.2">
      <c r="A2" s="116" t="str">
        <f>"Toimumisaeg: "&amp;(Kalend!A12)&amp;" kell "&amp;(Kalend!B12)</f>
        <v>Toimumisaeg: L, 10.06.2017 kell 10:30</v>
      </c>
    </row>
    <row r="3" spans="1:11" x14ac:dyDescent="0.2">
      <c r="A3" s="116" t="str">
        <f>"Toimumiskoht: "&amp;(Kalend!H12)</f>
        <v>Toimumiskoht: Jõhvi, Neptun</v>
      </c>
    </row>
    <row r="4" spans="1:11" x14ac:dyDescent="0.2">
      <c r="A4" s="116" t="str">
        <f>"Korraldaja: "&amp;(Kalend!I12)</f>
        <v>Korraldaja: Kohtla-Järve SHK, Ivar Viljaste</v>
      </c>
    </row>
    <row r="5" spans="1:11" s="206" customFormat="1" x14ac:dyDescent="0.2">
      <c r="A5" s="116"/>
    </row>
    <row r="6" spans="1:11" s="206" customFormat="1" x14ac:dyDescent="0.2">
      <c r="A6" s="678" t="s">
        <v>402</v>
      </c>
      <c r="B6" s="679"/>
      <c r="C6" s="680" t="s">
        <v>728</v>
      </c>
      <c r="D6" s="630" t="s">
        <v>404</v>
      </c>
      <c r="E6" s="630" t="s">
        <v>405</v>
      </c>
      <c r="F6" s="680" t="s">
        <v>406</v>
      </c>
      <c r="G6" s="680" t="s">
        <v>26</v>
      </c>
    </row>
    <row r="7" spans="1:11" s="206" customFormat="1" x14ac:dyDescent="0.2">
      <c r="A7" s="630">
        <v>1</v>
      </c>
      <c r="B7" s="453" t="s">
        <v>35</v>
      </c>
      <c r="C7" s="321">
        <v>13</v>
      </c>
      <c r="D7" s="321">
        <v>8</v>
      </c>
      <c r="E7" s="321"/>
      <c r="F7" s="321">
        <v>13</v>
      </c>
      <c r="G7" s="321" t="str">
        <f>IF(AND(COUNTIF(C7:F7,13)=0,COUNT(C7:F7)=2),"IV",IF(AND(COUNTIF(C7:F7,13)=1,COUNT(C7:F7)=3),"III",IF(AND(COUNTIF(C7:F7,13)=2,COUNT(C7:F7)=3),"II",IF(AND(COUNTIF(C7:F7,13)=2,COUNT(C7:F7)=2),"I"))))</f>
        <v>II</v>
      </c>
    </row>
    <row r="8" spans="1:11" s="206" customFormat="1" x14ac:dyDescent="0.2">
      <c r="A8" s="630">
        <v>2</v>
      </c>
      <c r="B8" s="360" t="s">
        <v>57</v>
      </c>
      <c r="C8" s="321">
        <v>12</v>
      </c>
      <c r="D8" s="321"/>
      <c r="E8" s="321">
        <v>13</v>
      </c>
      <c r="F8" s="321">
        <v>7</v>
      </c>
      <c r="G8" s="321" t="str">
        <f>IF(AND(COUNTIF(C8:F8,13)=0,COUNT(C8:F8)=2),"IV",IF(AND(COUNTIF(C8:F8,13)=1,COUNT(C8:F8)=3),"III",IF(AND(COUNTIF(C8:F8,13)=2,COUNT(C8:F8)=3),"II",IF(AND(COUNTIF(C8:F8,13)=2,COUNT(C8:F8)=2),"I"))))</f>
        <v>III</v>
      </c>
    </row>
    <row r="9" spans="1:11" s="206" customFormat="1" x14ac:dyDescent="0.2">
      <c r="A9" s="630">
        <v>3</v>
      </c>
      <c r="B9" s="360" t="s">
        <v>60</v>
      </c>
      <c r="C9" s="321">
        <v>13</v>
      </c>
      <c r="D9" s="321">
        <v>13</v>
      </c>
      <c r="E9" s="321"/>
      <c r="F9" s="321"/>
      <c r="G9" s="321" t="str">
        <f>IF(AND(COUNTIF(C9:F9,13)=0,COUNT(C9:F9)=2),"IV",IF(AND(COUNTIF(C9:F9,13)=1,COUNT(C9:F9)=3),"III",IF(AND(COUNTIF(C9:F9,13)=2,COUNT(C9:F9)=3),"II",IF(AND(COUNTIF(C9:F9,13)=2,COUNT(C9:F9)=2),"I"))))</f>
        <v>I</v>
      </c>
    </row>
    <row r="10" spans="1:11" s="206" customFormat="1" x14ac:dyDescent="0.2">
      <c r="A10" s="630">
        <v>4</v>
      </c>
      <c r="B10" s="355"/>
      <c r="C10" s="321">
        <f>IF(ISBLANK(B10),0)</f>
        <v>0</v>
      </c>
      <c r="D10" s="321"/>
      <c r="E10" s="321">
        <f>IF(ISBLANK(B10),0)</f>
        <v>0</v>
      </c>
      <c r="F10" s="321"/>
      <c r="G10" s="321"/>
    </row>
    <row r="11" spans="1:11" s="206" customFormat="1" x14ac:dyDescent="0.2">
      <c r="A11" s="116"/>
    </row>
    <row r="12" spans="1:11" s="206" customFormat="1" x14ac:dyDescent="0.2">
      <c r="A12" s="678" t="s">
        <v>407</v>
      </c>
      <c r="B12" s="679"/>
      <c r="C12" s="680" t="s">
        <v>728</v>
      </c>
      <c r="D12" s="630" t="s">
        <v>404</v>
      </c>
      <c r="E12" s="630" t="s">
        <v>405</v>
      </c>
      <c r="F12" s="680" t="s">
        <v>406</v>
      </c>
      <c r="G12" s="680" t="s">
        <v>26</v>
      </c>
    </row>
    <row r="13" spans="1:11" s="206" customFormat="1" x14ac:dyDescent="0.2">
      <c r="A13" s="630">
        <v>1</v>
      </c>
      <c r="B13" s="453" t="s">
        <v>31</v>
      </c>
      <c r="C13" s="321">
        <v>4</v>
      </c>
      <c r="D13" s="321"/>
      <c r="E13" s="321">
        <v>13</v>
      </c>
      <c r="F13" s="321">
        <v>13</v>
      </c>
      <c r="G13" s="321" t="str">
        <f>IF(AND(COUNTIF(C13:F13,13)=0,COUNT(C13:F13)=2),"IV",IF(AND(COUNTIF(C13:F13,13)=1,COUNT(C13:F13)=3),"III",IF(AND(COUNTIF(C13:F13,13)=2,COUNT(C13:F13)=3),"II",IF(AND(COUNTIF(C13:F13,13)=2,COUNT(C13:F13)=2),"I"))))</f>
        <v>II</v>
      </c>
    </row>
    <row r="14" spans="1:11" s="206" customFormat="1" x14ac:dyDescent="0.2">
      <c r="A14" s="630">
        <v>2</v>
      </c>
      <c r="B14" s="360" t="s">
        <v>51</v>
      </c>
      <c r="C14" s="321">
        <v>6</v>
      </c>
      <c r="D14" s="321"/>
      <c r="E14" s="321">
        <v>9</v>
      </c>
      <c r="F14" s="321"/>
      <c r="G14" s="321" t="str">
        <f>IF(AND(COUNTIF(C14:F14,13)=0,COUNT(C14:F14)=2),"IV",IF(AND(COUNTIF(C14:F14,13)=1,COUNT(C14:F14)=3),"III",IF(AND(COUNTIF(C14:F14,13)=2,COUNT(C14:F14)=3),"II",IF(AND(COUNTIF(C14:F14,13)=2,COUNT(C14:F14)=2),"I"))))</f>
        <v>IV</v>
      </c>
    </row>
    <row r="15" spans="1:11" s="206" customFormat="1" x14ac:dyDescent="0.2">
      <c r="A15" s="630">
        <v>3</v>
      </c>
      <c r="B15" s="360" t="s">
        <v>145</v>
      </c>
      <c r="C15" s="321">
        <v>13</v>
      </c>
      <c r="D15" s="321">
        <v>9</v>
      </c>
      <c r="E15" s="321"/>
      <c r="F15" s="321">
        <v>8</v>
      </c>
      <c r="G15" s="321" t="str">
        <f>IF(AND(COUNTIF(C15:F15,13)=0,COUNT(C15:F15)=2),"IV",IF(AND(COUNTIF(C15:F15,13)=1,COUNT(C15:F15)=3),"III",IF(AND(COUNTIF(C15:F15,13)=2,COUNT(C15:F15)=3),"II",IF(AND(COUNTIF(C15:F15,13)=2,COUNT(C15:F15)=2),"I"))))</f>
        <v>III</v>
      </c>
    </row>
    <row r="16" spans="1:11" s="206" customFormat="1" x14ac:dyDescent="0.2">
      <c r="A16" s="630">
        <v>4</v>
      </c>
      <c r="B16" s="355" t="s">
        <v>176</v>
      </c>
      <c r="C16" s="321">
        <v>13</v>
      </c>
      <c r="D16" s="321">
        <v>13</v>
      </c>
      <c r="E16" s="321"/>
      <c r="F16" s="321"/>
      <c r="G16" s="321" t="str">
        <f>IF(AND(COUNTIF(C16:F16,13)=0,COUNT(C16:F16)=2),"IV",IF(AND(COUNTIF(C16:F16,13)=1,COUNT(C16:F16)=3),"III",IF(AND(COUNTIF(C16:F16,13)=2,COUNT(C16:F16)=3),"II",IF(AND(COUNTIF(C16:F16,13)=2,COUNT(C16:F16)=2),"I"))))</f>
        <v>I</v>
      </c>
    </row>
    <row r="17" spans="1:7" s="206" customFormat="1" x14ac:dyDescent="0.2">
      <c r="A17" s="116"/>
    </row>
    <row r="18" spans="1:7" s="206" customFormat="1" x14ac:dyDescent="0.2">
      <c r="A18" s="678" t="s">
        <v>408</v>
      </c>
      <c r="B18" s="679"/>
      <c r="C18" s="680" t="s">
        <v>728</v>
      </c>
      <c r="D18" s="630" t="s">
        <v>404</v>
      </c>
      <c r="E18" s="630" t="s">
        <v>405</v>
      </c>
      <c r="F18" s="680" t="s">
        <v>406</v>
      </c>
      <c r="G18" s="680" t="s">
        <v>26</v>
      </c>
    </row>
    <row r="19" spans="1:7" s="206" customFormat="1" x14ac:dyDescent="0.2">
      <c r="A19" s="630">
        <v>1</v>
      </c>
      <c r="B19" s="453" t="s">
        <v>38</v>
      </c>
      <c r="C19" s="321">
        <v>13</v>
      </c>
      <c r="D19" s="321">
        <v>13</v>
      </c>
      <c r="E19" s="321"/>
      <c r="F19" s="321"/>
      <c r="G19" s="321" t="str">
        <f>IF(AND(COUNTIF(C19:F19,13)=0,COUNT(C19:F19)=2),"IV",IF(AND(COUNTIF(C19:F19,13)=1,COUNT(C19:F19)=3),"III",IF(AND(COUNTIF(C19:F19,13)=2,COUNT(C19:F19)=3),"II",IF(AND(COUNTIF(C19:F19,13)=2,COUNT(C19:F19)=2),"I"))))</f>
        <v>I</v>
      </c>
    </row>
    <row r="20" spans="1:7" s="206" customFormat="1" x14ac:dyDescent="0.2">
      <c r="A20" s="630">
        <v>2</v>
      </c>
      <c r="B20" s="360" t="s">
        <v>327</v>
      </c>
      <c r="C20" s="321">
        <v>5</v>
      </c>
      <c r="D20" s="321"/>
      <c r="E20" s="321">
        <v>13</v>
      </c>
      <c r="F20" s="321">
        <v>9</v>
      </c>
      <c r="G20" s="321" t="str">
        <f>IF(AND(COUNTIF(C20:F20,13)=0,COUNT(C20:F20)=2),"IV",IF(AND(COUNTIF(C20:F20,13)=1,COUNT(C20:F20)=3),"III",IF(AND(COUNTIF(C20:F20,13)=2,COUNT(C20:F20)=3),"II",IF(AND(COUNTIF(C20:F20,13)=2,COUNT(C20:F20)=2),"I"))))</f>
        <v>III</v>
      </c>
    </row>
    <row r="21" spans="1:7" s="206" customFormat="1" x14ac:dyDescent="0.2">
      <c r="A21" s="630">
        <v>3</v>
      </c>
      <c r="B21" s="360" t="s">
        <v>209</v>
      </c>
      <c r="C21" s="321">
        <v>13</v>
      </c>
      <c r="D21" s="321">
        <v>10</v>
      </c>
      <c r="E21" s="321"/>
      <c r="F21" s="321">
        <v>13</v>
      </c>
      <c r="G21" s="321" t="str">
        <f>IF(AND(COUNTIF(C21:F21,13)=0,COUNT(C21:F21)=2),"IV",IF(AND(COUNTIF(C21:F21,13)=1,COUNT(C21:F21)=3),"III",IF(AND(COUNTIF(C21:F21,13)=2,COUNT(C21:F21)=3),"II",IF(AND(COUNTIF(C21:F21,13)=2,COUNT(C21:F21)=2),"I"))))</f>
        <v>II</v>
      </c>
    </row>
    <row r="22" spans="1:7" s="206" customFormat="1" x14ac:dyDescent="0.2">
      <c r="A22" s="630">
        <v>4</v>
      </c>
      <c r="B22" s="355"/>
      <c r="C22" s="321">
        <f>IF(ISBLANK(B22),0)</f>
        <v>0</v>
      </c>
      <c r="D22" s="321"/>
      <c r="E22" s="321">
        <f>IF(ISBLANK(B22),0)</f>
        <v>0</v>
      </c>
      <c r="F22" s="321"/>
      <c r="G22" s="321"/>
    </row>
    <row r="23" spans="1:7" s="206" customFormat="1" x14ac:dyDescent="0.2">
      <c r="A23" s="116"/>
    </row>
    <row r="24" spans="1:7" s="206" customFormat="1" x14ac:dyDescent="0.2">
      <c r="A24" s="678" t="s">
        <v>409</v>
      </c>
      <c r="B24" s="679"/>
      <c r="C24" s="680" t="s">
        <v>728</v>
      </c>
      <c r="D24" s="630" t="s">
        <v>404</v>
      </c>
      <c r="E24" s="630" t="s">
        <v>405</v>
      </c>
      <c r="F24" s="680" t="s">
        <v>406</v>
      </c>
      <c r="G24" s="680" t="s">
        <v>26</v>
      </c>
    </row>
    <row r="25" spans="1:7" s="206" customFormat="1" x14ac:dyDescent="0.2">
      <c r="A25" s="630">
        <v>1</v>
      </c>
      <c r="B25" s="453" t="s">
        <v>167</v>
      </c>
      <c r="C25" s="321">
        <v>13</v>
      </c>
      <c r="D25" s="321">
        <v>10</v>
      </c>
      <c r="E25" s="321"/>
      <c r="F25" s="321">
        <v>3</v>
      </c>
      <c r="G25" s="321" t="str">
        <f>IF(AND(COUNTIF(C25:F25,13)=0,COUNT(C25:F25)=2),"IV",IF(AND(COUNTIF(C25:F25,13)=1,COUNT(C25:F25)=3),"III",IF(AND(COUNTIF(C25:F25,13)=2,COUNT(C25:F25)=3),"II",IF(AND(COUNTIF(C25:F25,13)=2,COUNT(C25:F25)=2),"I"))))</f>
        <v>III</v>
      </c>
    </row>
    <row r="26" spans="1:7" s="206" customFormat="1" x14ac:dyDescent="0.2">
      <c r="A26" s="630">
        <v>2</v>
      </c>
      <c r="B26" s="360" t="s">
        <v>172</v>
      </c>
      <c r="C26" s="321">
        <v>4</v>
      </c>
      <c r="D26" s="321"/>
      <c r="E26" s="321">
        <v>13</v>
      </c>
      <c r="F26" s="321">
        <v>13</v>
      </c>
      <c r="G26" s="321" t="str">
        <f>IF(AND(COUNTIF(C26:F26,13)=0,COUNT(C26:F26)=2),"IV",IF(AND(COUNTIF(C26:F26,13)=1,COUNT(C26:F26)=3),"III",IF(AND(COUNTIF(C26:F26,13)=2,COUNT(C26:F26)=3),"II",IF(AND(COUNTIF(C26:F26,13)=2,COUNT(C26:F26)=2),"I"))))</f>
        <v>II</v>
      </c>
    </row>
    <row r="27" spans="1:7" s="206" customFormat="1" x14ac:dyDescent="0.2">
      <c r="A27" s="630">
        <v>3</v>
      </c>
      <c r="B27" s="360" t="s">
        <v>41</v>
      </c>
      <c r="C27" s="321">
        <v>13</v>
      </c>
      <c r="D27" s="321">
        <v>13</v>
      </c>
      <c r="E27" s="321"/>
      <c r="F27" s="321"/>
      <c r="G27" s="321" t="str">
        <f>IF(AND(COUNTIF(C27:F27,13)=0,COUNT(C27:F27)=2),"IV",IF(AND(COUNTIF(C27:F27,13)=1,COUNT(C27:F27)=3),"III",IF(AND(COUNTIF(C27:F27,13)=2,COUNT(C27:F27)=3),"II",IF(AND(COUNTIF(C27:F27,13)=2,COUNT(C27:F27)=2),"I"))))</f>
        <v>I</v>
      </c>
    </row>
    <row r="28" spans="1:7" s="206" customFormat="1" x14ac:dyDescent="0.2">
      <c r="A28" s="630">
        <v>4</v>
      </c>
      <c r="B28" s="355"/>
      <c r="C28" s="321">
        <f>IF(ISBLANK(B28),0)</f>
        <v>0</v>
      </c>
      <c r="D28" s="321"/>
      <c r="E28" s="321">
        <f>IF(ISBLANK(B28),0)</f>
        <v>0</v>
      </c>
      <c r="F28" s="321"/>
      <c r="G28" s="321"/>
    </row>
    <row r="29" spans="1:7" s="206" customFormat="1" x14ac:dyDescent="0.2">
      <c r="A29" s="116"/>
    </row>
    <row r="30" spans="1:7" s="206" customFormat="1" x14ac:dyDescent="0.2">
      <c r="A30" s="678" t="s">
        <v>642</v>
      </c>
      <c r="B30" s="679"/>
      <c r="C30" s="680" t="s">
        <v>728</v>
      </c>
      <c r="D30" s="630" t="s">
        <v>404</v>
      </c>
      <c r="E30" s="630" t="s">
        <v>405</v>
      </c>
      <c r="F30" s="680" t="s">
        <v>406</v>
      </c>
      <c r="G30" s="680" t="s">
        <v>26</v>
      </c>
    </row>
    <row r="31" spans="1:7" s="206" customFormat="1" x14ac:dyDescent="0.2">
      <c r="A31" s="630">
        <v>1</v>
      </c>
      <c r="B31" s="453" t="s">
        <v>182</v>
      </c>
      <c r="C31" s="321">
        <v>13</v>
      </c>
      <c r="D31" s="321">
        <v>7</v>
      </c>
      <c r="E31" s="321"/>
      <c r="F31" s="321">
        <v>13</v>
      </c>
      <c r="G31" s="321" t="str">
        <f>IF(AND(COUNTIF(C31:F31,13)=0,COUNT(C31:F31)=2),"IV",IF(AND(COUNTIF(C31:F31,13)=1,COUNT(C31:F31)=3),"III",IF(AND(COUNTIF(C31:F31,13)=2,COUNT(C31:F31)=3),"II",IF(AND(COUNTIF(C31:F31,13)=2,COUNT(C31:F31)=2),"I"))))</f>
        <v>II</v>
      </c>
    </row>
    <row r="32" spans="1:7" s="206" customFormat="1" x14ac:dyDescent="0.2">
      <c r="A32" s="630">
        <v>2</v>
      </c>
      <c r="B32" s="360" t="s">
        <v>64</v>
      </c>
      <c r="C32" s="321">
        <v>13</v>
      </c>
      <c r="D32" s="321">
        <v>13</v>
      </c>
      <c r="E32" s="321"/>
      <c r="F32" s="321"/>
      <c r="G32" s="321" t="str">
        <f>IF(AND(COUNTIF(C32:F32,13)=0,COUNT(C32:F32)=2),"IV",IF(AND(COUNTIF(C32:F32,13)=1,COUNT(C32:F32)=3),"III",IF(AND(COUNTIF(C32:F32,13)=2,COUNT(C32:F32)=3),"II",IF(AND(COUNTIF(C32:F32,13)=2,COUNT(C32:F32)=2),"I"))))</f>
        <v>I</v>
      </c>
    </row>
    <row r="33" spans="1:10" s="206" customFormat="1" x14ac:dyDescent="0.2">
      <c r="A33" s="630">
        <v>3</v>
      </c>
      <c r="B33" s="360" t="s">
        <v>744</v>
      </c>
      <c r="C33" s="321">
        <v>4</v>
      </c>
      <c r="D33" s="321"/>
      <c r="E33" s="321">
        <v>13</v>
      </c>
      <c r="F33" s="321">
        <v>6</v>
      </c>
      <c r="G33" s="321" t="str">
        <f>IF(AND(COUNTIF(C33:F33,13)=0,COUNT(C33:F33)=2),"IV",IF(AND(COUNTIF(C33:F33,13)=1,COUNT(C33:F33)=3),"III",IF(AND(COUNTIF(C33:F33,13)=2,COUNT(C33:F33)=3),"II",IF(AND(COUNTIF(C33:F33,13)=2,COUNT(C33:F33)=2),"I"))))</f>
        <v>III</v>
      </c>
    </row>
    <row r="34" spans="1:10" s="206" customFormat="1" x14ac:dyDescent="0.2">
      <c r="A34" s="630">
        <v>4</v>
      </c>
      <c r="B34" s="355"/>
      <c r="C34" s="321">
        <f>IF(ISBLANK(B34),0)</f>
        <v>0</v>
      </c>
      <c r="D34" s="321"/>
      <c r="E34" s="321">
        <f>IF(ISBLANK(B34),0)</f>
        <v>0</v>
      </c>
      <c r="F34" s="321"/>
      <c r="G34" s="321"/>
    </row>
    <row r="35" spans="1:10" s="206" customFormat="1" x14ac:dyDescent="0.2">
      <c r="A35" s="116"/>
    </row>
    <row r="36" spans="1:10" s="206" customFormat="1" x14ac:dyDescent="0.2">
      <c r="A36" s="678" t="s">
        <v>643</v>
      </c>
      <c r="B36" s="679"/>
      <c r="C36" s="680" t="s">
        <v>728</v>
      </c>
      <c r="D36" s="630" t="s">
        <v>404</v>
      </c>
      <c r="E36" s="630" t="s">
        <v>405</v>
      </c>
      <c r="F36" s="680" t="s">
        <v>406</v>
      </c>
      <c r="G36" s="680" t="s">
        <v>26</v>
      </c>
    </row>
    <row r="37" spans="1:10" s="206" customFormat="1" x14ac:dyDescent="0.2">
      <c r="A37" s="630">
        <v>1</v>
      </c>
      <c r="B37" s="453" t="s">
        <v>47</v>
      </c>
      <c r="C37" s="321">
        <v>13</v>
      </c>
      <c r="D37" s="321">
        <v>8</v>
      </c>
      <c r="E37" s="321"/>
      <c r="F37" s="321">
        <v>13</v>
      </c>
      <c r="G37" s="321" t="str">
        <f>IF(AND(COUNTIF(C37:F37,13)=0,COUNT(C37:F37)=2),"IV",IF(AND(COUNTIF(C37:F37,13)=1,COUNT(C37:F37)=3),"III",IF(AND(COUNTIF(C37:F37,13)=2,COUNT(C37:F37)=3),"II",IF(AND(COUNTIF(C37:F37,13)=2,COUNT(C37:F37)=2),"I"))))</f>
        <v>II</v>
      </c>
    </row>
    <row r="38" spans="1:10" s="206" customFormat="1" x14ac:dyDescent="0.2">
      <c r="A38" s="630">
        <v>2</v>
      </c>
      <c r="B38" s="360" t="s">
        <v>164</v>
      </c>
      <c r="C38" s="321">
        <v>13</v>
      </c>
      <c r="D38" s="321">
        <v>13</v>
      </c>
      <c r="E38" s="321"/>
      <c r="F38" s="321"/>
      <c r="G38" s="321" t="str">
        <f>IF(AND(COUNTIF(C38:F38,13)=0,COUNT(C38:F38)=2),"IV",IF(AND(COUNTIF(C38:F38,13)=1,COUNT(C38:F38)=3),"III",IF(AND(COUNTIF(C38:F38,13)=2,COUNT(C38:F38)=3),"II",IF(AND(COUNTIF(C38:F38,13)=2,COUNT(C38:F38)=2),"I"))))</f>
        <v>I</v>
      </c>
    </row>
    <row r="39" spans="1:10" s="206" customFormat="1" x14ac:dyDescent="0.2">
      <c r="A39" s="630">
        <v>3</v>
      </c>
      <c r="B39" s="360" t="s">
        <v>177</v>
      </c>
      <c r="C39" s="321">
        <v>9</v>
      </c>
      <c r="D39" s="321"/>
      <c r="E39" s="321">
        <v>13</v>
      </c>
      <c r="F39" s="321">
        <v>7</v>
      </c>
      <c r="G39" s="321" t="str">
        <f>IF(AND(COUNTIF(C39:F39,13)=0,COUNT(C39:F39)=2),"IV",IF(AND(COUNTIF(C39:F39,13)=1,COUNT(C39:F39)=3),"III",IF(AND(COUNTIF(C39:F39,13)=2,COUNT(C39:F39)=3),"II",IF(AND(COUNTIF(C39:F39,13)=2,COUNT(C39:F39)=2),"I"))))</f>
        <v>III</v>
      </c>
    </row>
    <row r="40" spans="1:10" s="206" customFormat="1" x14ac:dyDescent="0.2">
      <c r="A40" s="630">
        <v>4</v>
      </c>
      <c r="B40" s="355"/>
      <c r="C40" s="321">
        <f>IF(ISBLANK(B40),0)</f>
        <v>0</v>
      </c>
      <c r="D40" s="321"/>
      <c r="E40" s="321">
        <f>IF(ISBLANK(B40),0)</f>
        <v>0</v>
      </c>
      <c r="F40" s="321"/>
      <c r="G40" s="321"/>
    </row>
    <row r="41" spans="1:10" s="206" customFormat="1" x14ac:dyDescent="0.2">
      <c r="A41" s="116"/>
    </row>
    <row r="42" spans="1:10" s="206" customFormat="1" x14ac:dyDescent="0.2">
      <c r="A42" s="678" t="s">
        <v>745</v>
      </c>
      <c r="B42" s="679"/>
      <c r="C42" s="680" t="s">
        <v>728</v>
      </c>
      <c r="D42" s="630" t="s">
        <v>404</v>
      </c>
      <c r="E42" s="630" t="s">
        <v>405</v>
      </c>
      <c r="F42" s="680" t="s">
        <v>406</v>
      </c>
      <c r="G42" s="680" t="s">
        <v>26</v>
      </c>
    </row>
    <row r="43" spans="1:10" s="206" customFormat="1" x14ac:dyDescent="0.2">
      <c r="A43" s="630">
        <v>1</v>
      </c>
      <c r="B43" s="453" t="s">
        <v>67</v>
      </c>
      <c r="C43" s="321">
        <v>13</v>
      </c>
      <c r="D43" s="321">
        <v>13</v>
      </c>
      <c r="E43" s="321"/>
      <c r="F43" s="321"/>
      <c r="G43" s="321" t="str">
        <f>IF(AND(COUNTIF(C43:F43,13)=0,COUNT(C43:F43)=2),"IV",IF(AND(COUNTIF(C43:F43,13)=1,COUNT(C43:F43)=3),"III",IF(AND(COUNTIF(C43:F43,13)=2,COUNT(C43:F43)=3),"II",IF(AND(COUNTIF(C43:F43,13)=2,COUNT(C43:F43)=2),"I"))))</f>
        <v>I</v>
      </c>
    </row>
    <row r="44" spans="1:10" s="206" customFormat="1" x14ac:dyDescent="0.2">
      <c r="A44" s="630">
        <v>2</v>
      </c>
      <c r="B44" s="360" t="s">
        <v>34</v>
      </c>
      <c r="C44" s="321">
        <v>13</v>
      </c>
      <c r="D44" s="321">
        <v>9</v>
      </c>
      <c r="E44" s="321"/>
      <c r="F44" s="321">
        <v>13</v>
      </c>
      <c r="G44" s="321" t="str">
        <f>IF(AND(COUNTIF(C44:F44,13)=0,COUNT(C44:F44)=2),"IV",IF(AND(COUNTIF(C44:F44,13)=1,COUNT(C44:F44)=3),"III",IF(AND(COUNTIF(C44:F44,13)=2,COUNT(C44:F44)=3),"II",IF(AND(COUNTIF(C44:F44,13)=2,COUNT(C44:F44)=2),"I"))))</f>
        <v>II</v>
      </c>
    </row>
    <row r="45" spans="1:10" s="206" customFormat="1" x14ac:dyDescent="0.2">
      <c r="A45" s="630">
        <v>3</v>
      </c>
      <c r="B45" s="360" t="s">
        <v>80</v>
      </c>
      <c r="C45" s="321">
        <v>7</v>
      </c>
      <c r="D45" s="321"/>
      <c r="E45" s="321">
        <v>11</v>
      </c>
      <c r="F45" s="321"/>
      <c r="G45" s="321" t="str">
        <f>IF(AND(COUNTIF(C45:F45,13)=0,COUNT(C45:F45)=2),"IV",IF(AND(COUNTIF(C45:F45,13)=1,COUNT(C45:F45)=3),"III",IF(AND(COUNTIF(C45:F45,13)=2,COUNT(C45:F45)=3),"II",IF(AND(COUNTIF(C45:F45,13)=2,COUNT(C45:F45)=2),"I"))))</f>
        <v>IV</v>
      </c>
    </row>
    <row r="46" spans="1:10" s="206" customFormat="1" x14ac:dyDescent="0.2">
      <c r="A46" s="630">
        <v>4</v>
      </c>
      <c r="B46" s="355" t="s">
        <v>163</v>
      </c>
      <c r="C46" s="321">
        <v>1</v>
      </c>
      <c r="D46" s="321"/>
      <c r="E46" s="321">
        <v>13</v>
      </c>
      <c r="F46" s="321">
        <v>12</v>
      </c>
      <c r="G46" s="321" t="str">
        <f>IF(AND(COUNTIF(C46:F46,13)=0,COUNT(C46:F46)=2),"IV",IF(AND(COUNTIF(C46:F46,13)=1,COUNT(C46:F46)=3),"III",IF(AND(COUNTIF(C46:F46,13)=2,COUNT(C46:F46)=3),"II",IF(AND(COUNTIF(C46:F46,13)=2,COUNT(C46:F46)=2),"I"))))</f>
        <v>III</v>
      </c>
    </row>
    <row r="47" spans="1:10" s="206" customFormat="1" x14ac:dyDescent="0.2">
      <c r="A47" s="116"/>
    </row>
    <row r="48" spans="1:10" s="206" customFormat="1" x14ac:dyDescent="0.2">
      <c r="A48" s="421" t="s">
        <v>644</v>
      </c>
      <c r="B48" s="89"/>
      <c r="C48" s="326"/>
      <c r="D48" s="326"/>
      <c r="E48" s="326"/>
      <c r="F48" s="327"/>
      <c r="G48" s="328"/>
      <c r="H48" s="135"/>
      <c r="I48" s="135"/>
      <c r="J48" s="135"/>
    </row>
    <row r="49" spans="1:10" s="206" customFormat="1" x14ac:dyDescent="0.2">
      <c r="A49" s="135"/>
      <c r="B49" s="135"/>
      <c r="C49" s="135"/>
      <c r="D49" s="135"/>
      <c r="E49" s="135"/>
      <c r="F49" s="135"/>
      <c r="G49" s="135"/>
      <c r="H49" s="135"/>
      <c r="I49" s="135"/>
      <c r="J49" s="135"/>
    </row>
    <row r="50" spans="1:10" s="206" customFormat="1" x14ac:dyDescent="0.2">
      <c r="A50" s="422" t="s">
        <v>761</v>
      </c>
      <c r="B50" s="135" t="s">
        <v>67</v>
      </c>
      <c r="C50" s="423">
        <v>13</v>
      </c>
      <c r="D50" s="135"/>
      <c r="E50" s="135"/>
      <c r="F50" s="135"/>
      <c r="G50" s="135"/>
      <c r="H50" s="135"/>
      <c r="I50" s="135"/>
      <c r="J50" s="135"/>
    </row>
    <row r="51" spans="1:10" s="206" customFormat="1" x14ac:dyDescent="0.2">
      <c r="A51" s="424"/>
      <c r="B51" s="425"/>
      <c r="C51" s="426" t="s">
        <v>67</v>
      </c>
      <c r="D51" s="135"/>
      <c r="E51" s="423">
        <v>13</v>
      </c>
      <c r="F51" s="135"/>
      <c r="G51" s="135"/>
      <c r="H51" s="135"/>
      <c r="I51" s="135"/>
      <c r="J51" s="135"/>
    </row>
    <row r="52" spans="1:10" s="206" customFormat="1" x14ac:dyDescent="0.2">
      <c r="A52" s="424"/>
      <c r="B52" s="681" t="s">
        <v>729</v>
      </c>
      <c r="C52" s="428">
        <v>0</v>
      </c>
      <c r="D52" s="429"/>
      <c r="E52" s="135"/>
      <c r="F52" s="135"/>
      <c r="G52" s="135"/>
      <c r="H52" s="135"/>
      <c r="I52" s="135"/>
      <c r="J52" s="135"/>
    </row>
    <row r="53" spans="1:10" s="206" customFormat="1" x14ac:dyDescent="0.2">
      <c r="A53" s="424"/>
      <c r="B53" s="135"/>
      <c r="C53" s="135"/>
      <c r="D53" s="430"/>
      <c r="E53" s="431" t="s">
        <v>67</v>
      </c>
      <c r="F53" s="135"/>
      <c r="G53" s="423">
        <v>13</v>
      </c>
      <c r="H53" s="135"/>
      <c r="I53" s="135"/>
      <c r="J53" s="135"/>
    </row>
    <row r="54" spans="1:10" s="206" customFormat="1" x14ac:dyDescent="0.2">
      <c r="A54" s="424" t="s">
        <v>731</v>
      </c>
      <c r="B54" s="135" t="s">
        <v>64</v>
      </c>
      <c r="C54" s="432">
        <v>13</v>
      </c>
      <c r="D54" s="430"/>
      <c r="E54" s="433"/>
      <c r="F54" s="429"/>
      <c r="G54" s="135"/>
      <c r="H54" s="135"/>
      <c r="I54" s="135"/>
      <c r="J54" s="135"/>
    </row>
    <row r="55" spans="1:10" s="206" customFormat="1" x14ac:dyDescent="0.2">
      <c r="A55" s="424"/>
      <c r="B55" s="425"/>
      <c r="C55" s="431" t="s">
        <v>64</v>
      </c>
      <c r="D55" s="434"/>
      <c r="E55" s="432">
        <v>10</v>
      </c>
      <c r="F55" s="430"/>
      <c r="G55" s="135"/>
      <c r="H55" s="135"/>
      <c r="I55" s="135"/>
      <c r="J55" s="135"/>
    </row>
    <row r="56" spans="1:10" s="206" customFormat="1" x14ac:dyDescent="0.2">
      <c r="A56" s="424" t="s">
        <v>595</v>
      </c>
      <c r="B56" s="427" t="s">
        <v>172</v>
      </c>
      <c r="C56" s="435">
        <v>0</v>
      </c>
      <c r="D56" s="135"/>
      <c r="E56" s="89"/>
      <c r="F56" s="430"/>
      <c r="G56" s="135"/>
      <c r="H56" s="135"/>
      <c r="I56" s="135"/>
      <c r="J56" s="135"/>
    </row>
    <row r="57" spans="1:10" s="206" customFormat="1" x14ac:dyDescent="0.2">
      <c r="A57" s="63"/>
      <c r="B57" s="135"/>
      <c r="C57" s="135"/>
      <c r="D57" s="135"/>
      <c r="E57" s="89"/>
      <c r="F57" s="430"/>
      <c r="G57" s="431" t="s">
        <v>67</v>
      </c>
      <c r="H57" s="135"/>
      <c r="I57" s="423">
        <v>8</v>
      </c>
      <c r="J57" s="135"/>
    </row>
    <row r="58" spans="1:10" s="206" customFormat="1" x14ac:dyDescent="0.2">
      <c r="A58" s="422" t="s">
        <v>597</v>
      </c>
      <c r="B58" s="135" t="s">
        <v>209</v>
      </c>
      <c r="C58" s="423">
        <v>13</v>
      </c>
      <c r="D58" s="135"/>
      <c r="E58" s="89"/>
      <c r="F58" s="430"/>
      <c r="G58" s="425"/>
      <c r="H58" s="429"/>
      <c r="I58" s="135"/>
      <c r="J58" s="135"/>
    </row>
    <row r="59" spans="1:10" s="206" customFormat="1" x14ac:dyDescent="0.2">
      <c r="A59" s="424"/>
      <c r="B59" s="425"/>
      <c r="C59" s="426" t="s">
        <v>209</v>
      </c>
      <c r="D59" s="135"/>
      <c r="E59" s="432">
        <v>13</v>
      </c>
      <c r="F59" s="430"/>
      <c r="G59" s="89"/>
      <c r="H59" s="430"/>
      <c r="I59" s="135"/>
      <c r="J59" s="135"/>
    </row>
    <row r="60" spans="1:10" s="206" customFormat="1" x14ac:dyDescent="0.2">
      <c r="A60" s="424" t="s">
        <v>601</v>
      </c>
      <c r="B60" s="681" t="s">
        <v>35</v>
      </c>
      <c r="C60" s="428">
        <v>7</v>
      </c>
      <c r="D60" s="429"/>
      <c r="E60" s="89"/>
      <c r="F60" s="430"/>
      <c r="G60" s="89"/>
      <c r="H60" s="430"/>
      <c r="I60" s="135"/>
      <c r="J60" s="135"/>
    </row>
    <row r="61" spans="1:10" s="206" customFormat="1" x14ac:dyDescent="0.2">
      <c r="A61" s="424"/>
      <c r="B61" s="135"/>
      <c r="C61" s="135"/>
      <c r="D61" s="430"/>
      <c r="E61" s="427" t="s">
        <v>209</v>
      </c>
      <c r="F61" s="434"/>
      <c r="G61" s="432">
        <v>3</v>
      </c>
      <c r="H61" s="430"/>
      <c r="I61" s="135"/>
      <c r="J61" s="135"/>
    </row>
    <row r="62" spans="1:10" s="206" customFormat="1" x14ac:dyDescent="0.2">
      <c r="A62" s="424" t="s">
        <v>589</v>
      </c>
      <c r="B62" s="135" t="s">
        <v>176</v>
      </c>
      <c r="C62" s="432">
        <v>13</v>
      </c>
      <c r="D62" s="430"/>
      <c r="E62" s="431"/>
      <c r="F62" s="89"/>
      <c r="G62" s="89"/>
      <c r="H62" s="430"/>
      <c r="I62" s="135"/>
      <c r="J62" s="135"/>
    </row>
    <row r="63" spans="1:10" s="206" customFormat="1" x14ac:dyDescent="0.2">
      <c r="A63" s="424"/>
      <c r="B63" s="425"/>
      <c r="C63" s="431" t="s">
        <v>176</v>
      </c>
      <c r="D63" s="434"/>
      <c r="E63" s="432">
        <v>7</v>
      </c>
      <c r="F63" s="135"/>
      <c r="G63" s="89"/>
      <c r="H63" s="430"/>
      <c r="I63" s="135"/>
      <c r="J63" s="135"/>
    </row>
    <row r="64" spans="1:10" s="206" customFormat="1" x14ac:dyDescent="0.2">
      <c r="A64" s="424"/>
      <c r="B64" s="681" t="s">
        <v>729</v>
      </c>
      <c r="C64" s="435">
        <v>0</v>
      </c>
      <c r="D64" s="135"/>
      <c r="E64" s="89"/>
      <c r="F64" s="89"/>
      <c r="G64" s="89"/>
      <c r="H64" s="430"/>
      <c r="I64" s="135"/>
      <c r="J64" s="135"/>
    </row>
    <row r="65" spans="1:10" s="206" customFormat="1" ht="13.5" thickBot="1" x14ac:dyDescent="0.25">
      <c r="A65" s="135"/>
      <c r="B65" s="135"/>
      <c r="C65" s="135"/>
      <c r="D65" s="135"/>
      <c r="E65" s="135"/>
      <c r="F65" s="135"/>
      <c r="G65" s="89"/>
      <c r="H65" s="430"/>
      <c r="I65" s="135"/>
      <c r="J65" s="691" t="s">
        <v>38</v>
      </c>
    </row>
    <row r="66" spans="1:10" s="206" customFormat="1" x14ac:dyDescent="0.2">
      <c r="A66" s="911" t="s">
        <v>732</v>
      </c>
      <c r="B66" s="135" t="s">
        <v>164</v>
      </c>
      <c r="C66" s="423">
        <v>2</v>
      </c>
      <c r="D66" s="135"/>
      <c r="E66" s="135"/>
      <c r="F66" s="135"/>
      <c r="G66" s="89"/>
      <c r="H66" s="430"/>
      <c r="I66" s="436"/>
      <c r="J66" s="437" t="s">
        <v>411</v>
      </c>
    </row>
    <row r="67" spans="1:10" s="206" customFormat="1" x14ac:dyDescent="0.2">
      <c r="A67" s="424"/>
      <c r="B67" s="425"/>
      <c r="C67" s="426" t="s">
        <v>34</v>
      </c>
      <c r="D67" s="135"/>
      <c r="E67" s="423">
        <v>11</v>
      </c>
      <c r="F67" s="135"/>
      <c r="G67" s="89"/>
      <c r="H67" s="430"/>
      <c r="I67" s="135"/>
      <c r="J67" s="135"/>
    </row>
    <row r="68" spans="1:10" s="206" customFormat="1" x14ac:dyDescent="0.2">
      <c r="A68" s="424" t="s">
        <v>762</v>
      </c>
      <c r="B68" s="681" t="s">
        <v>34</v>
      </c>
      <c r="C68" s="428">
        <v>13</v>
      </c>
      <c r="D68" s="429"/>
      <c r="E68" s="135"/>
      <c r="F68" s="135"/>
      <c r="G68" s="89"/>
      <c r="H68" s="430"/>
      <c r="I68" s="135"/>
      <c r="J68" s="135"/>
    </row>
    <row r="69" spans="1:10" s="206" customFormat="1" x14ac:dyDescent="0.2">
      <c r="A69" s="424"/>
      <c r="B69" s="135"/>
      <c r="C69" s="135"/>
      <c r="D69" s="430"/>
      <c r="E69" s="135" t="s">
        <v>38</v>
      </c>
      <c r="F69" s="135"/>
      <c r="G69" s="432">
        <v>13</v>
      </c>
      <c r="H69" s="430"/>
      <c r="I69" s="135"/>
      <c r="J69" s="135"/>
    </row>
    <row r="70" spans="1:10" s="206" customFormat="1" x14ac:dyDescent="0.2">
      <c r="A70" s="424" t="s">
        <v>598</v>
      </c>
      <c r="B70" s="135" t="s">
        <v>38</v>
      </c>
      <c r="C70" s="432">
        <v>13</v>
      </c>
      <c r="D70" s="430"/>
      <c r="E70" s="433"/>
      <c r="F70" s="429"/>
      <c r="G70" s="89"/>
      <c r="H70" s="430"/>
      <c r="I70" s="135"/>
      <c r="J70" s="135"/>
    </row>
    <row r="71" spans="1:10" s="206" customFormat="1" x14ac:dyDescent="0.2">
      <c r="A71" s="424"/>
      <c r="B71" s="425"/>
      <c r="C71" s="431" t="s">
        <v>38</v>
      </c>
      <c r="D71" s="434"/>
      <c r="E71" s="432">
        <v>13</v>
      </c>
      <c r="F71" s="430"/>
      <c r="G71" s="89"/>
      <c r="H71" s="430"/>
      <c r="I71" s="135"/>
      <c r="J71" s="135"/>
    </row>
    <row r="72" spans="1:10" s="206" customFormat="1" x14ac:dyDescent="0.2">
      <c r="A72" s="424" t="s">
        <v>599</v>
      </c>
      <c r="B72" s="427" t="s">
        <v>31</v>
      </c>
      <c r="C72" s="435">
        <v>3</v>
      </c>
      <c r="D72" s="135"/>
      <c r="E72" s="89"/>
      <c r="F72" s="430"/>
      <c r="G72" s="89"/>
      <c r="H72" s="430"/>
      <c r="I72" s="135"/>
      <c r="J72" s="135"/>
    </row>
    <row r="73" spans="1:10" s="206" customFormat="1" x14ac:dyDescent="0.2">
      <c r="A73" s="135"/>
      <c r="B73" s="135"/>
      <c r="C73" s="135"/>
      <c r="D73" s="135"/>
      <c r="E73" s="89"/>
      <c r="F73" s="430"/>
      <c r="G73" s="427" t="s">
        <v>38</v>
      </c>
      <c r="H73" s="434"/>
      <c r="I73" s="423">
        <v>13</v>
      </c>
      <c r="J73" s="135"/>
    </row>
    <row r="74" spans="1:10" s="206" customFormat="1" ht="13.5" thickBot="1" x14ac:dyDescent="0.25">
      <c r="A74" s="422" t="s">
        <v>596</v>
      </c>
      <c r="B74" s="135" t="s">
        <v>60</v>
      </c>
      <c r="C74" s="423">
        <v>13</v>
      </c>
      <c r="D74" s="135"/>
      <c r="E74" s="89"/>
      <c r="F74" s="430"/>
      <c r="G74" s="135"/>
      <c r="H74" s="135"/>
      <c r="I74" s="135"/>
      <c r="J74" s="89" t="s">
        <v>67</v>
      </c>
    </row>
    <row r="75" spans="1:10" s="206" customFormat="1" x14ac:dyDescent="0.2">
      <c r="A75" s="424"/>
      <c r="B75" s="425"/>
      <c r="C75" s="426" t="s">
        <v>60</v>
      </c>
      <c r="D75" s="135"/>
      <c r="E75" s="432">
        <v>6</v>
      </c>
      <c r="F75" s="430"/>
      <c r="G75" s="135"/>
      <c r="H75" s="135"/>
      <c r="I75" s="135"/>
      <c r="J75" s="437" t="s">
        <v>412</v>
      </c>
    </row>
    <row r="76" spans="1:10" s="206" customFormat="1" x14ac:dyDescent="0.2">
      <c r="A76" s="424" t="s">
        <v>733</v>
      </c>
      <c r="B76" s="681" t="s">
        <v>182</v>
      </c>
      <c r="C76" s="428">
        <v>9</v>
      </c>
      <c r="D76" s="429"/>
      <c r="E76" s="89"/>
      <c r="F76" s="430"/>
      <c r="G76" s="135"/>
      <c r="H76" s="135"/>
      <c r="I76" s="135"/>
      <c r="J76" s="135"/>
    </row>
    <row r="77" spans="1:10" s="206" customFormat="1" x14ac:dyDescent="0.2">
      <c r="A77" s="424"/>
      <c r="B77" s="135"/>
      <c r="C77" s="135"/>
      <c r="D77" s="430"/>
      <c r="E77" s="427" t="s">
        <v>41</v>
      </c>
      <c r="F77" s="434"/>
      <c r="G77" s="423">
        <v>3</v>
      </c>
      <c r="H77" s="135"/>
      <c r="I77" s="135"/>
      <c r="J77" s="135"/>
    </row>
    <row r="78" spans="1:10" s="206" customFormat="1" x14ac:dyDescent="0.2">
      <c r="A78" s="424" t="s">
        <v>600</v>
      </c>
      <c r="B78" s="135" t="s">
        <v>41</v>
      </c>
      <c r="C78" s="432">
        <v>13</v>
      </c>
      <c r="D78" s="430"/>
      <c r="E78" s="431"/>
      <c r="F78" s="89"/>
      <c r="G78" s="135"/>
      <c r="H78" s="135"/>
      <c r="I78" s="135"/>
      <c r="J78" s="135"/>
    </row>
    <row r="79" spans="1:10" s="206" customFormat="1" x14ac:dyDescent="0.2">
      <c r="A79" s="424"/>
      <c r="B79" s="425"/>
      <c r="C79" s="431" t="s">
        <v>41</v>
      </c>
      <c r="D79" s="434"/>
      <c r="E79" s="432">
        <v>13</v>
      </c>
      <c r="F79" s="135"/>
      <c r="G79" s="135" t="s">
        <v>209</v>
      </c>
      <c r="H79" s="135"/>
      <c r="I79" s="432">
        <v>4</v>
      </c>
      <c r="J79" s="135"/>
    </row>
    <row r="80" spans="1:10" s="206" customFormat="1" ht="13.5" thickBot="1" x14ac:dyDescent="0.25">
      <c r="A80" s="912" t="s">
        <v>730</v>
      </c>
      <c r="B80" s="427" t="s">
        <v>47</v>
      </c>
      <c r="C80" s="682">
        <v>2</v>
      </c>
      <c r="D80" s="135"/>
      <c r="E80" s="89"/>
      <c r="F80" s="89"/>
      <c r="G80" s="425"/>
      <c r="H80" s="429"/>
      <c r="I80" s="439"/>
      <c r="J80" s="439" t="s">
        <v>41</v>
      </c>
    </row>
    <row r="81" spans="1:10" s="206" customFormat="1" x14ac:dyDescent="0.2">
      <c r="A81" s="135"/>
      <c r="B81" s="135"/>
      <c r="C81" s="135"/>
      <c r="D81" s="135"/>
      <c r="E81" s="135"/>
      <c r="F81" s="89"/>
      <c r="G81" s="427" t="s">
        <v>41</v>
      </c>
      <c r="H81" s="434"/>
      <c r="I81" s="423">
        <v>13</v>
      </c>
      <c r="J81" s="441" t="s">
        <v>413</v>
      </c>
    </row>
    <row r="82" spans="1:10" s="206" customFormat="1" x14ac:dyDescent="0.2">
      <c r="A82" s="135"/>
      <c r="B82" s="135"/>
      <c r="C82" s="135"/>
      <c r="D82" s="135"/>
      <c r="E82" s="135"/>
      <c r="F82" s="89"/>
      <c r="G82" s="135"/>
      <c r="H82" s="135"/>
      <c r="I82" s="135"/>
      <c r="J82" s="89"/>
    </row>
    <row r="83" spans="1:10" s="206" customFormat="1" ht="13.5" thickBot="1" x14ac:dyDescent="0.25">
      <c r="A83" s="135"/>
      <c r="B83" s="135"/>
      <c r="C83" s="135"/>
      <c r="D83" s="135"/>
      <c r="E83" s="135"/>
      <c r="F83" s="89"/>
      <c r="G83" s="89"/>
      <c r="H83" s="89"/>
      <c r="I83" s="135"/>
      <c r="J83" s="439" t="s">
        <v>209</v>
      </c>
    </row>
    <row r="84" spans="1:10" s="206" customFormat="1" x14ac:dyDescent="0.2">
      <c r="A84" s="135"/>
      <c r="B84" s="135"/>
      <c r="C84" s="135"/>
      <c r="D84" s="135"/>
      <c r="E84" s="135"/>
      <c r="F84" s="135"/>
      <c r="G84" s="89"/>
      <c r="H84" s="89"/>
      <c r="I84" s="135"/>
      <c r="J84" s="63" t="s">
        <v>414</v>
      </c>
    </row>
    <row r="85" spans="1:10" s="206" customFormat="1" x14ac:dyDescent="0.2">
      <c r="A85" s="135"/>
      <c r="B85" s="135"/>
      <c r="C85" s="135"/>
      <c r="D85" s="135"/>
      <c r="E85" s="135"/>
      <c r="F85" s="135"/>
      <c r="G85" s="135"/>
      <c r="H85" s="135"/>
      <c r="I85" s="89"/>
      <c r="J85" s="89"/>
    </row>
    <row r="86" spans="1:10" s="206" customFormat="1" x14ac:dyDescent="0.2">
      <c r="A86" s="442" t="s">
        <v>734</v>
      </c>
      <c r="B86" s="135"/>
      <c r="C86" s="135"/>
      <c r="D86" s="135"/>
      <c r="E86" s="135"/>
      <c r="F86" s="135"/>
      <c r="G86" s="135"/>
      <c r="H86" s="135"/>
      <c r="I86" s="89"/>
      <c r="J86" s="89"/>
    </row>
    <row r="87" spans="1:10" s="206" customFormat="1" x14ac:dyDescent="0.2">
      <c r="A87" s="442"/>
      <c r="B87" s="135"/>
      <c r="C87" s="135"/>
      <c r="D87" s="135"/>
      <c r="E87" s="135"/>
      <c r="F87" s="135"/>
      <c r="G87" s="135"/>
      <c r="H87" s="135"/>
      <c r="I87" s="89"/>
      <c r="J87" s="89"/>
    </row>
    <row r="88" spans="1:10" s="206" customFormat="1" x14ac:dyDescent="0.2">
      <c r="A88" s="135"/>
      <c r="B88" s="135"/>
      <c r="C88" s="135"/>
      <c r="D88" s="135"/>
      <c r="E88" s="443" t="s">
        <v>64</v>
      </c>
      <c r="F88" s="423"/>
      <c r="G88" s="423">
        <v>13</v>
      </c>
      <c r="H88" s="423"/>
      <c r="I88" s="423"/>
      <c r="J88" s="135"/>
    </row>
    <row r="89" spans="1:10" s="206" customFormat="1" x14ac:dyDescent="0.2">
      <c r="A89" s="135"/>
      <c r="B89" s="135"/>
      <c r="C89" s="135"/>
      <c r="D89" s="135"/>
      <c r="E89" s="444"/>
      <c r="F89" s="445"/>
      <c r="G89" s="683" t="s">
        <v>64</v>
      </c>
      <c r="H89" s="423"/>
      <c r="I89" s="423">
        <v>5</v>
      </c>
      <c r="J89" s="135"/>
    </row>
    <row r="90" spans="1:10" s="206" customFormat="1" x14ac:dyDescent="0.2">
      <c r="A90" s="135"/>
      <c r="B90" s="135"/>
      <c r="C90" s="135"/>
      <c r="D90" s="135"/>
      <c r="E90" s="446" t="s">
        <v>176</v>
      </c>
      <c r="F90" s="447"/>
      <c r="G90" s="423">
        <v>11</v>
      </c>
      <c r="H90" s="445"/>
      <c r="I90" s="423"/>
      <c r="J90" s="135"/>
    </row>
    <row r="91" spans="1:10" s="206" customFormat="1" ht="13.5" thickBot="1" x14ac:dyDescent="0.25">
      <c r="A91" s="135"/>
      <c r="B91" s="135"/>
      <c r="C91" s="135"/>
      <c r="D91" s="135"/>
      <c r="E91" s="423"/>
      <c r="F91" s="423"/>
      <c r="G91" s="432"/>
      <c r="H91" s="448"/>
      <c r="I91" s="423"/>
      <c r="J91" s="135" t="s">
        <v>34</v>
      </c>
    </row>
    <row r="92" spans="1:10" s="206" customFormat="1" x14ac:dyDescent="0.2">
      <c r="A92" s="135"/>
      <c r="B92" s="135"/>
      <c r="C92" s="135"/>
      <c r="D92" s="135"/>
      <c r="E92" s="686" t="s">
        <v>34</v>
      </c>
      <c r="F92" s="423"/>
      <c r="G92" s="423">
        <v>13</v>
      </c>
      <c r="H92" s="448"/>
      <c r="I92" s="449"/>
      <c r="J92" s="437" t="s">
        <v>415</v>
      </c>
    </row>
    <row r="93" spans="1:10" s="206" customFormat="1" x14ac:dyDescent="0.2">
      <c r="A93" s="135"/>
      <c r="B93" s="135"/>
      <c r="C93" s="135"/>
      <c r="D93" s="135"/>
      <c r="E93" s="444"/>
      <c r="F93" s="445"/>
      <c r="G93" s="423" t="s">
        <v>34</v>
      </c>
      <c r="H93" s="447"/>
      <c r="I93" s="432">
        <v>13</v>
      </c>
      <c r="J93" s="135"/>
    </row>
    <row r="94" spans="1:10" s="206" customFormat="1" ht="13.5" thickBot="1" x14ac:dyDescent="0.25">
      <c r="A94" s="135"/>
      <c r="B94" s="135"/>
      <c r="C94" s="135"/>
      <c r="D94" s="135"/>
      <c r="E94" s="446" t="s">
        <v>60</v>
      </c>
      <c r="F94" s="447"/>
      <c r="G94" s="444">
        <v>7</v>
      </c>
      <c r="H94" s="423"/>
      <c r="I94" s="432"/>
      <c r="J94" s="89" t="s">
        <v>64</v>
      </c>
    </row>
    <row r="95" spans="1:10" s="206" customFormat="1" x14ac:dyDescent="0.2">
      <c r="A95" s="135"/>
      <c r="B95" s="135"/>
      <c r="C95" s="135"/>
      <c r="D95" s="135"/>
      <c r="E95" s="423"/>
      <c r="F95" s="423"/>
      <c r="G95" s="423"/>
      <c r="H95" s="423"/>
      <c r="I95" s="432"/>
      <c r="J95" s="437" t="s">
        <v>416</v>
      </c>
    </row>
    <row r="96" spans="1:10" s="206" customFormat="1" x14ac:dyDescent="0.2">
      <c r="A96" s="135"/>
      <c r="B96" s="135"/>
      <c r="C96" s="135"/>
      <c r="D96" s="135"/>
      <c r="E96" s="423"/>
      <c r="F96" s="432"/>
      <c r="G96" s="423" t="s">
        <v>176</v>
      </c>
      <c r="H96" s="423"/>
      <c r="I96" s="432">
        <v>10</v>
      </c>
      <c r="J96" s="89"/>
    </row>
    <row r="97" spans="1:10" s="206" customFormat="1" ht="13.5" thickBot="1" x14ac:dyDescent="0.25">
      <c r="A97" s="135"/>
      <c r="B97" s="135"/>
      <c r="C97" s="135"/>
      <c r="D97" s="135"/>
      <c r="E97" s="423"/>
      <c r="F97" s="432"/>
      <c r="G97" s="444"/>
      <c r="H97" s="445"/>
      <c r="I97" s="450"/>
      <c r="J97" s="439" t="s">
        <v>60</v>
      </c>
    </row>
    <row r="98" spans="1:10" s="206" customFormat="1" x14ac:dyDescent="0.2">
      <c r="A98" s="135"/>
      <c r="B98" s="135"/>
      <c r="C98" s="135"/>
      <c r="D98" s="135"/>
      <c r="E98" s="423"/>
      <c r="F98" s="432"/>
      <c r="G98" s="446" t="s">
        <v>60</v>
      </c>
      <c r="H98" s="447"/>
      <c r="I98" s="423">
        <v>13</v>
      </c>
      <c r="J98" s="441" t="s">
        <v>417</v>
      </c>
    </row>
    <row r="99" spans="1:10" s="206" customFormat="1" x14ac:dyDescent="0.2">
      <c r="A99" s="135"/>
      <c r="B99" s="135"/>
      <c r="C99" s="135"/>
      <c r="D99" s="135"/>
      <c r="E99" s="135"/>
      <c r="F99" s="89"/>
      <c r="G99" s="135"/>
      <c r="H99" s="135"/>
      <c r="I99" s="135"/>
      <c r="J99" s="89"/>
    </row>
    <row r="100" spans="1:10" s="206" customFormat="1" ht="13.5" thickBot="1" x14ac:dyDescent="0.25">
      <c r="A100" s="135"/>
      <c r="B100" s="135"/>
      <c r="C100" s="135"/>
      <c r="D100" s="135"/>
      <c r="E100" s="63"/>
      <c r="F100" s="135"/>
      <c r="G100" s="89"/>
      <c r="H100" s="89"/>
      <c r="I100" s="135"/>
      <c r="J100" s="439" t="s">
        <v>176</v>
      </c>
    </row>
    <row r="101" spans="1:10" x14ac:dyDescent="0.2">
      <c r="A101" s="135"/>
      <c r="B101" s="135"/>
      <c r="C101" s="135"/>
      <c r="D101" s="135"/>
      <c r="E101" s="63"/>
      <c r="F101" s="135"/>
      <c r="G101" s="89"/>
      <c r="H101" s="89"/>
      <c r="I101" s="135"/>
      <c r="J101" s="441" t="s">
        <v>418</v>
      </c>
    </row>
    <row r="102" spans="1:10" s="206" customFormat="1" x14ac:dyDescent="0.2">
      <c r="A102" s="135"/>
      <c r="B102" s="135"/>
      <c r="C102" s="135"/>
      <c r="D102" s="135"/>
      <c r="E102" s="135"/>
      <c r="F102" s="63"/>
      <c r="G102" s="135"/>
      <c r="H102" s="135"/>
      <c r="I102" s="89"/>
      <c r="J102" s="89"/>
    </row>
    <row r="103" spans="1:10" s="206" customFormat="1" x14ac:dyDescent="0.2">
      <c r="A103" s="451" t="s">
        <v>763</v>
      </c>
      <c r="B103" s="135"/>
      <c r="C103" s="135"/>
      <c r="D103" s="135"/>
      <c r="E103" s="135"/>
      <c r="F103" s="135"/>
      <c r="G103" s="135"/>
      <c r="H103" s="135"/>
      <c r="I103" s="135"/>
      <c r="J103" s="135"/>
    </row>
    <row r="104" spans="1:10" s="206" customFormat="1" x14ac:dyDescent="0.2">
      <c r="A104" s="135"/>
      <c r="B104" s="135"/>
      <c r="C104" s="135"/>
      <c r="D104" s="135"/>
      <c r="E104" s="135"/>
      <c r="F104" s="135"/>
      <c r="G104" s="135"/>
      <c r="H104" s="135"/>
      <c r="I104" s="135"/>
      <c r="J104" s="135"/>
    </row>
    <row r="105" spans="1:10" s="206" customFormat="1" x14ac:dyDescent="0.2">
      <c r="A105" s="135"/>
      <c r="B105" s="135"/>
      <c r="C105" s="681" t="s">
        <v>729</v>
      </c>
      <c r="D105" s="135"/>
      <c r="E105" s="423">
        <v>0</v>
      </c>
      <c r="F105" s="135"/>
      <c r="G105" s="135"/>
      <c r="H105" s="135"/>
      <c r="I105" s="135"/>
      <c r="J105" s="135"/>
    </row>
    <row r="106" spans="1:10" s="206" customFormat="1" x14ac:dyDescent="0.2">
      <c r="A106" s="135"/>
      <c r="B106" s="135"/>
      <c r="C106" s="425"/>
      <c r="D106" s="429"/>
      <c r="E106" s="431" t="s">
        <v>172</v>
      </c>
      <c r="F106" s="135"/>
      <c r="G106" s="423">
        <v>12</v>
      </c>
      <c r="H106" s="135"/>
      <c r="I106" s="135"/>
      <c r="J106" s="135"/>
    </row>
    <row r="107" spans="1:10" s="206" customFormat="1" x14ac:dyDescent="0.2">
      <c r="A107" s="135"/>
      <c r="B107" s="135"/>
      <c r="C107" s="681" t="s">
        <v>172</v>
      </c>
      <c r="D107" s="434"/>
      <c r="E107" s="444">
        <v>13</v>
      </c>
      <c r="F107" s="429"/>
      <c r="G107" s="135"/>
      <c r="H107" s="135"/>
      <c r="I107" s="135"/>
      <c r="J107" s="135"/>
    </row>
    <row r="108" spans="1:10" s="206" customFormat="1" x14ac:dyDescent="0.2">
      <c r="A108" s="135"/>
      <c r="B108" s="135"/>
      <c r="C108" s="135"/>
      <c r="D108" s="135"/>
      <c r="E108" s="89"/>
      <c r="F108" s="430"/>
      <c r="G108" s="431" t="s">
        <v>35</v>
      </c>
      <c r="H108" s="135"/>
      <c r="I108" s="423">
        <v>13</v>
      </c>
      <c r="J108" s="135"/>
    </row>
    <row r="109" spans="1:10" s="206" customFormat="1" x14ac:dyDescent="0.2">
      <c r="A109" s="135"/>
      <c r="B109" s="135"/>
      <c r="C109" s="427" t="s">
        <v>35</v>
      </c>
      <c r="D109" s="135"/>
      <c r="E109" s="432">
        <v>13</v>
      </c>
      <c r="F109" s="430"/>
      <c r="G109" s="433"/>
      <c r="H109" s="429"/>
      <c r="I109" s="135"/>
      <c r="J109" s="135"/>
    </row>
    <row r="110" spans="1:10" s="206" customFormat="1" x14ac:dyDescent="0.2">
      <c r="A110" s="135"/>
      <c r="B110" s="135"/>
      <c r="C110" s="135"/>
      <c r="D110" s="429"/>
      <c r="E110" s="427" t="s">
        <v>35</v>
      </c>
      <c r="F110" s="434"/>
      <c r="G110" s="432">
        <v>13</v>
      </c>
      <c r="H110" s="430"/>
      <c r="I110" s="135"/>
      <c r="J110" s="135"/>
    </row>
    <row r="111" spans="1:10" s="206" customFormat="1" x14ac:dyDescent="0.2">
      <c r="A111" s="135"/>
      <c r="B111" s="135"/>
      <c r="C111" s="684" t="s">
        <v>729</v>
      </c>
      <c r="D111" s="434"/>
      <c r="E111" s="432">
        <v>0</v>
      </c>
      <c r="F111" s="135"/>
      <c r="G111" s="89"/>
      <c r="H111" s="430"/>
      <c r="I111" s="135"/>
      <c r="J111" s="135"/>
    </row>
    <row r="112" spans="1:10" s="206" customFormat="1" ht="13.5" thickBot="1" x14ac:dyDescent="0.25">
      <c r="A112" s="135"/>
      <c r="B112" s="135"/>
      <c r="C112" s="444"/>
      <c r="D112" s="135"/>
      <c r="E112" s="89"/>
      <c r="F112" s="89"/>
      <c r="G112" s="89"/>
      <c r="H112" s="430"/>
      <c r="I112" s="135"/>
      <c r="J112" s="135" t="s">
        <v>35</v>
      </c>
    </row>
    <row r="113" spans="1:10" s="206" customFormat="1" x14ac:dyDescent="0.2">
      <c r="A113" s="135"/>
      <c r="B113" s="135"/>
      <c r="C113" s="89" t="s">
        <v>164</v>
      </c>
      <c r="D113" s="135"/>
      <c r="E113" s="423">
        <v>13</v>
      </c>
      <c r="F113" s="135"/>
      <c r="G113" s="135"/>
      <c r="H113" s="430"/>
      <c r="I113" s="438"/>
      <c r="J113" s="437" t="s">
        <v>419</v>
      </c>
    </row>
    <row r="114" spans="1:10" s="206" customFormat="1" x14ac:dyDescent="0.2">
      <c r="A114" s="135"/>
      <c r="B114" s="135"/>
      <c r="C114" s="425"/>
      <c r="D114" s="429"/>
      <c r="E114" s="431" t="s">
        <v>164</v>
      </c>
      <c r="F114" s="135"/>
      <c r="G114" s="423">
        <v>13</v>
      </c>
      <c r="H114" s="430"/>
      <c r="I114" s="135"/>
      <c r="J114" s="135"/>
    </row>
    <row r="115" spans="1:10" s="206" customFormat="1" ht="13.5" thickBot="1" x14ac:dyDescent="0.25">
      <c r="A115" s="135"/>
      <c r="B115" s="135"/>
      <c r="C115" s="427" t="s">
        <v>31</v>
      </c>
      <c r="D115" s="434"/>
      <c r="E115" s="444">
        <v>12</v>
      </c>
      <c r="F115" s="429"/>
      <c r="G115" s="135"/>
      <c r="H115" s="430"/>
      <c r="I115" s="135"/>
      <c r="J115" s="89" t="s">
        <v>164</v>
      </c>
    </row>
    <row r="116" spans="1:10" s="206" customFormat="1" x14ac:dyDescent="0.2">
      <c r="A116" s="135"/>
      <c r="B116" s="135"/>
      <c r="C116" s="135"/>
      <c r="D116" s="135"/>
      <c r="E116" s="89"/>
      <c r="F116" s="430"/>
      <c r="G116" s="431" t="s">
        <v>164</v>
      </c>
      <c r="H116" s="434"/>
      <c r="I116" s="423">
        <v>3</v>
      </c>
      <c r="J116" s="437" t="s">
        <v>420</v>
      </c>
    </row>
    <row r="117" spans="1:10" s="206" customFormat="1" x14ac:dyDescent="0.2">
      <c r="A117" s="135"/>
      <c r="B117" s="135"/>
      <c r="C117" s="427" t="s">
        <v>182</v>
      </c>
      <c r="D117" s="135"/>
      <c r="E117" s="432">
        <v>11</v>
      </c>
      <c r="F117" s="430"/>
      <c r="G117" s="433"/>
      <c r="H117" s="425"/>
      <c r="I117" s="135"/>
      <c r="J117" s="135"/>
    </row>
    <row r="118" spans="1:10" s="206" customFormat="1" x14ac:dyDescent="0.2">
      <c r="A118" s="135"/>
      <c r="B118" s="135"/>
      <c r="C118" s="135"/>
      <c r="D118" s="429"/>
      <c r="E118" s="427" t="s">
        <v>47</v>
      </c>
      <c r="F118" s="434"/>
      <c r="G118" s="432">
        <v>7</v>
      </c>
      <c r="H118" s="89"/>
      <c r="I118" s="135"/>
      <c r="J118" s="135"/>
    </row>
    <row r="119" spans="1:10" s="206" customFormat="1" x14ac:dyDescent="0.2">
      <c r="A119" s="135"/>
      <c r="B119" s="135"/>
      <c r="C119" s="684" t="s">
        <v>47</v>
      </c>
      <c r="D119" s="434"/>
      <c r="E119" s="432">
        <v>13</v>
      </c>
      <c r="F119" s="135"/>
      <c r="G119" s="89"/>
      <c r="H119" s="89"/>
      <c r="I119" s="135"/>
      <c r="J119" s="135"/>
    </row>
    <row r="120" spans="1:10" s="206" customFormat="1" x14ac:dyDescent="0.2">
      <c r="A120" s="135"/>
      <c r="B120" s="135"/>
      <c r="C120" s="444"/>
      <c r="D120" s="135"/>
      <c r="E120" s="89"/>
      <c r="F120" s="89"/>
      <c r="G120" s="135" t="s">
        <v>172</v>
      </c>
      <c r="H120" s="135"/>
      <c r="I120" s="432">
        <v>1</v>
      </c>
      <c r="J120" s="135"/>
    </row>
    <row r="121" spans="1:10" s="206" customFormat="1" ht="13.5" thickBot="1" x14ac:dyDescent="0.25">
      <c r="A121" s="135"/>
      <c r="B121" s="135"/>
      <c r="C121" s="135"/>
      <c r="D121" s="135"/>
      <c r="E121" s="89"/>
      <c r="F121" s="89"/>
      <c r="G121" s="425"/>
      <c r="H121" s="429"/>
      <c r="I121" s="439"/>
      <c r="J121" s="439" t="s">
        <v>47</v>
      </c>
    </row>
    <row r="122" spans="1:10" s="206" customFormat="1" x14ac:dyDescent="0.2">
      <c r="A122" s="135"/>
      <c r="B122" s="135"/>
      <c r="C122" s="423"/>
      <c r="D122" s="135"/>
      <c r="E122" s="89"/>
      <c r="F122" s="89"/>
      <c r="G122" s="427" t="s">
        <v>47</v>
      </c>
      <c r="H122" s="434"/>
      <c r="I122" s="423">
        <v>13</v>
      </c>
      <c r="J122" s="441" t="s">
        <v>421</v>
      </c>
    </row>
    <row r="123" spans="1:10" s="206" customFormat="1" x14ac:dyDescent="0.2">
      <c r="A123" s="135"/>
      <c r="B123" s="135"/>
      <c r="C123" s="89"/>
      <c r="D123" s="89"/>
      <c r="E123" s="432"/>
      <c r="F123" s="89"/>
      <c r="G123" s="135"/>
      <c r="H123" s="135"/>
      <c r="I123" s="135"/>
      <c r="J123" s="89"/>
    </row>
    <row r="124" spans="1:10" s="206" customFormat="1" ht="13.5" thickBot="1" x14ac:dyDescent="0.25">
      <c r="A124" s="135"/>
      <c r="B124" s="135"/>
      <c r="C124" s="432"/>
      <c r="D124" s="89"/>
      <c r="E124" s="89"/>
      <c r="F124" s="89"/>
      <c r="G124" s="89"/>
      <c r="H124" s="89"/>
      <c r="I124" s="135"/>
      <c r="J124" s="439" t="s">
        <v>172</v>
      </c>
    </row>
    <row r="125" spans="1:10" s="206" customFormat="1" x14ac:dyDescent="0.2">
      <c r="A125" s="135"/>
      <c r="B125" s="135"/>
      <c r="C125" s="89"/>
      <c r="D125" s="89"/>
      <c r="E125" s="89"/>
      <c r="F125" s="89"/>
      <c r="G125" s="89"/>
      <c r="H125" s="89"/>
      <c r="I125" s="135"/>
      <c r="J125" s="63" t="s">
        <v>645</v>
      </c>
    </row>
    <row r="126" spans="1:10" s="206" customFormat="1" x14ac:dyDescent="0.2">
      <c r="A126" s="135"/>
      <c r="B126" s="135"/>
      <c r="C126" s="116"/>
      <c r="D126" s="116"/>
      <c r="E126" s="89"/>
      <c r="F126" s="89"/>
      <c r="G126" s="423"/>
      <c r="H126" s="423"/>
      <c r="I126" s="423"/>
      <c r="J126" s="135"/>
    </row>
    <row r="127" spans="1:10" s="206" customFormat="1" x14ac:dyDescent="0.2">
      <c r="A127" s="135"/>
      <c r="B127" s="135"/>
      <c r="C127" s="116"/>
      <c r="D127" s="116"/>
      <c r="E127" s="89"/>
      <c r="F127" s="89"/>
      <c r="J127" s="135"/>
    </row>
    <row r="128" spans="1:10" s="206" customFormat="1" x14ac:dyDescent="0.2">
      <c r="A128" s="135"/>
      <c r="B128" s="135"/>
      <c r="C128" s="116"/>
      <c r="D128" s="116"/>
      <c r="E128" s="89"/>
      <c r="F128" s="89"/>
      <c r="G128" s="706" t="s">
        <v>31</v>
      </c>
      <c r="H128" s="423"/>
      <c r="I128" s="686">
        <v>10</v>
      </c>
      <c r="J128" s="135"/>
    </row>
    <row r="129" spans="1:13" s="206" customFormat="1" ht="13.5" thickBot="1" x14ac:dyDescent="0.25">
      <c r="A129" s="135"/>
      <c r="B129" s="135"/>
      <c r="C129" s="116"/>
      <c r="D129" s="116"/>
      <c r="E129" s="89"/>
      <c r="F129" s="89"/>
      <c r="G129" s="444"/>
      <c r="H129" s="445"/>
      <c r="I129" s="423"/>
      <c r="J129" s="135" t="s">
        <v>182</v>
      </c>
    </row>
    <row r="130" spans="1:13" s="206" customFormat="1" x14ac:dyDescent="0.2">
      <c r="A130" s="135"/>
      <c r="B130" s="135"/>
      <c r="C130" s="116"/>
      <c r="D130" s="116"/>
      <c r="E130" s="89"/>
      <c r="F130" s="89"/>
      <c r="G130" s="446" t="s">
        <v>182</v>
      </c>
      <c r="H130" s="447"/>
      <c r="I130" s="432">
        <v>13</v>
      </c>
      <c r="J130" s="437" t="s">
        <v>646</v>
      </c>
    </row>
    <row r="131" spans="1:13" s="206" customFormat="1" x14ac:dyDescent="0.2">
      <c r="A131" s="135"/>
      <c r="B131" s="135"/>
      <c r="C131" s="116"/>
      <c r="D131" s="116"/>
      <c r="E131" s="89"/>
      <c r="F131" s="89"/>
      <c r="G131" s="707"/>
      <c r="J131" s="135"/>
    </row>
    <row r="132" spans="1:13" s="206" customFormat="1" ht="13.5" thickBot="1" x14ac:dyDescent="0.25">
      <c r="A132" s="135"/>
      <c r="B132" s="135"/>
      <c r="C132" s="116"/>
      <c r="D132" s="116"/>
      <c r="E132" s="89"/>
      <c r="F132" s="89"/>
      <c r="G132" s="432"/>
      <c r="H132" s="423"/>
      <c r="I132" s="432"/>
      <c r="J132" s="89" t="s">
        <v>31</v>
      </c>
    </row>
    <row r="133" spans="1:13" s="206" customFormat="1" x14ac:dyDescent="0.2">
      <c r="A133" s="135"/>
      <c r="B133" s="135"/>
      <c r="C133" s="116"/>
      <c r="D133" s="116"/>
      <c r="E133" s="89"/>
      <c r="F133" s="89"/>
      <c r="G133" s="423"/>
      <c r="H133" s="423"/>
      <c r="I133" s="432"/>
      <c r="J133" s="437" t="s">
        <v>647</v>
      </c>
    </row>
    <row r="134" spans="1:13" s="206" customFormat="1" x14ac:dyDescent="0.2">
      <c r="A134" s="135"/>
      <c r="B134" s="135"/>
      <c r="C134" s="135"/>
      <c r="D134" s="135"/>
      <c r="E134" s="135"/>
      <c r="F134" s="135"/>
      <c r="G134" s="135"/>
      <c r="H134" s="135"/>
      <c r="I134" s="135"/>
      <c r="J134" s="135"/>
      <c r="K134" s="135"/>
      <c r="L134" s="135"/>
      <c r="M134" s="135"/>
    </row>
    <row r="135" spans="1:13" s="206" customFormat="1" x14ac:dyDescent="0.2">
      <c r="A135" s="442" t="s">
        <v>764</v>
      </c>
      <c r="B135" s="135"/>
      <c r="C135" s="135"/>
      <c r="D135" s="135"/>
      <c r="E135" s="135"/>
      <c r="F135" s="135"/>
      <c r="G135" s="135"/>
      <c r="H135" s="135"/>
      <c r="I135" s="89"/>
      <c r="J135" s="89"/>
      <c r="K135" s="135"/>
      <c r="L135" s="63"/>
      <c r="M135" s="135"/>
    </row>
    <row r="136" spans="1:13" s="206" customFormat="1" x14ac:dyDescent="0.2">
      <c r="A136" s="135"/>
      <c r="B136" s="135"/>
      <c r="C136" s="135"/>
      <c r="D136" s="135"/>
      <c r="E136" s="135"/>
      <c r="F136" s="135"/>
      <c r="G136" s="135"/>
      <c r="H136" s="89"/>
      <c r="I136" s="89"/>
      <c r="J136" s="135"/>
      <c r="K136" s="63"/>
      <c r="L136" s="135"/>
    </row>
    <row r="137" spans="1:13" s="206" customFormat="1" x14ac:dyDescent="0.2">
      <c r="A137" s="135"/>
      <c r="B137" s="687" t="s">
        <v>737</v>
      </c>
      <c r="C137" s="427" t="s">
        <v>167</v>
      </c>
      <c r="D137" s="135"/>
      <c r="E137" s="423">
        <v>5</v>
      </c>
      <c r="F137" s="135"/>
      <c r="G137" s="135"/>
      <c r="H137" s="135"/>
      <c r="I137" s="135"/>
      <c r="J137" s="135"/>
      <c r="K137" s="135"/>
      <c r="L137" s="135"/>
    </row>
    <row r="138" spans="1:13" s="206" customFormat="1" x14ac:dyDescent="0.2">
      <c r="A138" s="982" t="s">
        <v>765</v>
      </c>
      <c r="B138" s="983" t="s">
        <v>51</v>
      </c>
      <c r="C138" s="444">
        <v>13</v>
      </c>
      <c r="D138" s="429"/>
      <c r="E138" s="431" t="s">
        <v>51</v>
      </c>
      <c r="F138" s="135"/>
      <c r="G138" s="423">
        <v>0</v>
      </c>
      <c r="H138" s="135"/>
      <c r="I138" s="135"/>
      <c r="J138" s="135"/>
      <c r="K138" s="135"/>
    </row>
    <row r="139" spans="1:13" s="206" customFormat="1" x14ac:dyDescent="0.2">
      <c r="A139" s="99"/>
      <c r="B139" s="984"/>
      <c r="C139" s="681" t="s">
        <v>51</v>
      </c>
      <c r="D139" s="434"/>
      <c r="E139" s="444">
        <v>13</v>
      </c>
      <c r="F139" s="429"/>
      <c r="G139" s="135"/>
      <c r="H139" s="135"/>
      <c r="I139" s="135"/>
      <c r="J139" s="135"/>
      <c r="K139" s="135"/>
    </row>
    <row r="140" spans="1:13" s="206" customFormat="1" x14ac:dyDescent="0.2">
      <c r="A140" s="982" t="s">
        <v>767</v>
      </c>
      <c r="B140" s="985" t="s">
        <v>80</v>
      </c>
      <c r="C140" s="423">
        <v>7</v>
      </c>
      <c r="D140" s="135"/>
      <c r="E140" s="89"/>
      <c r="F140" s="430"/>
      <c r="G140" s="431" t="s">
        <v>163</v>
      </c>
      <c r="H140" s="135"/>
      <c r="I140" s="423">
        <v>11</v>
      </c>
      <c r="J140" s="135"/>
      <c r="K140" s="135"/>
    </row>
    <row r="141" spans="1:13" s="206" customFormat="1" x14ac:dyDescent="0.2">
      <c r="A141" s="986"/>
      <c r="B141" s="422" t="s">
        <v>736</v>
      </c>
      <c r="C141" s="427" t="s">
        <v>145</v>
      </c>
      <c r="D141" s="135"/>
      <c r="E141" s="432">
        <v>10</v>
      </c>
      <c r="F141" s="430"/>
      <c r="G141" s="433"/>
      <c r="H141" s="429"/>
      <c r="I141" s="135"/>
      <c r="J141" s="135"/>
      <c r="K141" s="135"/>
    </row>
    <row r="142" spans="1:13" s="206" customFormat="1" x14ac:dyDescent="0.2">
      <c r="A142" s="986"/>
      <c r="B142" s="983"/>
      <c r="C142" s="135"/>
      <c r="D142" s="429"/>
      <c r="E142" s="427" t="s">
        <v>163</v>
      </c>
      <c r="F142" s="434"/>
      <c r="G142" s="432">
        <v>13</v>
      </c>
      <c r="H142" s="430"/>
      <c r="I142" s="135"/>
      <c r="J142" s="135"/>
      <c r="K142" s="135"/>
    </row>
    <row r="143" spans="1:13" s="206" customFormat="1" x14ac:dyDescent="0.2">
      <c r="A143" s="986"/>
      <c r="B143" s="422" t="s">
        <v>766</v>
      </c>
      <c r="C143" s="89" t="s">
        <v>163</v>
      </c>
      <c r="D143" s="434"/>
      <c r="E143" s="432">
        <v>13</v>
      </c>
      <c r="F143" s="135"/>
      <c r="G143" s="89"/>
      <c r="H143" s="430"/>
      <c r="I143" s="135"/>
      <c r="J143" s="135"/>
      <c r="K143" s="135"/>
    </row>
    <row r="144" spans="1:13" s="206" customFormat="1" ht="13.5" thickBot="1" x14ac:dyDescent="0.25">
      <c r="A144" s="986"/>
      <c r="B144" s="983"/>
      <c r="C144" s="444"/>
      <c r="D144" s="135"/>
      <c r="E144" s="89"/>
      <c r="F144" s="89"/>
      <c r="G144" s="89"/>
      <c r="H144" s="430"/>
      <c r="I144" s="135"/>
      <c r="J144" s="135" t="s">
        <v>177</v>
      </c>
      <c r="K144" s="135"/>
    </row>
    <row r="145" spans="1:11" s="206" customFormat="1" x14ac:dyDescent="0.2">
      <c r="A145" s="986"/>
      <c r="B145" s="422" t="s">
        <v>735</v>
      </c>
      <c r="C145" s="89" t="s">
        <v>327</v>
      </c>
      <c r="D145" s="135"/>
      <c r="E145" s="423">
        <v>13</v>
      </c>
      <c r="F145" s="135"/>
      <c r="G145" s="135"/>
      <c r="H145" s="430"/>
      <c r="I145" s="438"/>
      <c r="J145" s="437" t="s">
        <v>648</v>
      </c>
      <c r="K145" s="135"/>
    </row>
    <row r="146" spans="1:11" s="206" customFormat="1" x14ac:dyDescent="0.2">
      <c r="A146" s="135"/>
      <c r="B146" s="89"/>
      <c r="C146" s="425"/>
      <c r="D146" s="429"/>
      <c r="E146" s="431" t="s">
        <v>327</v>
      </c>
      <c r="F146" s="135"/>
      <c r="G146" s="423">
        <v>3</v>
      </c>
      <c r="H146" s="430"/>
      <c r="I146" s="135"/>
      <c r="J146" s="135"/>
      <c r="K146" s="135"/>
    </row>
    <row r="147" spans="1:11" s="206" customFormat="1" ht="13.5" thickBot="1" x14ac:dyDescent="0.25">
      <c r="A147" s="135"/>
      <c r="B147" s="687" t="s">
        <v>739</v>
      </c>
      <c r="C147" s="427" t="s">
        <v>744</v>
      </c>
      <c r="D147" s="434"/>
      <c r="E147" s="444">
        <v>9</v>
      </c>
      <c r="F147" s="429"/>
      <c r="G147" s="135"/>
      <c r="H147" s="430"/>
      <c r="I147" s="135"/>
      <c r="J147" s="89" t="s">
        <v>163</v>
      </c>
      <c r="K147" s="135"/>
    </row>
    <row r="148" spans="1:11" s="206" customFormat="1" x14ac:dyDescent="0.2">
      <c r="A148" s="135"/>
      <c r="B148" s="89"/>
      <c r="C148" s="135"/>
      <c r="D148" s="135"/>
      <c r="E148" s="89"/>
      <c r="F148" s="430"/>
      <c r="G148" s="431" t="s">
        <v>177</v>
      </c>
      <c r="H148" s="434"/>
      <c r="I148" s="423">
        <v>13</v>
      </c>
      <c r="J148" s="437" t="s">
        <v>649</v>
      </c>
      <c r="K148" s="135"/>
    </row>
    <row r="149" spans="1:11" s="206" customFormat="1" x14ac:dyDescent="0.2">
      <c r="A149" s="135"/>
      <c r="B149" s="687" t="s">
        <v>740</v>
      </c>
      <c r="C149" s="427" t="s">
        <v>57</v>
      </c>
      <c r="D149" s="135"/>
      <c r="E149" s="709">
        <v>11</v>
      </c>
      <c r="F149" s="430"/>
      <c r="G149" s="433"/>
      <c r="H149" s="425"/>
      <c r="I149" s="135"/>
      <c r="J149" s="135"/>
      <c r="K149" s="135"/>
    </row>
    <row r="150" spans="1:11" s="206" customFormat="1" x14ac:dyDescent="0.2">
      <c r="A150" s="135"/>
      <c r="B150" s="89"/>
      <c r="C150" s="135"/>
      <c r="D150" s="429"/>
      <c r="E150" s="427" t="s">
        <v>177</v>
      </c>
      <c r="F150" s="434"/>
      <c r="G150" s="689">
        <v>13</v>
      </c>
      <c r="H150" s="89"/>
      <c r="I150" s="135"/>
      <c r="J150" s="135"/>
      <c r="K150" s="135"/>
    </row>
    <row r="151" spans="1:11" s="206" customFormat="1" x14ac:dyDescent="0.2">
      <c r="A151" s="135"/>
      <c r="B151" s="687" t="s">
        <v>738</v>
      </c>
      <c r="C151" s="89" t="s">
        <v>177</v>
      </c>
      <c r="D151" s="434"/>
      <c r="E151" s="432">
        <v>13</v>
      </c>
      <c r="F151" s="135"/>
      <c r="G151" s="89"/>
      <c r="H151" s="89"/>
      <c r="I151" s="135"/>
      <c r="J151" s="135"/>
      <c r="K151" s="135"/>
    </row>
    <row r="152" spans="1:11" s="206" customFormat="1" x14ac:dyDescent="0.2">
      <c r="A152" s="135"/>
      <c r="B152" s="89"/>
      <c r="C152" s="444"/>
      <c r="D152" s="135"/>
      <c r="E152" s="89"/>
      <c r="F152" s="89"/>
      <c r="G152" s="135" t="s">
        <v>51</v>
      </c>
      <c r="H152" s="135"/>
      <c r="I152" s="432">
        <v>7</v>
      </c>
      <c r="J152" s="135"/>
      <c r="K152" s="135"/>
    </row>
    <row r="153" spans="1:11" s="206" customFormat="1" ht="13.5" thickBot="1" x14ac:dyDescent="0.25">
      <c r="A153" s="135"/>
      <c r="B153" s="89"/>
      <c r="C153" s="135"/>
      <c r="D153" s="135"/>
      <c r="E153" s="89"/>
      <c r="F153" s="89"/>
      <c r="G153" s="425"/>
      <c r="H153" s="429"/>
      <c r="I153" s="439"/>
      <c r="J153" s="439" t="s">
        <v>327</v>
      </c>
      <c r="K153" s="135"/>
    </row>
    <row r="154" spans="1:11" s="206" customFormat="1" x14ac:dyDescent="0.2">
      <c r="A154" s="135"/>
      <c r="B154" s="89"/>
      <c r="C154" s="423"/>
      <c r="D154" s="135"/>
      <c r="E154" s="89"/>
      <c r="F154" s="89"/>
      <c r="G154" s="427" t="s">
        <v>327</v>
      </c>
      <c r="H154" s="434"/>
      <c r="I154" s="688">
        <v>13</v>
      </c>
      <c r="J154" s="441" t="s">
        <v>650</v>
      </c>
      <c r="K154" s="135"/>
    </row>
    <row r="155" spans="1:11" s="206" customFormat="1" x14ac:dyDescent="0.2">
      <c r="A155" s="135"/>
      <c r="B155" s="89"/>
      <c r="C155" s="89"/>
      <c r="D155" s="89"/>
      <c r="E155" s="432"/>
      <c r="F155" s="89"/>
      <c r="G155" s="135"/>
      <c r="H155" s="135"/>
      <c r="I155" s="135"/>
      <c r="J155" s="89"/>
      <c r="K155" s="135"/>
    </row>
    <row r="156" spans="1:11" s="206" customFormat="1" ht="13.5" thickBot="1" x14ac:dyDescent="0.25">
      <c r="A156" s="135"/>
      <c r="B156" s="89"/>
      <c r="C156" s="432"/>
      <c r="D156" s="89"/>
      <c r="E156" s="89"/>
      <c r="F156" s="89"/>
      <c r="G156" s="89"/>
      <c r="H156" s="89"/>
      <c r="I156" s="135"/>
      <c r="J156" s="439" t="s">
        <v>51</v>
      </c>
      <c r="K156" s="135"/>
    </row>
    <row r="157" spans="1:11" s="206" customFormat="1" x14ac:dyDescent="0.2">
      <c r="A157" s="135"/>
      <c r="B157" s="89"/>
      <c r="C157" s="89"/>
      <c r="D157" s="89"/>
      <c r="E157" s="89" t="s">
        <v>167</v>
      </c>
      <c r="F157" s="135"/>
      <c r="G157" s="423">
        <v>10</v>
      </c>
      <c r="H157" s="135"/>
      <c r="I157" s="135"/>
      <c r="J157" s="63" t="s">
        <v>651</v>
      </c>
      <c r="K157" s="135"/>
    </row>
    <row r="158" spans="1:11" s="206" customFormat="1" x14ac:dyDescent="0.2">
      <c r="A158" s="135"/>
      <c r="B158" s="89"/>
      <c r="C158" s="89"/>
      <c r="D158" s="89"/>
      <c r="E158" s="425"/>
      <c r="F158" s="429"/>
      <c r="G158" s="431" t="s">
        <v>145</v>
      </c>
      <c r="H158" s="135"/>
      <c r="I158" s="423">
        <v>10</v>
      </c>
      <c r="J158" s="135"/>
      <c r="K158" s="135"/>
    </row>
    <row r="159" spans="1:11" s="206" customFormat="1" x14ac:dyDescent="0.2">
      <c r="A159" s="135"/>
      <c r="B159" s="89"/>
      <c r="C159" s="432"/>
      <c r="D159" s="89"/>
      <c r="E159" s="427" t="s">
        <v>145</v>
      </c>
      <c r="F159" s="434"/>
      <c r="G159" s="690">
        <v>13</v>
      </c>
      <c r="H159" s="429"/>
      <c r="I159" s="135"/>
      <c r="J159" s="135"/>
      <c r="K159" s="135"/>
    </row>
    <row r="160" spans="1:11" s="206" customFormat="1" ht="13.5" thickBot="1" x14ac:dyDescent="0.25">
      <c r="A160" s="135"/>
      <c r="B160" s="89"/>
      <c r="C160" s="89"/>
      <c r="D160" s="89"/>
      <c r="E160" s="423"/>
      <c r="F160" s="135"/>
      <c r="G160" s="135"/>
      <c r="H160" s="430"/>
      <c r="I160" s="135"/>
      <c r="J160" s="135" t="s">
        <v>57</v>
      </c>
      <c r="K160" s="135"/>
    </row>
    <row r="161" spans="1:12" s="206" customFormat="1" x14ac:dyDescent="0.2">
      <c r="A161" s="135"/>
      <c r="B161" s="89"/>
      <c r="C161" s="135"/>
      <c r="D161" s="89"/>
      <c r="E161" s="89" t="s">
        <v>744</v>
      </c>
      <c r="F161" s="135"/>
      <c r="G161" s="423">
        <v>10</v>
      </c>
      <c r="H161" s="430"/>
      <c r="I161" s="438"/>
      <c r="J161" s="437" t="s">
        <v>652</v>
      </c>
      <c r="K161" s="135"/>
    </row>
    <row r="162" spans="1:12" s="206" customFormat="1" x14ac:dyDescent="0.2">
      <c r="A162" s="135"/>
      <c r="B162" s="135"/>
      <c r="C162" s="135"/>
      <c r="D162" s="89"/>
      <c r="E162" s="425"/>
      <c r="F162" s="429"/>
      <c r="G162" s="431" t="s">
        <v>57</v>
      </c>
      <c r="H162" s="434"/>
      <c r="I162" s="688">
        <v>13</v>
      </c>
      <c r="J162" s="135"/>
      <c r="K162" s="135"/>
    </row>
    <row r="163" spans="1:12" s="206" customFormat="1" ht="13.5" thickBot="1" x14ac:dyDescent="0.25">
      <c r="A163" s="135"/>
      <c r="B163" s="135"/>
      <c r="C163" s="135"/>
      <c r="D163" s="89"/>
      <c r="E163" s="427" t="s">
        <v>57</v>
      </c>
      <c r="F163" s="434"/>
      <c r="G163" s="690">
        <v>13</v>
      </c>
      <c r="H163" s="89"/>
      <c r="I163" s="135"/>
      <c r="J163" s="89" t="s">
        <v>145</v>
      </c>
      <c r="K163" s="135"/>
    </row>
    <row r="164" spans="1:12" s="206" customFormat="1" x14ac:dyDescent="0.2">
      <c r="A164" s="135"/>
      <c r="B164" s="135"/>
      <c r="C164" s="135"/>
      <c r="D164" s="89"/>
      <c r="E164" s="432"/>
      <c r="F164" s="135"/>
      <c r="G164" s="89"/>
      <c r="H164" s="89"/>
      <c r="I164" s="135"/>
      <c r="J164" s="437" t="s">
        <v>653</v>
      </c>
      <c r="K164" s="135"/>
    </row>
    <row r="165" spans="1:12" s="206" customFormat="1" x14ac:dyDescent="0.2">
      <c r="A165" s="135"/>
      <c r="B165" s="135"/>
      <c r="C165" s="135"/>
      <c r="D165" s="89"/>
      <c r="E165" s="89"/>
      <c r="F165" s="89"/>
      <c r="G165" s="135" t="s">
        <v>167</v>
      </c>
      <c r="H165" s="135"/>
      <c r="I165" s="689">
        <v>13</v>
      </c>
      <c r="J165" s="135"/>
      <c r="K165" s="135"/>
    </row>
    <row r="166" spans="1:12" s="206" customFormat="1" ht="13.5" thickBot="1" x14ac:dyDescent="0.25">
      <c r="A166" s="135"/>
      <c r="B166" s="135"/>
      <c r="C166" s="135"/>
      <c r="D166" s="89"/>
      <c r="E166" s="89"/>
      <c r="F166" s="89"/>
      <c r="G166" s="425"/>
      <c r="H166" s="429"/>
      <c r="I166" s="439"/>
      <c r="J166" s="439" t="s">
        <v>167</v>
      </c>
      <c r="K166" s="135"/>
    </row>
    <row r="167" spans="1:12" s="206" customFormat="1" x14ac:dyDescent="0.2">
      <c r="A167" s="135"/>
      <c r="B167" s="135"/>
      <c r="C167" s="135"/>
      <c r="D167" s="89"/>
      <c r="E167" s="89"/>
      <c r="F167" s="89"/>
      <c r="G167" s="427" t="s">
        <v>744</v>
      </c>
      <c r="H167" s="434"/>
      <c r="I167" s="708">
        <v>6</v>
      </c>
      <c r="J167" s="441" t="s">
        <v>741</v>
      </c>
      <c r="K167" s="135"/>
    </row>
    <row r="168" spans="1:12" s="206" customFormat="1" x14ac:dyDescent="0.2">
      <c r="A168" s="59">
        <v>1</v>
      </c>
      <c r="B168" s="84" t="s">
        <v>38</v>
      </c>
      <c r="C168" s="135"/>
      <c r="D168" s="135"/>
      <c r="E168" s="135"/>
      <c r="F168" s="135"/>
      <c r="G168" s="135"/>
      <c r="H168" s="135"/>
      <c r="I168" s="135"/>
      <c r="J168" s="89"/>
      <c r="K168" s="135"/>
    </row>
    <row r="169" spans="1:12" s="206" customFormat="1" ht="13.5" thickBot="1" x14ac:dyDescent="0.25">
      <c r="A169" s="59">
        <v>2</v>
      </c>
      <c r="B169" s="91" t="s">
        <v>67</v>
      </c>
      <c r="C169" s="135"/>
      <c r="D169" s="135"/>
      <c r="E169" s="432"/>
      <c r="F169" s="89"/>
      <c r="G169" s="135"/>
      <c r="H169" s="135"/>
      <c r="I169" s="135"/>
      <c r="J169" s="710" t="s">
        <v>744</v>
      </c>
      <c r="K169" s="135"/>
    </row>
    <row r="170" spans="1:12" s="206" customFormat="1" x14ac:dyDescent="0.2">
      <c r="A170" s="59">
        <v>3</v>
      </c>
      <c r="B170" s="92" t="s">
        <v>41</v>
      </c>
      <c r="C170" s="135"/>
      <c r="D170" s="135"/>
      <c r="E170" s="89"/>
      <c r="F170" s="89"/>
      <c r="G170" s="89"/>
      <c r="H170" s="89"/>
      <c r="I170" s="135"/>
      <c r="J170" s="441" t="s">
        <v>742</v>
      </c>
      <c r="K170" s="135"/>
    </row>
    <row r="171" spans="1:12" s="206" customFormat="1" x14ac:dyDescent="0.2">
      <c r="A171" s="59">
        <v>4</v>
      </c>
      <c r="B171" s="94" t="s">
        <v>209</v>
      </c>
      <c r="C171" s="135"/>
      <c r="D171" s="135"/>
      <c r="E171" s="89"/>
      <c r="F171" s="89"/>
      <c r="G171" s="89"/>
      <c r="H171" s="89"/>
      <c r="I171" s="135"/>
      <c r="J171" s="63"/>
      <c r="K171" s="135"/>
    </row>
    <row r="172" spans="1:12" s="90" customFormat="1" ht="13.5" thickBot="1" x14ac:dyDescent="0.25">
      <c r="A172" s="59">
        <v>5</v>
      </c>
      <c r="B172" s="94" t="s">
        <v>34</v>
      </c>
      <c r="F172" s="89"/>
      <c r="G172" s="89"/>
      <c r="H172" s="89"/>
      <c r="I172" s="89"/>
      <c r="J172" s="439" t="s">
        <v>80</v>
      </c>
      <c r="L172" s="63"/>
    </row>
    <row r="173" spans="1:12" s="90" customFormat="1" x14ac:dyDescent="0.2">
      <c r="A173" s="59">
        <v>6</v>
      </c>
      <c r="B173" s="94" t="s">
        <v>64</v>
      </c>
      <c r="J173" s="441" t="s">
        <v>743</v>
      </c>
    </row>
    <row r="174" spans="1:12" s="90" customFormat="1" x14ac:dyDescent="0.2">
      <c r="A174" s="59">
        <v>7</v>
      </c>
      <c r="B174" s="94" t="s">
        <v>60</v>
      </c>
    </row>
    <row r="175" spans="1:12" s="90" customFormat="1" x14ac:dyDescent="0.2">
      <c r="A175" s="59">
        <v>8</v>
      </c>
      <c r="B175" s="94" t="s">
        <v>176</v>
      </c>
    </row>
    <row r="176" spans="1:12" s="90" customFormat="1" x14ac:dyDescent="0.2">
      <c r="A176" s="59">
        <v>9</v>
      </c>
      <c r="B176" s="94" t="s">
        <v>35</v>
      </c>
    </row>
    <row r="177" spans="1:2" s="90" customFormat="1" x14ac:dyDescent="0.2">
      <c r="A177" s="59">
        <v>10</v>
      </c>
      <c r="B177" s="94" t="s">
        <v>164</v>
      </c>
    </row>
    <row r="178" spans="1:2" s="90" customFormat="1" x14ac:dyDescent="0.2">
      <c r="A178" s="59">
        <v>11</v>
      </c>
      <c r="B178" s="94" t="s">
        <v>47</v>
      </c>
    </row>
    <row r="179" spans="1:2" s="90" customFormat="1" x14ac:dyDescent="0.2">
      <c r="A179" s="59">
        <v>12</v>
      </c>
      <c r="B179" s="94" t="s">
        <v>172</v>
      </c>
    </row>
    <row r="180" spans="1:2" s="90" customFormat="1" x14ac:dyDescent="0.2">
      <c r="A180" s="59">
        <v>13</v>
      </c>
      <c r="B180" s="94" t="s">
        <v>182</v>
      </c>
    </row>
    <row r="181" spans="1:2" s="90" customFormat="1" x14ac:dyDescent="0.2">
      <c r="A181" s="59">
        <v>14</v>
      </c>
      <c r="B181" s="94" t="s">
        <v>31</v>
      </c>
    </row>
    <row r="182" spans="1:2" s="90" customFormat="1" x14ac:dyDescent="0.2">
      <c r="A182" s="59">
        <v>15</v>
      </c>
      <c r="B182" s="94" t="s">
        <v>177</v>
      </c>
    </row>
    <row r="183" spans="1:2" s="90" customFormat="1" x14ac:dyDescent="0.2">
      <c r="A183" s="59">
        <v>16</v>
      </c>
      <c r="B183" s="94" t="s">
        <v>163</v>
      </c>
    </row>
    <row r="184" spans="1:2" s="90" customFormat="1" x14ac:dyDescent="0.2">
      <c r="A184" s="59">
        <v>17</v>
      </c>
      <c r="B184" s="94" t="s">
        <v>327</v>
      </c>
    </row>
    <row r="185" spans="1:2" s="90" customFormat="1" x14ac:dyDescent="0.2">
      <c r="A185" s="59">
        <v>18</v>
      </c>
      <c r="B185" s="94" t="s">
        <v>51</v>
      </c>
    </row>
    <row r="186" spans="1:2" s="90" customFormat="1" x14ac:dyDescent="0.2">
      <c r="A186" s="59">
        <v>19</v>
      </c>
      <c r="B186" s="94" t="s">
        <v>57</v>
      </c>
    </row>
    <row r="187" spans="1:2" s="90" customFormat="1" x14ac:dyDescent="0.2">
      <c r="A187" s="59">
        <v>20</v>
      </c>
      <c r="B187" s="94" t="s">
        <v>145</v>
      </c>
    </row>
    <row r="188" spans="1:2" s="90" customFormat="1" x14ac:dyDescent="0.2">
      <c r="A188" s="59">
        <v>21</v>
      </c>
      <c r="B188" s="94" t="s">
        <v>167</v>
      </c>
    </row>
    <row r="189" spans="1:2" s="90" customFormat="1" x14ac:dyDescent="0.2">
      <c r="A189" s="59">
        <v>22</v>
      </c>
      <c r="B189" s="94" t="s">
        <v>744</v>
      </c>
    </row>
    <row r="190" spans="1:2" s="90" customFormat="1" x14ac:dyDescent="0.2">
      <c r="A190" s="59">
        <v>23</v>
      </c>
      <c r="B190" s="94" t="s">
        <v>80</v>
      </c>
    </row>
    <row r="191" spans="1:2" s="90" customFormat="1" x14ac:dyDescent="0.2"/>
    <row r="192" spans="1:2" s="90" customFormat="1" x14ac:dyDescent="0.2"/>
    <row r="193" s="90" customFormat="1" x14ac:dyDescent="0.2"/>
    <row r="194" s="90" customFormat="1" x14ac:dyDescent="0.2"/>
    <row r="195" s="90" customFormat="1" x14ac:dyDescent="0.2"/>
  </sheetData>
  <conditionalFormatting sqref="G7:G10">
    <cfRule type="duplicateValues" dxfId="489" priority="68"/>
    <cfRule type="cellIs" dxfId="488" priority="69" operator="equal">
      <formula>13</formula>
    </cfRule>
  </conditionalFormatting>
  <conditionalFormatting sqref="C7:F9 D10 F10">
    <cfRule type="cellIs" dxfId="487" priority="67" operator="greaterThan">
      <formula>13</formula>
    </cfRule>
  </conditionalFormatting>
  <conditionalFormatting sqref="B7:B10">
    <cfRule type="duplicateValues" dxfId="486" priority="66"/>
  </conditionalFormatting>
  <conditionalFormatting sqref="C10">
    <cfRule type="cellIs" dxfId="485" priority="64" operator="greaterThan">
      <formula>13</formula>
    </cfRule>
  </conditionalFormatting>
  <conditionalFormatting sqref="E10">
    <cfRule type="cellIs" dxfId="484" priority="62" operator="greaterThan">
      <formula>13</formula>
    </cfRule>
  </conditionalFormatting>
  <conditionalFormatting sqref="G13:G16">
    <cfRule type="duplicateValues" dxfId="483" priority="59"/>
    <cfRule type="cellIs" dxfId="482" priority="60" operator="equal">
      <formula>13</formula>
    </cfRule>
  </conditionalFormatting>
  <conditionalFormatting sqref="C13:F15 D16 F16">
    <cfRule type="cellIs" dxfId="481" priority="58" operator="greaterThan">
      <formula>13</formula>
    </cfRule>
  </conditionalFormatting>
  <conditionalFormatting sqref="B13:B16">
    <cfRule type="duplicateValues" dxfId="480" priority="57"/>
  </conditionalFormatting>
  <conditionalFormatting sqref="C16">
    <cfRule type="cellIs" dxfId="479" priority="55" operator="greaterThan">
      <formula>13</formula>
    </cfRule>
  </conditionalFormatting>
  <conditionalFormatting sqref="E16">
    <cfRule type="cellIs" dxfId="478" priority="53" operator="greaterThan">
      <formula>13</formula>
    </cfRule>
  </conditionalFormatting>
  <conditionalFormatting sqref="G19:G22">
    <cfRule type="duplicateValues" dxfId="477" priority="50"/>
    <cfRule type="cellIs" dxfId="476" priority="51" operator="equal">
      <formula>13</formula>
    </cfRule>
  </conditionalFormatting>
  <conditionalFormatting sqref="C19:F21 D22 F22">
    <cfRule type="cellIs" dxfId="475" priority="49" operator="greaterThan">
      <formula>13</formula>
    </cfRule>
  </conditionalFormatting>
  <conditionalFormatting sqref="B19:B22">
    <cfRule type="duplicateValues" dxfId="474" priority="48"/>
  </conditionalFormatting>
  <conditionalFormatting sqref="C22">
    <cfRule type="cellIs" dxfId="473" priority="46" operator="greaterThan">
      <formula>13</formula>
    </cfRule>
  </conditionalFormatting>
  <conditionalFormatting sqref="E22">
    <cfRule type="cellIs" dxfId="472" priority="44" operator="greaterThan">
      <formula>13</formula>
    </cfRule>
  </conditionalFormatting>
  <conditionalFormatting sqref="G25:G28">
    <cfRule type="duplicateValues" dxfId="471" priority="41"/>
    <cfRule type="cellIs" dxfId="470" priority="42" operator="equal">
      <formula>13</formula>
    </cfRule>
  </conditionalFormatting>
  <conditionalFormatting sqref="C25:F27 D28 F28">
    <cfRule type="cellIs" dxfId="469" priority="40" operator="greaterThan">
      <formula>13</formula>
    </cfRule>
  </conditionalFormatting>
  <conditionalFormatting sqref="B25:B28">
    <cfRule type="duplicateValues" dxfId="468" priority="39"/>
  </conditionalFormatting>
  <conditionalFormatting sqref="C28">
    <cfRule type="cellIs" dxfId="467" priority="37" operator="greaterThan">
      <formula>13</formula>
    </cfRule>
  </conditionalFormatting>
  <conditionalFormatting sqref="E28">
    <cfRule type="cellIs" dxfId="466" priority="35" operator="greaterThan">
      <formula>13</formula>
    </cfRule>
  </conditionalFormatting>
  <conditionalFormatting sqref="G31:G34">
    <cfRule type="duplicateValues" dxfId="465" priority="32"/>
    <cfRule type="cellIs" dxfId="464" priority="33" operator="equal">
      <formula>13</formula>
    </cfRule>
  </conditionalFormatting>
  <conditionalFormatting sqref="C31:F33 D34 F34">
    <cfRule type="cellIs" dxfId="463" priority="31" operator="greaterThan">
      <formula>13</formula>
    </cfRule>
  </conditionalFormatting>
  <conditionalFormatting sqref="B31:B34">
    <cfRule type="duplicateValues" dxfId="462" priority="30"/>
  </conditionalFormatting>
  <conditionalFormatting sqref="C34">
    <cfRule type="cellIs" dxfId="461" priority="28" operator="greaterThan">
      <formula>13</formula>
    </cfRule>
  </conditionalFormatting>
  <conditionalFormatting sqref="E34">
    <cfRule type="cellIs" dxfId="460" priority="26" operator="greaterThan">
      <formula>13</formula>
    </cfRule>
  </conditionalFormatting>
  <conditionalFormatting sqref="G37:G40">
    <cfRule type="duplicateValues" dxfId="459" priority="23"/>
    <cfRule type="cellIs" dxfId="458" priority="24" operator="equal">
      <formula>13</formula>
    </cfRule>
  </conditionalFormatting>
  <conditionalFormatting sqref="C37:F39 D40 F40">
    <cfRule type="cellIs" dxfId="457" priority="22" operator="greaterThan">
      <formula>13</formula>
    </cfRule>
  </conditionalFormatting>
  <conditionalFormatting sqref="B37:B40">
    <cfRule type="duplicateValues" dxfId="456" priority="21"/>
  </conditionalFormatting>
  <conditionalFormatting sqref="C40">
    <cfRule type="cellIs" dxfId="455" priority="19" operator="greaterThan">
      <formula>13</formula>
    </cfRule>
  </conditionalFormatting>
  <conditionalFormatting sqref="E40">
    <cfRule type="cellIs" dxfId="454" priority="17" operator="greaterThan">
      <formula>13</formula>
    </cfRule>
  </conditionalFormatting>
  <conditionalFormatting sqref="G43:G46">
    <cfRule type="duplicateValues" dxfId="453" priority="14"/>
    <cfRule type="cellIs" dxfId="452" priority="15" operator="equal">
      <formula>13</formula>
    </cfRule>
  </conditionalFormatting>
  <conditionalFormatting sqref="C43:F45 D46 F46">
    <cfRule type="cellIs" dxfId="451" priority="13" operator="greaterThan">
      <formula>13</formula>
    </cfRule>
  </conditionalFormatting>
  <conditionalFormatting sqref="B43:B46">
    <cfRule type="duplicateValues" dxfId="450" priority="12"/>
  </conditionalFormatting>
  <conditionalFormatting sqref="C46">
    <cfRule type="cellIs" dxfId="449" priority="10" operator="greaterThan">
      <formula>13</formula>
    </cfRule>
  </conditionalFormatting>
  <conditionalFormatting sqref="E46">
    <cfRule type="cellIs" dxfId="448" priority="8" operator="greaterThan">
      <formula>13</formula>
    </cfRule>
  </conditionalFormatting>
  <conditionalFormatting sqref="C50:I126 C127:F127 C131:F131 C128:I130 C132:I167">
    <cfRule type="cellIs" dxfId="447" priority="4" operator="equal">
      <formula>13</formula>
    </cfRule>
  </conditionalFormatting>
  <conditionalFormatting sqref="C7:F46">
    <cfRule type="cellIs" dxfId="446" priority="3" operator="equal">
      <formula>13</formula>
    </cfRule>
  </conditionalFormatting>
  <conditionalFormatting sqref="J65">
    <cfRule type="duplicateValues" dxfId="445" priority="2"/>
  </conditionalFormatting>
  <conditionalFormatting sqref="J132">
    <cfRule type="cellIs" dxfId="444" priority="1"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rowBreaks count="3" manualBreakCount="3">
    <brk id="46" max="16383" man="1"/>
    <brk id="101" max="16383" man="1"/>
    <brk id="1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L84"/>
  <sheetViews>
    <sheetView showGridLines="0" showRowColHeaders="0" zoomScaleNormal="100" workbookViewId="0">
      <pane ySplit="2" topLeftCell="A3" activePane="bottomLeft" state="frozen"/>
      <selection pane="bottomLeft" activeCell="K1" sqref="K1"/>
    </sheetView>
  </sheetViews>
  <sheetFormatPr defaultRowHeight="12.75" x14ac:dyDescent="0.2"/>
  <cols>
    <col min="1" max="1" width="3.28515625" style="97" customWidth="1"/>
    <col min="2" max="2" width="16.42578125" style="97" bestFit="1" customWidth="1"/>
    <col min="3" max="3" width="7.28515625" style="97" customWidth="1"/>
    <col min="4" max="4" width="7.42578125" style="97" customWidth="1"/>
    <col min="5" max="5" width="9.140625" style="97"/>
    <col min="6" max="6" width="6.7109375" style="97" bestFit="1" customWidth="1"/>
    <col min="7" max="7" width="5.140625" style="97" customWidth="1"/>
    <col min="8" max="8" width="4.140625" style="206" bestFit="1" customWidth="1"/>
    <col min="9" max="9" width="2.7109375" style="206" customWidth="1"/>
    <col min="10" max="10" width="15.28515625" style="97" customWidth="1"/>
    <col min="11" max="16384" width="9.140625" style="97"/>
  </cols>
  <sheetData>
    <row r="1" spans="1:12" x14ac:dyDescent="0.2">
      <c r="A1" s="117" t="str">
        <f>UPPER((Kalend!E12)&amp;" - "&amp;(Kalend!C12)&amp;" - "&amp;(Kalend!D12))</f>
        <v>4M - 27. EESTI MV - ÜKSIK</v>
      </c>
      <c r="E1" s="82" t="s">
        <v>169</v>
      </c>
      <c r="J1" s="85" t="str">
        <f>HYPERLINK("#Üldreiting!I1","Reiting")</f>
        <v>Reiting</v>
      </c>
      <c r="K1" s="206"/>
      <c r="L1" s="206"/>
    </row>
    <row r="2" spans="1:12" x14ac:dyDescent="0.2">
      <c r="A2" s="116" t="str">
        <f>"Toimumisaeg: "&amp;(Kalend!A12)&amp;" kell "&amp;(Kalend!B12)</f>
        <v>Toimumisaeg: L, 10.06.2017 kell 10:30</v>
      </c>
    </row>
    <row r="3" spans="1:12" x14ac:dyDescent="0.2">
      <c r="A3" s="116" t="str">
        <f>"Toimumiskoht: "&amp;(Kalend!H12)</f>
        <v>Toimumiskoht: Jõhvi, Neptun</v>
      </c>
    </row>
    <row r="4" spans="1:12" x14ac:dyDescent="0.2">
      <c r="A4" s="116" t="str">
        <f>"Korraldaja: "&amp;(Kalend!I12)</f>
        <v>Korraldaja: Kohtla-Järve SHK, Ivar Viljaste</v>
      </c>
    </row>
    <row r="5" spans="1:12" s="206" customFormat="1" x14ac:dyDescent="0.2">
      <c r="A5" s="116"/>
    </row>
    <row r="6" spans="1:12" s="206" customFormat="1" x14ac:dyDescent="0.2">
      <c r="A6" s="678" t="s">
        <v>402</v>
      </c>
      <c r="B6" s="679"/>
      <c r="C6" s="680" t="s">
        <v>728</v>
      </c>
      <c r="D6" s="630" t="s">
        <v>404</v>
      </c>
      <c r="E6" s="630" t="s">
        <v>405</v>
      </c>
      <c r="F6" s="680" t="s">
        <v>406</v>
      </c>
      <c r="G6" s="680" t="s">
        <v>26</v>
      </c>
      <c r="H6" s="692"/>
      <c r="I6" s="692"/>
    </row>
    <row r="7" spans="1:12" s="206" customFormat="1" x14ac:dyDescent="0.2">
      <c r="A7" s="630">
        <v>1</v>
      </c>
      <c r="B7" s="453" t="s">
        <v>59</v>
      </c>
      <c r="C7" s="321">
        <v>13</v>
      </c>
      <c r="D7" s="321">
        <v>7</v>
      </c>
      <c r="E7" s="321"/>
      <c r="F7" s="321">
        <v>13</v>
      </c>
      <c r="G7" s="321" t="str">
        <f>IF(AND(COUNTIF(C7:F7,13)=0,COUNT(C7:F7)=2),"IV",IF(AND(COUNTIF(C7:F7,13)=1,COUNT(C7:F7)=3),"III",IF(AND(COUNTIF(C7:F7,13)=2,COUNT(C7:F7)=3),"II",IF(AND(COUNTIF(C7:F7,13)=2,COUNT(C7:F7)=2),"I"))))</f>
        <v>II</v>
      </c>
      <c r="H7" s="327"/>
      <c r="I7" s="327"/>
    </row>
    <row r="8" spans="1:12" s="206" customFormat="1" x14ac:dyDescent="0.2">
      <c r="A8" s="630">
        <v>2</v>
      </c>
      <c r="B8" s="360" t="s">
        <v>52</v>
      </c>
      <c r="C8" s="321">
        <v>13</v>
      </c>
      <c r="D8" s="321">
        <v>13</v>
      </c>
      <c r="E8" s="321"/>
      <c r="F8" s="321"/>
      <c r="G8" s="321" t="str">
        <f>IF(AND(COUNTIF(C8:F8,13)=0,COUNT(C8:F8)=2),"IV",IF(AND(COUNTIF(C8:F8,13)=1,COUNT(C8:F8)=3),"III",IF(AND(COUNTIF(C8:F8,13)=2,COUNT(C8:F8)=3),"II",IF(AND(COUNTIF(C8:F8,13)=2,COUNT(C8:F8)=2),"I"))))</f>
        <v>I</v>
      </c>
      <c r="H8" s="327"/>
      <c r="I8" s="327"/>
    </row>
    <row r="9" spans="1:12" s="206" customFormat="1" x14ac:dyDescent="0.2">
      <c r="A9" s="630">
        <v>3</v>
      </c>
      <c r="B9" s="360" t="s">
        <v>746</v>
      </c>
      <c r="C9" s="321">
        <v>11</v>
      </c>
      <c r="D9" s="321"/>
      <c r="E9" s="321">
        <v>13</v>
      </c>
      <c r="F9" s="321">
        <v>7</v>
      </c>
      <c r="G9" s="321" t="str">
        <f>IF(AND(COUNTIF(C9:F9,13)=0,COUNT(C9:F9)=2),"IV",IF(AND(COUNTIF(C9:F9,13)=1,COUNT(C9:F9)=3),"III",IF(AND(COUNTIF(C9:F9,13)=2,COUNT(C9:F9)=3),"II",IF(AND(COUNTIF(C9:F9,13)=2,COUNT(C9:F9)=2),"I"))))</f>
        <v>III</v>
      </c>
      <c r="H9" s="327"/>
      <c r="I9" s="327"/>
    </row>
    <row r="10" spans="1:12" s="206" customFormat="1" x14ac:dyDescent="0.2">
      <c r="A10" s="630">
        <v>4</v>
      </c>
      <c r="B10" s="355"/>
      <c r="C10" s="321">
        <f>IF(ISBLANK(B10),0)</f>
        <v>0</v>
      </c>
      <c r="D10" s="321"/>
      <c r="E10" s="321">
        <f>IF(ISBLANK(B10),0)</f>
        <v>0</v>
      </c>
      <c r="F10" s="321"/>
      <c r="G10" s="321"/>
      <c r="H10" s="327"/>
      <c r="I10" s="327"/>
    </row>
    <row r="11" spans="1:12" s="206" customFormat="1" x14ac:dyDescent="0.2">
      <c r="A11" s="116"/>
    </row>
    <row r="12" spans="1:12" s="206" customFormat="1" x14ac:dyDescent="0.2">
      <c r="A12" s="678" t="s">
        <v>407</v>
      </c>
      <c r="B12" s="679"/>
      <c r="C12" s="680" t="s">
        <v>728</v>
      </c>
      <c r="D12" s="630" t="s">
        <v>404</v>
      </c>
      <c r="E12" s="630" t="s">
        <v>405</v>
      </c>
      <c r="F12" s="680" t="s">
        <v>406</v>
      </c>
      <c r="G12" s="680" t="s">
        <v>26</v>
      </c>
      <c r="H12" s="692"/>
      <c r="I12" s="692"/>
    </row>
    <row r="13" spans="1:12" s="206" customFormat="1" x14ac:dyDescent="0.2">
      <c r="A13" s="630">
        <v>1</v>
      </c>
      <c r="B13" s="453" t="s">
        <v>42</v>
      </c>
      <c r="C13" s="321">
        <v>13</v>
      </c>
      <c r="D13" s="321">
        <v>7</v>
      </c>
      <c r="E13" s="321"/>
      <c r="F13" s="321">
        <v>8</v>
      </c>
      <c r="G13" s="321" t="str">
        <f>IF(AND(COUNTIF(C13:F13,13)=0,COUNT(C13:F13)=2),"IV",IF(AND(COUNTIF(C13:F13,13)=1,COUNT(C13:F13)=3),"III",IF(AND(COUNTIF(C13:F13,13)=2,COUNT(C13:F13)=3),"II",IF(AND(COUNTIF(C13:F13,13)=2,COUNT(C13:F13)=2),"I"))))</f>
        <v>III</v>
      </c>
      <c r="H13" s="327"/>
      <c r="I13" s="327"/>
    </row>
    <row r="14" spans="1:12" s="206" customFormat="1" x14ac:dyDescent="0.2">
      <c r="A14" s="630">
        <v>2</v>
      </c>
      <c r="B14" s="360" t="s">
        <v>48</v>
      </c>
      <c r="C14" s="321">
        <v>12</v>
      </c>
      <c r="D14" s="321"/>
      <c r="E14" s="321">
        <v>13</v>
      </c>
      <c r="F14" s="321">
        <v>13</v>
      </c>
      <c r="G14" s="321" t="str">
        <f>IF(AND(COUNTIF(C14:F14,13)=0,COUNT(C14:F14)=2),"IV",IF(AND(COUNTIF(C14:F14,13)=1,COUNT(C14:F14)=3),"III",IF(AND(COUNTIF(C14:F14,13)=2,COUNT(C14:F14)=3),"II",IF(AND(COUNTIF(C14:F14,13)=2,COUNT(C14:F14)=2),"I"))))</f>
        <v>II</v>
      </c>
      <c r="H14" s="327"/>
      <c r="I14" s="327"/>
    </row>
    <row r="15" spans="1:12" s="206" customFormat="1" x14ac:dyDescent="0.2">
      <c r="A15" s="630">
        <v>3</v>
      </c>
      <c r="B15" s="360" t="s">
        <v>638</v>
      </c>
      <c r="C15" s="321">
        <v>13</v>
      </c>
      <c r="D15" s="321">
        <v>13</v>
      </c>
      <c r="E15" s="321"/>
      <c r="F15" s="321"/>
      <c r="G15" s="321" t="str">
        <f>IF(AND(COUNTIF(C15:F15,13)=0,COUNT(C15:F15)=2),"IV",IF(AND(COUNTIF(C15:F15,13)=1,COUNT(C15:F15)=3),"III",IF(AND(COUNTIF(C15:F15,13)=2,COUNT(C15:F15)=3),"II",IF(AND(COUNTIF(C15:F15,13)=2,COUNT(C15:F15)=2),"I"))))</f>
        <v>I</v>
      </c>
      <c r="H15" s="327"/>
      <c r="I15" s="327"/>
    </row>
    <row r="16" spans="1:12" s="206" customFormat="1" x14ac:dyDescent="0.2">
      <c r="A16" s="630">
        <v>4</v>
      </c>
      <c r="B16" s="355"/>
      <c r="C16" s="321">
        <f>IF(ISBLANK(B16),0)</f>
        <v>0</v>
      </c>
      <c r="D16" s="321"/>
      <c r="E16" s="321">
        <f>IF(ISBLANK(B16),0)</f>
        <v>0</v>
      </c>
      <c r="F16" s="321"/>
      <c r="G16" s="321"/>
      <c r="H16" s="327"/>
      <c r="I16" s="327"/>
    </row>
    <row r="17" spans="1:10" s="206" customFormat="1" x14ac:dyDescent="0.2">
      <c r="A17" s="116"/>
    </row>
    <row r="18" spans="1:10" s="206" customFormat="1" x14ac:dyDescent="0.2">
      <c r="A18" s="678" t="s">
        <v>408</v>
      </c>
      <c r="B18" s="679"/>
      <c r="C18" s="680" t="s">
        <v>728</v>
      </c>
      <c r="D18" s="630" t="s">
        <v>404</v>
      </c>
      <c r="E18" s="630" t="s">
        <v>405</v>
      </c>
      <c r="F18" s="680" t="s">
        <v>406</v>
      </c>
      <c r="G18" s="680" t="s">
        <v>26</v>
      </c>
      <c r="H18" s="692"/>
      <c r="I18" s="692"/>
    </row>
    <row r="19" spans="1:10" s="206" customFormat="1" x14ac:dyDescent="0.2">
      <c r="A19" s="630">
        <v>1</v>
      </c>
      <c r="B19" s="453" t="s">
        <v>36</v>
      </c>
      <c r="C19" s="321">
        <v>13</v>
      </c>
      <c r="D19" s="321">
        <v>13</v>
      </c>
      <c r="E19" s="321"/>
      <c r="F19" s="321"/>
      <c r="G19" s="321" t="str">
        <f>IF(AND(COUNTIF(C19:F19,13)=0,COUNT(C19:F19)=2),"IV",IF(AND(COUNTIF(C19:F19,13)=1,COUNT(C19:F19)=3),"III",IF(AND(COUNTIF(C19:F19,13)=2,COUNT(C19:F19)=3),"II",IF(AND(COUNTIF(C19:F19,13)=2,COUNT(C19:F19)=2),"I"))))</f>
        <v>I</v>
      </c>
      <c r="H19" s="327"/>
      <c r="I19" s="327"/>
    </row>
    <row r="20" spans="1:10" s="206" customFormat="1" x14ac:dyDescent="0.2">
      <c r="A20" s="630">
        <v>2</v>
      </c>
      <c r="B20" s="360" t="s">
        <v>424</v>
      </c>
      <c r="C20" s="321">
        <v>12</v>
      </c>
      <c r="D20" s="321"/>
      <c r="E20" s="321">
        <v>13</v>
      </c>
      <c r="F20" s="321">
        <v>13</v>
      </c>
      <c r="G20" s="321" t="str">
        <f>IF(AND(COUNTIF(C20:F20,13)=0,COUNT(C20:F20)=2),"IV",IF(AND(COUNTIF(C20:F20,13)=1,COUNT(C20:F20)=3),"III",IF(AND(COUNTIF(C20:F20,13)=2,COUNT(C20:F20)=3),"II",IF(AND(COUNTIF(C20:F20,13)=2,COUNT(C20:F20)=2),"I"))))</f>
        <v>II</v>
      </c>
      <c r="H20" s="327"/>
      <c r="I20" s="327"/>
    </row>
    <row r="21" spans="1:10" s="206" customFormat="1" x14ac:dyDescent="0.2">
      <c r="A21" s="630">
        <v>3</v>
      </c>
      <c r="B21" s="360" t="s">
        <v>50</v>
      </c>
      <c r="C21" s="321">
        <v>13</v>
      </c>
      <c r="D21" s="321">
        <v>6</v>
      </c>
      <c r="E21" s="321"/>
      <c r="F21" s="321">
        <v>12</v>
      </c>
      <c r="G21" s="321" t="str">
        <f>IF(AND(COUNTIF(C21:F21,13)=0,COUNT(C21:F21)=2),"IV",IF(AND(COUNTIF(C21:F21,13)=1,COUNT(C21:F21)=3),"III",IF(AND(COUNTIF(C21:F21,13)=2,COUNT(C21:F21)=3),"II",IF(AND(COUNTIF(C21:F21,13)=2,COUNT(C21:F21)=2),"I"))))</f>
        <v>III</v>
      </c>
      <c r="H21" s="327"/>
      <c r="I21" s="327"/>
    </row>
    <row r="22" spans="1:10" s="206" customFormat="1" x14ac:dyDescent="0.2">
      <c r="A22" s="630">
        <v>4</v>
      </c>
      <c r="B22" s="355"/>
      <c r="C22" s="321">
        <f>IF(ISBLANK(B22),0)</f>
        <v>0</v>
      </c>
      <c r="D22" s="321"/>
      <c r="E22" s="321">
        <f>IF(ISBLANK(B22),0)</f>
        <v>0</v>
      </c>
      <c r="F22" s="321"/>
      <c r="G22" s="321"/>
      <c r="H22" s="327"/>
      <c r="I22" s="327"/>
    </row>
    <row r="23" spans="1:10" s="206" customFormat="1" x14ac:dyDescent="0.2">
      <c r="A23" s="116"/>
    </row>
    <row r="24" spans="1:10" s="206" customFormat="1" x14ac:dyDescent="0.2">
      <c r="A24" s="421" t="s">
        <v>747</v>
      </c>
    </row>
    <row r="25" spans="1:10" s="206" customFormat="1" x14ac:dyDescent="0.2">
      <c r="A25" s="135"/>
      <c r="B25" s="135"/>
      <c r="C25" s="135"/>
      <c r="D25" s="135"/>
      <c r="E25" s="135"/>
      <c r="F25" s="135"/>
      <c r="G25" s="135"/>
      <c r="H25" s="135"/>
      <c r="I25" s="135"/>
      <c r="J25" s="135"/>
    </row>
    <row r="26" spans="1:10" s="206" customFormat="1" x14ac:dyDescent="0.2">
      <c r="A26" s="687" t="s">
        <v>597</v>
      </c>
      <c r="B26" s="135" t="s">
        <v>424</v>
      </c>
      <c r="C26" s="423">
        <v>13</v>
      </c>
      <c r="D26" s="135"/>
      <c r="E26" s="135"/>
      <c r="F26" s="135"/>
      <c r="G26" s="135"/>
      <c r="H26" s="135"/>
      <c r="I26" s="135"/>
      <c r="J26" s="135"/>
    </row>
    <row r="27" spans="1:10" s="206" customFormat="1" x14ac:dyDescent="0.2">
      <c r="A27" s="687"/>
      <c r="B27" s="429"/>
      <c r="C27" s="431" t="s">
        <v>424</v>
      </c>
      <c r="D27" s="135"/>
      <c r="E27" s="423">
        <v>13</v>
      </c>
      <c r="F27" s="135"/>
      <c r="G27" s="135"/>
      <c r="H27" s="135"/>
      <c r="I27" s="135"/>
      <c r="J27" s="135"/>
    </row>
    <row r="28" spans="1:10" s="206" customFormat="1" x14ac:dyDescent="0.2">
      <c r="A28" s="687" t="s">
        <v>601</v>
      </c>
      <c r="B28" s="434" t="s">
        <v>59</v>
      </c>
      <c r="C28" s="444">
        <v>10</v>
      </c>
      <c r="D28" s="429"/>
      <c r="E28" s="135"/>
      <c r="F28" s="135"/>
      <c r="G28" s="135"/>
      <c r="H28" s="135"/>
      <c r="I28" s="135"/>
      <c r="J28" s="135"/>
    </row>
    <row r="29" spans="1:10" s="206" customFormat="1" x14ac:dyDescent="0.2">
      <c r="A29" s="687"/>
      <c r="B29" s="135"/>
      <c r="C29" s="89"/>
      <c r="D29" s="430"/>
      <c r="E29" s="431" t="s">
        <v>424</v>
      </c>
      <c r="F29" s="135"/>
      <c r="G29" s="423">
        <v>13</v>
      </c>
      <c r="H29" s="423"/>
      <c r="I29" s="423"/>
      <c r="J29" s="135"/>
    </row>
    <row r="30" spans="1:10" s="206" customFormat="1" x14ac:dyDescent="0.2">
      <c r="A30" s="687" t="s">
        <v>589</v>
      </c>
      <c r="B30" s="135" t="s">
        <v>638</v>
      </c>
      <c r="C30" s="432">
        <v>13</v>
      </c>
      <c r="D30" s="430"/>
      <c r="E30" s="433"/>
      <c r="F30" s="429"/>
      <c r="G30" s="135"/>
      <c r="H30" s="135"/>
      <c r="I30" s="135"/>
      <c r="J30" s="135"/>
    </row>
    <row r="31" spans="1:10" s="206" customFormat="1" x14ac:dyDescent="0.2">
      <c r="A31" s="687"/>
      <c r="B31" s="429"/>
      <c r="C31" s="427" t="s">
        <v>638</v>
      </c>
      <c r="D31" s="434"/>
      <c r="E31" s="432">
        <v>9</v>
      </c>
      <c r="F31" s="430"/>
      <c r="G31" s="135"/>
      <c r="H31" s="135"/>
      <c r="I31" s="135"/>
      <c r="J31" s="135"/>
    </row>
    <row r="32" spans="1:10" s="206" customFormat="1" x14ac:dyDescent="0.2">
      <c r="A32" s="687"/>
      <c r="B32" s="704" t="s">
        <v>729</v>
      </c>
      <c r="C32" s="432">
        <v>0</v>
      </c>
      <c r="D32" s="135"/>
      <c r="E32" s="89"/>
      <c r="F32" s="430"/>
      <c r="G32" s="135"/>
      <c r="H32" s="135"/>
      <c r="I32" s="135"/>
      <c r="J32" s="135"/>
    </row>
    <row r="33" spans="1:10" s="206" customFormat="1" ht="13.5" thickBot="1" x14ac:dyDescent="0.25">
      <c r="A33" s="687"/>
      <c r="B33" s="135"/>
      <c r="C33" s="89"/>
      <c r="D33" s="89"/>
      <c r="E33" s="89"/>
      <c r="F33" s="430"/>
      <c r="G33" s="135"/>
      <c r="H33" s="135"/>
      <c r="I33" s="135"/>
      <c r="J33" s="135" t="s">
        <v>424</v>
      </c>
    </row>
    <row r="34" spans="1:10" s="206" customFormat="1" x14ac:dyDescent="0.2">
      <c r="A34" s="687" t="s">
        <v>598</v>
      </c>
      <c r="B34" s="135" t="s">
        <v>36</v>
      </c>
      <c r="C34" s="423">
        <v>13</v>
      </c>
      <c r="D34" s="135"/>
      <c r="E34" s="135"/>
      <c r="F34" s="430"/>
      <c r="G34" s="438"/>
      <c r="H34" s="438"/>
      <c r="I34" s="438"/>
      <c r="J34" s="437" t="s">
        <v>748</v>
      </c>
    </row>
    <row r="35" spans="1:10" s="206" customFormat="1" x14ac:dyDescent="0.2">
      <c r="A35" s="687"/>
      <c r="B35" s="429"/>
      <c r="C35" s="431" t="s">
        <v>36</v>
      </c>
      <c r="D35" s="135"/>
      <c r="E35" s="423">
        <v>7</v>
      </c>
      <c r="F35" s="430"/>
      <c r="G35" s="135"/>
      <c r="H35" s="135"/>
      <c r="I35" s="135"/>
      <c r="J35" s="135"/>
    </row>
    <row r="36" spans="1:10" s="206" customFormat="1" ht="13.5" thickBot="1" x14ac:dyDescent="0.25">
      <c r="A36" s="687" t="s">
        <v>599</v>
      </c>
      <c r="B36" s="704" t="s">
        <v>48</v>
      </c>
      <c r="C36" s="444">
        <v>10</v>
      </c>
      <c r="D36" s="429"/>
      <c r="E36" s="135"/>
      <c r="F36" s="430"/>
      <c r="G36" s="135"/>
      <c r="H36" s="135"/>
      <c r="I36" s="135"/>
      <c r="J36" s="89" t="s">
        <v>52</v>
      </c>
    </row>
    <row r="37" spans="1:10" s="206" customFormat="1" x14ac:dyDescent="0.2">
      <c r="A37" s="687"/>
      <c r="B37" s="135"/>
      <c r="C37" s="89"/>
      <c r="D37" s="430"/>
      <c r="E37" s="431" t="s">
        <v>52</v>
      </c>
      <c r="F37" s="434"/>
      <c r="G37" s="423">
        <v>6</v>
      </c>
      <c r="H37" s="423"/>
      <c r="I37" s="423"/>
      <c r="J37" s="437" t="s">
        <v>749</v>
      </c>
    </row>
    <row r="38" spans="1:10" s="206" customFormat="1" x14ac:dyDescent="0.2">
      <c r="A38" s="687" t="s">
        <v>596</v>
      </c>
      <c r="B38" s="135" t="s">
        <v>52</v>
      </c>
      <c r="C38" s="432">
        <v>13</v>
      </c>
      <c r="D38" s="430"/>
      <c r="E38" s="433"/>
      <c r="F38" s="425"/>
      <c r="G38" s="135"/>
      <c r="H38" s="135"/>
      <c r="I38" s="135"/>
      <c r="J38" s="135"/>
    </row>
    <row r="39" spans="1:10" s="206" customFormat="1" x14ac:dyDescent="0.2">
      <c r="A39" s="687"/>
      <c r="B39" s="429"/>
      <c r="C39" s="427" t="s">
        <v>52</v>
      </c>
      <c r="D39" s="434"/>
      <c r="E39" s="432">
        <v>13</v>
      </c>
      <c r="F39" s="89"/>
      <c r="G39" s="135"/>
      <c r="H39" s="135"/>
      <c r="I39" s="135"/>
      <c r="J39" s="135"/>
    </row>
    <row r="40" spans="1:10" s="206" customFormat="1" x14ac:dyDescent="0.2">
      <c r="A40" s="687"/>
      <c r="B40" s="704" t="s">
        <v>729</v>
      </c>
      <c r="C40" s="432">
        <v>0</v>
      </c>
      <c r="D40" s="135"/>
      <c r="E40" s="89"/>
      <c r="F40" s="89"/>
      <c r="G40" s="135"/>
      <c r="H40" s="135"/>
      <c r="I40" s="135"/>
      <c r="J40" s="135"/>
    </row>
    <row r="41" spans="1:10" s="206" customFormat="1" x14ac:dyDescent="0.2">
      <c r="A41" s="432"/>
      <c r="B41" s="135"/>
      <c r="C41" s="89"/>
      <c r="D41" s="89"/>
      <c r="E41" s="135" t="s">
        <v>638</v>
      </c>
      <c r="F41" s="135"/>
      <c r="G41" s="432">
        <v>13</v>
      </c>
      <c r="H41" s="432"/>
      <c r="I41" s="432"/>
      <c r="J41" s="135"/>
    </row>
    <row r="42" spans="1:10" s="206" customFormat="1" ht="13.5" thickBot="1" x14ac:dyDescent="0.25">
      <c r="A42" s="135"/>
      <c r="B42" s="135"/>
      <c r="C42" s="89"/>
      <c r="D42" s="89"/>
      <c r="E42" s="425"/>
      <c r="F42" s="429"/>
      <c r="G42" s="439"/>
      <c r="H42" s="439"/>
      <c r="I42" s="439"/>
      <c r="J42" s="439" t="s">
        <v>638</v>
      </c>
    </row>
    <row r="43" spans="1:10" s="206" customFormat="1" x14ac:dyDescent="0.2">
      <c r="A43" s="423"/>
      <c r="B43" s="135"/>
      <c r="C43" s="89"/>
      <c r="D43" s="89"/>
      <c r="E43" s="427" t="s">
        <v>36</v>
      </c>
      <c r="F43" s="434"/>
      <c r="G43" s="423">
        <v>4</v>
      </c>
      <c r="H43" s="423"/>
      <c r="I43" s="423"/>
      <c r="J43" s="441" t="s">
        <v>750</v>
      </c>
    </row>
    <row r="44" spans="1:10" s="206" customFormat="1" x14ac:dyDescent="0.2">
      <c r="A44" s="89"/>
      <c r="B44" s="89"/>
      <c r="C44" s="432"/>
      <c r="D44" s="89"/>
      <c r="E44" s="135"/>
      <c r="F44" s="135"/>
      <c r="G44" s="135"/>
      <c r="H44" s="135"/>
      <c r="I44" s="135"/>
      <c r="J44" s="89"/>
    </row>
    <row r="45" spans="1:10" s="206" customFormat="1" ht="13.5" thickBot="1" x14ac:dyDescent="0.25">
      <c r="A45" s="432"/>
      <c r="B45" s="89"/>
      <c r="C45" s="89"/>
      <c r="D45" s="89"/>
      <c r="E45" s="89"/>
      <c r="F45" s="89"/>
      <c r="G45" s="135"/>
      <c r="H45" s="135"/>
      <c r="I45" s="135"/>
      <c r="J45" s="439" t="s">
        <v>36</v>
      </c>
    </row>
    <row r="46" spans="1:10" s="206" customFormat="1" x14ac:dyDescent="0.2">
      <c r="A46" s="89"/>
      <c r="B46" s="89"/>
      <c r="C46" s="89"/>
      <c r="D46" s="89"/>
      <c r="E46" s="89"/>
      <c r="F46" s="89"/>
      <c r="G46" s="135"/>
      <c r="H46" s="135"/>
      <c r="I46" s="135"/>
      <c r="J46" s="63" t="s">
        <v>414</v>
      </c>
    </row>
    <row r="47" spans="1:10" s="206" customFormat="1" x14ac:dyDescent="0.2">
      <c r="A47" s="116"/>
      <c r="B47" s="116"/>
      <c r="C47" s="685" t="s">
        <v>59</v>
      </c>
      <c r="D47" s="423"/>
      <c r="E47" s="423">
        <v>13</v>
      </c>
      <c r="F47" s="423"/>
      <c r="G47" s="423"/>
      <c r="H47" s="423"/>
      <c r="I47" s="423"/>
      <c r="J47" s="135"/>
    </row>
    <row r="48" spans="1:10" s="206" customFormat="1" x14ac:dyDescent="0.2">
      <c r="A48" s="116"/>
      <c r="B48" s="116"/>
      <c r="C48" s="444"/>
      <c r="D48" s="445"/>
      <c r="E48" s="683" t="s">
        <v>59</v>
      </c>
      <c r="F48" s="423"/>
      <c r="G48" s="686">
        <v>5</v>
      </c>
      <c r="H48" s="686"/>
      <c r="I48" s="686"/>
      <c r="J48" s="135"/>
    </row>
    <row r="49" spans="1:10" s="206" customFormat="1" x14ac:dyDescent="0.2">
      <c r="A49" s="116"/>
      <c r="B49" s="116"/>
      <c r="C49" s="683" t="s">
        <v>729</v>
      </c>
      <c r="D49" s="447"/>
      <c r="E49" s="423">
        <v>0</v>
      </c>
      <c r="F49" s="445"/>
      <c r="G49" s="423"/>
      <c r="H49" s="423"/>
      <c r="I49" s="423"/>
      <c r="J49" s="135"/>
    </row>
    <row r="50" spans="1:10" s="206" customFormat="1" ht="13.5" thickBot="1" x14ac:dyDescent="0.25">
      <c r="A50" s="116"/>
      <c r="B50" s="116"/>
      <c r="C50" s="423"/>
      <c r="D50" s="423"/>
      <c r="E50" s="432"/>
      <c r="F50" s="448"/>
      <c r="G50" s="423"/>
      <c r="H50" s="423"/>
      <c r="I50" s="423"/>
      <c r="J50" s="135" t="s">
        <v>48</v>
      </c>
    </row>
    <row r="51" spans="1:10" s="206" customFormat="1" x14ac:dyDescent="0.2">
      <c r="A51" s="116"/>
      <c r="B51" s="116"/>
      <c r="C51" s="423" t="s">
        <v>48</v>
      </c>
      <c r="D51" s="423"/>
      <c r="E51" s="423">
        <v>13</v>
      </c>
      <c r="F51" s="448"/>
      <c r="G51" s="449"/>
      <c r="H51" s="693"/>
      <c r="I51" s="693"/>
      <c r="J51" s="437" t="s">
        <v>415</v>
      </c>
    </row>
    <row r="52" spans="1:10" s="206" customFormat="1" x14ac:dyDescent="0.2">
      <c r="A52" s="116"/>
      <c r="B52" s="116"/>
      <c r="C52" s="444"/>
      <c r="D52" s="445"/>
      <c r="E52" s="423" t="s">
        <v>48</v>
      </c>
      <c r="F52" s="447"/>
      <c r="G52" s="432">
        <v>13</v>
      </c>
      <c r="H52" s="432"/>
      <c r="I52" s="432"/>
      <c r="J52" s="135"/>
    </row>
    <row r="53" spans="1:10" s="206" customFormat="1" ht="13.5" thickBot="1" x14ac:dyDescent="0.25">
      <c r="A53" s="116"/>
      <c r="B53" s="116"/>
      <c r="C53" s="683" t="s">
        <v>729</v>
      </c>
      <c r="D53" s="447"/>
      <c r="E53" s="444">
        <v>0</v>
      </c>
      <c r="F53" s="423"/>
      <c r="G53" s="432"/>
      <c r="H53" s="432"/>
      <c r="I53" s="432"/>
      <c r="J53" s="89" t="s">
        <v>59</v>
      </c>
    </row>
    <row r="54" spans="1:10" s="206" customFormat="1" x14ac:dyDescent="0.2">
      <c r="A54" s="116"/>
      <c r="B54" s="116"/>
      <c r="C54" s="423"/>
      <c r="D54" s="423"/>
      <c r="E54" s="423"/>
      <c r="F54" s="423"/>
      <c r="G54" s="432"/>
      <c r="H54" s="432"/>
      <c r="I54" s="432"/>
      <c r="J54" s="437" t="s">
        <v>416</v>
      </c>
    </row>
    <row r="55" spans="1:10" s="206" customFormat="1" x14ac:dyDescent="0.2">
      <c r="A55" s="116"/>
      <c r="B55" s="116"/>
      <c r="C55" s="423"/>
      <c r="D55" s="432"/>
      <c r="E55" s="423"/>
      <c r="F55" s="423"/>
      <c r="G55" s="432"/>
      <c r="H55" s="432"/>
      <c r="I55" s="432"/>
      <c r="J55" s="89"/>
    </row>
    <row r="56" spans="1:10" s="206" customFormat="1" ht="13.5" thickBot="1" x14ac:dyDescent="0.25">
      <c r="A56" s="116"/>
      <c r="B56" s="116"/>
      <c r="C56" s="423"/>
      <c r="D56" s="432"/>
      <c r="E56" s="444"/>
      <c r="F56" s="445"/>
      <c r="G56" s="450"/>
      <c r="H56" s="450"/>
      <c r="I56" s="450"/>
      <c r="J56" s="439"/>
    </row>
    <row r="57" spans="1:10" s="206" customFormat="1" x14ac:dyDescent="0.2">
      <c r="A57" s="116"/>
      <c r="B57" s="116"/>
      <c r="C57" s="423"/>
      <c r="D57" s="432"/>
      <c r="E57" s="446"/>
      <c r="F57" s="447"/>
      <c r="G57" s="423"/>
      <c r="H57" s="423"/>
      <c r="I57" s="423"/>
      <c r="J57" s="441"/>
    </row>
    <row r="58" spans="1:10" s="206" customFormat="1" x14ac:dyDescent="0.2">
      <c r="A58" s="116"/>
      <c r="B58" s="116"/>
      <c r="C58" s="135"/>
      <c r="D58" s="89"/>
      <c r="E58" s="135"/>
      <c r="F58" s="135"/>
      <c r="G58" s="135"/>
      <c r="H58" s="135"/>
      <c r="I58" s="135"/>
      <c r="J58" s="89"/>
    </row>
    <row r="59" spans="1:10" s="206" customFormat="1" ht="13.5" thickBot="1" x14ac:dyDescent="0.25">
      <c r="A59" s="116"/>
      <c r="B59" s="116"/>
      <c r="C59" s="63"/>
      <c r="D59" s="135"/>
      <c r="E59" s="89"/>
      <c r="F59" s="89"/>
      <c r="G59" s="135"/>
      <c r="H59" s="135"/>
      <c r="I59" s="135"/>
      <c r="J59" s="439"/>
    </row>
    <row r="60" spans="1:10" x14ac:dyDescent="0.2">
      <c r="A60" s="116"/>
      <c r="B60" s="116"/>
      <c r="C60" s="63"/>
      <c r="D60" s="135"/>
      <c r="E60" s="89"/>
      <c r="F60" s="89"/>
      <c r="G60" s="135"/>
      <c r="H60" s="135"/>
      <c r="I60" s="135"/>
      <c r="J60" s="441"/>
    </row>
    <row r="61" spans="1:10" s="206" customFormat="1" x14ac:dyDescent="0.2">
      <c r="A61" s="116"/>
      <c r="B61" s="116"/>
      <c r="C61" s="63"/>
      <c r="D61" s="135"/>
      <c r="E61" s="89"/>
      <c r="F61" s="89"/>
      <c r="G61" s="135"/>
      <c r="H61" s="135"/>
      <c r="I61" s="135"/>
      <c r="J61" s="441"/>
    </row>
    <row r="62" spans="1:10" s="206" customFormat="1" x14ac:dyDescent="0.2">
      <c r="A62" s="421" t="s">
        <v>751</v>
      </c>
      <c r="B62" s="116"/>
      <c r="C62" s="63"/>
      <c r="D62" s="135"/>
      <c r="E62" s="89"/>
      <c r="F62" s="89"/>
      <c r="G62" s="135"/>
      <c r="H62" s="135"/>
      <c r="I62" s="135"/>
      <c r="J62" s="441"/>
    </row>
    <row r="63" spans="1:10" s="206" customFormat="1" x14ac:dyDescent="0.2">
      <c r="A63" s="116"/>
      <c r="B63" s="116"/>
      <c r="C63" s="63"/>
      <c r="D63" s="135"/>
      <c r="E63" s="89"/>
      <c r="F63" s="89"/>
      <c r="G63" s="135"/>
      <c r="H63" s="135"/>
      <c r="I63" s="135"/>
      <c r="J63" s="441"/>
    </row>
    <row r="64" spans="1:10" s="206" customFormat="1" x14ac:dyDescent="0.2">
      <c r="A64" s="116"/>
      <c r="B64" s="468" t="s">
        <v>740</v>
      </c>
      <c r="C64" s="443" t="s">
        <v>746</v>
      </c>
      <c r="D64" s="423"/>
      <c r="E64" s="423">
        <v>13</v>
      </c>
      <c r="F64" s="423"/>
      <c r="G64" s="423"/>
      <c r="H64" s="135"/>
    </row>
    <row r="65" spans="1:10" s="206" customFormat="1" x14ac:dyDescent="0.2">
      <c r="A65" s="116"/>
      <c r="B65" s="468"/>
      <c r="C65" s="444"/>
      <c r="D65" s="445"/>
      <c r="E65" s="683" t="s">
        <v>746</v>
      </c>
      <c r="F65" s="423"/>
      <c r="G65" s="423">
        <v>2</v>
      </c>
      <c r="H65" s="135"/>
    </row>
    <row r="66" spans="1:10" s="206" customFormat="1" x14ac:dyDescent="0.2">
      <c r="A66" s="116"/>
      <c r="B66" s="468"/>
      <c r="C66" s="683" t="s">
        <v>729</v>
      </c>
      <c r="D66" s="447"/>
      <c r="E66" s="423">
        <v>0</v>
      </c>
      <c r="F66" s="445"/>
      <c r="G66" s="423"/>
      <c r="H66" s="135"/>
    </row>
    <row r="67" spans="1:10" s="206" customFormat="1" ht="13.5" thickBot="1" x14ac:dyDescent="0.25">
      <c r="A67" s="116"/>
      <c r="B67" s="468"/>
      <c r="C67" s="423"/>
      <c r="D67" s="423"/>
      <c r="E67" s="432"/>
      <c r="F67" s="448"/>
      <c r="G67" s="705"/>
      <c r="H67" s="491"/>
      <c r="I67" s="491"/>
      <c r="J67" s="364" t="s">
        <v>42</v>
      </c>
    </row>
    <row r="68" spans="1:10" s="206" customFormat="1" x14ac:dyDescent="0.2">
      <c r="A68" s="116"/>
      <c r="B68" s="468" t="s">
        <v>735</v>
      </c>
      <c r="C68" s="423" t="s">
        <v>50</v>
      </c>
      <c r="D68" s="423"/>
      <c r="E68" s="423">
        <v>12</v>
      </c>
      <c r="F68" s="448"/>
      <c r="G68" s="449"/>
      <c r="H68" s="490"/>
      <c r="I68" s="490"/>
      <c r="J68" s="342" t="s">
        <v>417</v>
      </c>
    </row>
    <row r="69" spans="1:10" s="206" customFormat="1" x14ac:dyDescent="0.2">
      <c r="A69" s="116"/>
      <c r="B69" s="468"/>
      <c r="C69" s="444"/>
      <c r="D69" s="445"/>
      <c r="E69" s="423" t="s">
        <v>42</v>
      </c>
      <c r="F69" s="447"/>
      <c r="G69" s="432">
        <v>13</v>
      </c>
      <c r="J69" s="126"/>
    </row>
    <row r="70" spans="1:10" s="206" customFormat="1" ht="13.5" thickBot="1" x14ac:dyDescent="0.25">
      <c r="A70" s="116"/>
      <c r="B70" s="468" t="s">
        <v>736</v>
      </c>
      <c r="C70" s="446" t="s">
        <v>42</v>
      </c>
      <c r="D70" s="447"/>
      <c r="E70" s="444">
        <v>13</v>
      </c>
      <c r="F70" s="423"/>
      <c r="G70" s="432"/>
      <c r="J70" s="344" t="s">
        <v>746</v>
      </c>
    </row>
    <row r="71" spans="1:10" s="206" customFormat="1" x14ac:dyDescent="0.2">
      <c r="A71" s="116"/>
      <c r="B71" s="116"/>
      <c r="C71" s="423"/>
      <c r="D71" s="423"/>
      <c r="E71" s="423"/>
      <c r="F71" s="423"/>
      <c r="G71" s="432"/>
      <c r="J71" s="342" t="s">
        <v>418</v>
      </c>
    </row>
    <row r="72" spans="1:10" s="206" customFormat="1" x14ac:dyDescent="0.2">
      <c r="A72" s="116"/>
      <c r="B72" s="116"/>
      <c r="C72" s="423"/>
      <c r="D72" s="432"/>
      <c r="E72" s="686" t="s">
        <v>729</v>
      </c>
      <c r="F72" s="423"/>
      <c r="G72" s="432">
        <v>0</v>
      </c>
      <c r="J72" s="126"/>
    </row>
    <row r="73" spans="1:10" s="206" customFormat="1" ht="13.5" thickBot="1" x14ac:dyDescent="0.25">
      <c r="A73" s="116"/>
      <c r="B73" s="116"/>
      <c r="C73" s="423"/>
      <c r="D73" s="432"/>
      <c r="E73" s="444"/>
      <c r="F73" s="445"/>
      <c r="G73" s="705"/>
      <c r="H73" s="491"/>
      <c r="I73" s="491"/>
      <c r="J73" s="364" t="s">
        <v>50</v>
      </c>
    </row>
    <row r="74" spans="1:10" s="206" customFormat="1" x14ac:dyDescent="0.2">
      <c r="A74" s="116"/>
      <c r="B74" s="116"/>
      <c r="C74" s="423"/>
      <c r="D74" s="432"/>
      <c r="E74" s="446" t="s">
        <v>50</v>
      </c>
      <c r="F74" s="447"/>
      <c r="G74" s="449">
        <v>13</v>
      </c>
      <c r="H74" s="490"/>
      <c r="I74" s="490"/>
      <c r="J74" s="342" t="s">
        <v>419</v>
      </c>
    </row>
    <row r="75" spans="1:10" s="206" customFormat="1" x14ac:dyDescent="0.2">
      <c r="A75" s="116"/>
      <c r="B75" s="116"/>
      <c r="C75" s="135"/>
      <c r="D75" s="89"/>
      <c r="E75" s="135"/>
      <c r="F75" s="135"/>
      <c r="G75" s="135"/>
      <c r="H75" s="89"/>
    </row>
    <row r="76" spans="1:10" x14ac:dyDescent="0.2">
      <c r="A76" s="60">
        <v>1</v>
      </c>
      <c r="B76" s="84" t="s">
        <v>424</v>
      </c>
    </row>
    <row r="77" spans="1:10" x14ac:dyDescent="0.2">
      <c r="A77" s="60">
        <v>2</v>
      </c>
      <c r="B77" s="91" t="s">
        <v>52</v>
      </c>
    </row>
    <row r="78" spans="1:10" x14ac:dyDescent="0.2">
      <c r="A78" s="60">
        <v>3</v>
      </c>
      <c r="B78" s="92" t="s">
        <v>638</v>
      </c>
    </row>
    <row r="79" spans="1:10" x14ac:dyDescent="0.2">
      <c r="A79" s="60">
        <v>4</v>
      </c>
      <c r="B79" s="62" t="s">
        <v>36</v>
      </c>
    </row>
    <row r="80" spans="1:10" x14ac:dyDescent="0.2">
      <c r="A80" s="60">
        <v>5</v>
      </c>
      <c r="B80" s="62" t="s">
        <v>48</v>
      </c>
    </row>
    <row r="81" spans="1:2" x14ac:dyDescent="0.2">
      <c r="A81" s="60">
        <v>6</v>
      </c>
      <c r="B81" s="62" t="s">
        <v>59</v>
      </c>
    </row>
    <row r="82" spans="1:2" x14ac:dyDescent="0.2">
      <c r="A82" s="60">
        <v>7</v>
      </c>
      <c r="B82" s="62" t="s">
        <v>42</v>
      </c>
    </row>
    <row r="83" spans="1:2" x14ac:dyDescent="0.2">
      <c r="A83" s="60">
        <v>8</v>
      </c>
      <c r="B83" s="62" t="s">
        <v>746</v>
      </c>
    </row>
    <row r="84" spans="1:2" x14ac:dyDescent="0.2">
      <c r="A84" s="60">
        <v>9</v>
      </c>
      <c r="B84" s="62" t="s">
        <v>50</v>
      </c>
    </row>
  </sheetData>
  <conditionalFormatting sqref="G7:I10">
    <cfRule type="duplicateValues" dxfId="443" priority="31"/>
  </conditionalFormatting>
  <conditionalFormatting sqref="C7:F9 D10 F10">
    <cfRule type="cellIs" dxfId="442" priority="30" operator="greaterThan">
      <formula>13</formula>
    </cfRule>
  </conditionalFormatting>
  <conditionalFormatting sqref="B7:B10">
    <cfRule type="duplicateValues" dxfId="441" priority="29"/>
  </conditionalFormatting>
  <conditionalFormatting sqref="C10">
    <cfRule type="cellIs" dxfId="440" priority="28" operator="greaterThan">
      <formula>13</formula>
    </cfRule>
  </conditionalFormatting>
  <conditionalFormatting sqref="E10">
    <cfRule type="cellIs" dxfId="439" priority="27" operator="greaterThan">
      <formula>13</formula>
    </cfRule>
  </conditionalFormatting>
  <conditionalFormatting sqref="E22">
    <cfRule type="cellIs" dxfId="438" priority="15" operator="greaterThan">
      <formula>13</formula>
    </cfRule>
  </conditionalFormatting>
  <conditionalFormatting sqref="G19:I22">
    <cfRule type="duplicateValues" dxfId="437" priority="19"/>
  </conditionalFormatting>
  <conditionalFormatting sqref="C19:F21 D22 F22">
    <cfRule type="cellIs" dxfId="436" priority="18" operator="greaterThan">
      <formula>13</formula>
    </cfRule>
  </conditionalFormatting>
  <conditionalFormatting sqref="B19:B22">
    <cfRule type="duplicateValues" dxfId="435" priority="17"/>
  </conditionalFormatting>
  <conditionalFormatting sqref="C22">
    <cfRule type="cellIs" dxfId="434" priority="16" operator="greaterThan">
      <formula>13</formula>
    </cfRule>
  </conditionalFormatting>
  <conditionalFormatting sqref="G13:I16">
    <cfRule type="duplicateValues" dxfId="433" priority="12"/>
  </conditionalFormatting>
  <conditionalFormatting sqref="C13:F15 D16 F16">
    <cfRule type="cellIs" dxfId="432" priority="11" operator="greaterThan">
      <formula>13</formula>
    </cfRule>
  </conditionalFormatting>
  <conditionalFormatting sqref="B13:B16">
    <cfRule type="duplicateValues" dxfId="431" priority="10"/>
  </conditionalFormatting>
  <conditionalFormatting sqref="C16">
    <cfRule type="cellIs" dxfId="430" priority="9" operator="greaterThan">
      <formula>13</formula>
    </cfRule>
  </conditionalFormatting>
  <conditionalFormatting sqref="E16">
    <cfRule type="cellIs" dxfId="429" priority="8" operator="greaterThan">
      <formula>13</formula>
    </cfRule>
  </conditionalFormatting>
  <conditionalFormatting sqref="C7:I63">
    <cfRule type="cellIs" dxfId="428" priority="4" operator="equal">
      <formula>13</formula>
    </cfRule>
  </conditionalFormatting>
  <conditionalFormatting sqref="C64:G72 C75:G75 C73:F74">
    <cfRule type="cellIs" dxfId="427" priority="2" operator="equal">
      <formula>13</formula>
    </cfRule>
  </conditionalFormatting>
  <conditionalFormatting sqref="G73:G74">
    <cfRule type="cellIs" dxfId="426" priority="1"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K32"/>
  <sheetViews>
    <sheetView showGridLines="0" showRowColHeaders="0" zoomScaleNormal="100" workbookViewId="0">
      <pane ySplit="2" topLeftCell="A3" activePane="bottomLeft" state="frozen"/>
      <selection pane="bottomLeft" activeCell="K1" sqref="K1"/>
    </sheetView>
  </sheetViews>
  <sheetFormatPr defaultRowHeight="12.75" x14ac:dyDescent="0.2"/>
  <cols>
    <col min="1" max="1" width="3.28515625" style="97" customWidth="1"/>
    <col min="2" max="2" width="15.28515625" style="97" customWidth="1"/>
    <col min="3" max="8" width="8.7109375" style="97" customWidth="1"/>
    <col min="9" max="9" width="4.7109375" style="97" customWidth="1"/>
    <col min="10" max="10" width="15.28515625" style="97" customWidth="1"/>
    <col min="11" max="16384" width="9.140625" style="97"/>
  </cols>
  <sheetData>
    <row r="1" spans="1:11" x14ac:dyDescent="0.2">
      <c r="A1" s="117" t="str">
        <f>UPPER((Kalend!E12)&amp;" - "&amp;(Kalend!C12)&amp;" - "&amp;(Kalend!D12))</f>
        <v>4M - 27. EESTI MV - ÜKSIK</v>
      </c>
      <c r="E1" s="83" t="s">
        <v>170</v>
      </c>
      <c r="I1" s="85" t="str">
        <f>HYPERLINK("#Üldreiting!I1","Reiting")</f>
        <v>Reiting</v>
      </c>
      <c r="J1" s="206"/>
      <c r="K1" s="206"/>
    </row>
    <row r="2" spans="1:11" x14ac:dyDescent="0.2">
      <c r="A2" s="116" t="str">
        <f>"Toimumisaeg: "&amp;(Kalend!A12)&amp;" kell "&amp;(Kalend!B12)</f>
        <v>Toimumisaeg: L, 10.06.2017 kell 10:30</v>
      </c>
    </row>
    <row r="3" spans="1:11" x14ac:dyDescent="0.2">
      <c r="A3" s="116" t="str">
        <f>"Toimumiskoht: "&amp;(Kalend!H12)</f>
        <v>Toimumiskoht: Jõhvi, Neptun</v>
      </c>
    </row>
    <row r="4" spans="1:11" x14ac:dyDescent="0.2">
      <c r="A4" s="116" t="str">
        <f>"Korraldaja: "&amp;(Kalend!I12)</f>
        <v>Korraldaja: Kohtla-Järve SHK, Ivar Viljaste</v>
      </c>
    </row>
    <row r="5" spans="1:11" s="206" customFormat="1" x14ac:dyDescent="0.2">
      <c r="A5" s="116"/>
    </row>
    <row r="6" spans="1:11" s="206" customFormat="1" x14ac:dyDescent="0.2">
      <c r="A6" s="59" t="s">
        <v>701</v>
      </c>
      <c r="B6" s="59"/>
      <c r="C6" s="319">
        <v>1</v>
      </c>
      <c r="D6" s="319">
        <v>2</v>
      </c>
      <c r="E6" s="319">
        <v>3</v>
      </c>
      <c r="F6" s="319">
        <v>4</v>
      </c>
      <c r="G6" s="319" t="s">
        <v>591</v>
      </c>
      <c r="H6" s="319" t="s">
        <v>155</v>
      </c>
    </row>
    <row r="7" spans="1:11" s="206" customFormat="1" x14ac:dyDescent="0.2">
      <c r="A7" s="59">
        <v>1</v>
      </c>
      <c r="B7" s="361" t="s">
        <v>45</v>
      </c>
      <c r="C7" s="356"/>
      <c r="D7" s="357">
        <v>13</v>
      </c>
      <c r="E7" s="319">
        <v>13</v>
      </c>
      <c r="F7" s="319">
        <v>13</v>
      </c>
      <c r="G7" s="358" t="s">
        <v>757</v>
      </c>
      <c r="H7" s="359" t="s">
        <v>586</v>
      </c>
    </row>
    <row r="8" spans="1:11" s="206" customFormat="1" x14ac:dyDescent="0.2">
      <c r="A8" s="59">
        <v>2</v>
      </c>
      <c r="B8" s="360" t="s">
        <v>154</v>
      </c>
      <c r="C8" s="357">
        <v>2</v>
      </c>
      <c r="D8" s="356"/>
      <c r="E8" s="357">
        <v>9</v>
      </c>
      <c r="F8" s="357">
        <v>13</v>
      </c>
      <c r="G8" s="358" t="s">
        <v>758</v>
      </c>
      <c r="H8" s="359" t="s">
        <v>588</v>
      </c>
    </row>
    <row r="9" spans="1:11" s="206" customFormat="1" x14ac:dyDescent="0.2">
      <c r="A9" s="59">
        <v>3</v>
      </c>
      <c r="B9" s="355" t="s">
        <v>166</v>
      </c>
      <c r="C9" s="357">
        <v>5</v>
      </c>
      <c r="D9" s="362">
        <v>13</v>
      </c>
      <c r="E9" s="356"/>
      <c r="F9" s="357">
        <v>13</v>
      </c>
      <c r="G9" s="358" t="s">
        <v>759</v>
      </c>
      <c r="H9" s="362" t="s">
        <v>587</v>
      </c>
    </row>
    <row r="10" spans="1:11" s="206" customFormat="1" x14ac:dyDescent="0.2">
      <c r="A10" s="59">
        <v>4</v>
      </c>
      <c r="B10" s="361" t="s">
        <v>724</v>
      </c>
      <c r="C10" s="357">
        <v>1</v>
      </c>
      <c r="D10" s="357">
        <v>11</v>
      </c>
      <c r="E10" s="357">
        <v>5</v>
      </c>
      <c r="F10" s="356"/>
      <c r="G10" s="358" t="s">
        <v>760</v>
      </c>
      <c r="H10" s="359" t="s">
        <v>608</v>
      </c>
    </row>
    <row r="11" spans="1:11" s="206" customFormat="1" x14ac:dyDescent="0.2">
      <c r="A11" s="116"/>
    </row>
    <row r="12" spans="1:11" s="206" customFormat="1" x14ac:dyDescent="0.2">
      <c r="A12" s="442" t="s">
        <v>644</v>
      </c>
      <c r="B12" s="135"/>
      <c r="C12" s="135"/>
      <c r="D12" s="135"/>
      <c r="E12" s="135"/>
      <c r="F12" s="135"/>
      <c r="G12" s="135"/>
      <c r="H12" s="135"/>
      <c r="I12" s="89"/>
      <c r="J12" s="89"/>
    </row>
    <row r="13" spans="1:11" s="206" customFormat="1" x14ac:dyDescent="0.2">
      <c r="A13" s="442"/>
      <c r="B13" s="135"/>
      <c r="C13" s="135"/>
      <c r="D13" s="135"/>
      <c r="E13" s="135"/>
      <c r="F13" s="135"/>
      <c r="G13" s="135"/>
      <c r="H13" s="135"/>
      <c r="I13" s="89"/>
      <c r="J13" s="89"/>
    </row>
    <row r="14" spans="1:11" s="206" customFormat="1" x14ac:dyDescent="0.2">
      <c r="A14" s="135"/>
      <c r="B14" s="135"/>
      <c r="C14" s="135"/>
      <c r="D14" s="63">
        <v>1</v>
      </c>
      <c r="E14" s="443" t="s">
        <v>45</v>
      </c>
      <c r="F14" s="423"/>
      <c r="G14" s="423">
        <v>13</v>
      </c>
      <c r="H14" s="423"/>
      <c r="I14" s="423"/>
      <c r="J14" s="135"/>
    </row>
    <row r="15" spans="1:11" s="206" customFormat="1" x14ac:dyDescent="0.2">
      <c r="A15" s="135"/>
      <c r="B15" s="135"/>
      <c r="C15" s="135"/>
      <c r="D15" s="63"/>
      <c r="E15" s="444"/>
      <c r="F15" s="445"/>
      <c r="G15" s="683" t="s">
        <v>45</v>
      </c>
      <c r="H15" s="423"/>
      <c r="I15" s="423">
        <v>13</v>
      </c>
      <c r="J15" s="135"/>
    </row>
    <row r="16" spans="1:11" s="206" customFormat="1" x14ac:dyDescent="0.2">
      <c r="A16" s="135"/>
      <c r="B16" s="135"/>
      <c r="C16" s="135"/>
      <c r="D16" s="63">
        <v>4</v>
      </c>
      <c r="E16" s="446" t="s">
        <v>724</v>
      </c>
      <c r="F16" s="447"/>
      <c r="G16" s="423">
        <v>4</v>
      </c>
      <c r="H16" s="445"/>
      <c r="I16" s="423"/>
      <c r="J16" s="135"/>
    </row>
    <row r="17" spans="1:10" s="206" customFormat="1" ht="13.5" thickBot="1" x14ac:dyDescent="0.25">
      <c r="A17" s="135"/>
      <c r="B17" s="135"/>
      <c r="C17" s="135"/>
      <c r="D17" s="63"/>
      <c r="E17" s="423"/>
      <c r="F17" s="423"/>
      <c r="G17" s="432"/>
      <c r="H17" s="448"/>
      <c r="I17" s="423"/>
      <c r="J17" s="135" t="s">
        <v>45</v>
      </c>
    </row>
    <row r="18" spans="1:10" s="206" customFormat="1" x14ac:dyDescent="0.2">
      <c r="A18" s="135"/>
      <c r="B18" s="135"/>
      <c r="C18" s="135"/>
      <c r="D18" s="63">
        <v>2</v>
      </c>
      <c r="E18" s="423" t="s">
        <v>166</v>
      </c>
      <c r="F18" s="423"/>
      <c r="G18" s="423">
        <v>13</v>
      </c>
      <c r="H18" s="448"/>
      <c r="I18" s="449"/>
      <c r="J18" s="437" t="s">
        <v>748</v>
      </c>
    </row>
    <row r="19" spans="1:10" s="206" customFormat="1" x14ac:dyDescent="0.2">
      <c r="A19" s="135"/>
      <c r="B19" s="135"/>
      <c r="C19" s="135"/>
      <c r="D19" s="63"/>
      <c r="E19" s="444"/>
      <c r="F19" s="445"/>
      <c r="G19" s="423" t="s">
        <v>166</v>
      </c>
      <c r="H19" s="447"/>
      <c r="I19" s="432">
        <v>6</v>
      </c>
      <c r="J19" s="135"/>
    </row>
    <row r="20" spans="1:10" s="206" customFormat="1" ht="13.5" thickBot="1" x14ac:dyDescent="0.25">
      <c r="A20" s="135"/>
      <c r="B20" s="135"/>
      <c r="C20" s="135"/>
      <c r="D20" s="63">
        <v>3</v>
      </c>
      <c r="E20" s="446" t="s">
        <v>154</v>
      </c>
      <c r="F20" s="447"/>
      <c r="G20" s="444">
        <v>7</v>
      </c>
      <c r="H20" s="423"/>
      <c r="I20" s="432"/>
      <c r="J20" s="89" t="s">
        <v>166</v>
      </c>
    </row>
    <row r="21" spans="1:10" s="206" customFormat="1" x14ac:dyDescent="0.2">
      <c r="A21" s="135"/>
      <c r="B21" s="135"/>
      <c r="C21" s="135"/>
      <c r="D21" s="135"/>
      <c r="E21" s="423"/>
      <c r="F21" s="423"/>
      <c r="G21" s="423"/>
      <c r="H21" s="423"/>
      <c r="I21" s="432"/>
      <c r="J21" s="437" t="s">
        <v>749</v>
      </c>
    </row>
    <row r="22" spans="1:10" s="206" customFormat="1" x14ac:dyDescent="0.2">
      <c r="A22" s="135"/>
      <c r="B22" s="135"/>
      <c r="C22" s="135"/>
      <c r="D22" s="135"/>
      <c r="E22" s="423"/>
      <c r="F22" s="432"/>
      <c r="G22" s="423" t="s">
        <v>724</v>
      </c>
      <c r="H22" s="423"/>
      <c r="I22" s="432">
        <v>13</v>
      </c>
      <c r="J22" s="89"/>
    </row>
    <row r="23" spans="1:10" s="206" customFormat="1" ht="13.5" thickBot="1" x14ac:dyDescent="0.25">
      <c r="A23" s="135"/>
      <c r="B23" s="135"/>
      <c r="C23" s="135"/>
      <c r="D23" s="135"/>
      <c r="E23" s="423"/>
      <c r="F23" s="432"/>
      <c r="G23" s="444"/>
      <c r="H23" s="445"/>
      <c r="I23" s="450"/>
      <c r="J23" s="439" t="s">
        <v>724</v>
      </c>
    </row>
    <row r="24" spans="1:10" s="206" customFormat="1" x14ac:dyDescent="0.2">
      <c r="A24" s="135"/>
      <c r="B24" s="135"/>
      <c r="C24" s="135"/>
      <c r="D24" s="135"/>
      <c r="E24" s="423"/>
      <c r="F24" s="432"/>
      <c r="G24" s="446" t="s">
        <v>154</v>
      </c>
      <c r="H24" s="447"/>
      <c r="I24" s="423">
        <v>12</v>
      </c>
      <c r="J24" s="441" t="s">
        <v>750</v>
      </c>
    </row>
    <row r="25" spans="1:10" s="206" customFormat="1" x14ac:dyDescent="0.2">
      <c r="A25" s="135"/>
      <c r="B25" s="135"/>
      <c r="C25" s="135"/>
      <c r="D25" s="135"/>
      <c r="E25" s="135"/>
      <c r="F25" s="89"/>
      <c r="G25" s="135"/>
      <c r="H25" s="135"/>
      <c r="I25" s="135"/>
      <c r="J25" s="89"/>
    </row>
    <row r="26" spans="1:10" s="206" customFormat="1" ht="13.5" thickBot="1" x14ac:dyDescent="0.25">
      <c r="A26" s="135"/>
      <c r="B26" s="135"/>
      <c r="C26" s="135"/>
      <c r="D26" s="135"/>
      <c r="E26" s="63"/>
      <c r="F26" s="135"/>
      <c r="G26" s="89"/>
      <c r="H26" s="89"/>
      <c r="I26" s="135"/>
      <c r="J26" s="439" t="s">
        <v>154</v>
      </c>
    </row>
    <row r="27" spans="1:10" s="206" customFormat="1" x14ac:dyDescent="0.2">
      <c r="A27" s="135"/>
      <c r="B27" s="135"/>
      <c r="C27" s="135"/>
      <c r="D27" s="135"/>
      <c r="E27" s="63"/>
      <c r="F27" s="135"/>
      <c r="G27" s="89"/>
      <c r="H27" s="89"/>
      <c r="I27" s="135"/>
      <c r="J27" s="441" t="s">
        <v>414</v>
      </c>
    </row>
    <row r="29" spans="1:10" x14ac:dyDescent="0.2">
      <c r="A29" s="60">
        <v>1</v>
      </c>
      <c r="B29" s="84" t="s">
        <v>45</v>
      </c>
    </row>
    <row r="30" spans="1:10" x14ac:dyDescent="0.2">
      <c r="A30" s="60">
        <v>2</v>
      </c>
      <c r="B30" s="91" t="s">
        <v>166</v>
      </c>
    </row>
    <row r="31" spans="1:10" x14ac:dyDescent="0.2">
      <c r="A31" s="60">
        <v>3</v>
      </c>
      <c r="B31" s="92" t="s">
        <v>724</v>
      </c>
    </row>
    <row r="32" spans="1:10" x14ac:dyDescent="0.2">
      <c r="A32" s="60">
        <v>4</v>
      </c>
      <c r="B32" s="62" t="s">
        <v>154</v>
      </c>
    </row>
  </sheetData>
  <conditionalFormatting sqref="C7:G10">
    <cfRule type="cellIs" dxfId="425" priority="2" operator="equal">
      <formula>13</formula>
    </cfRule>
  </conditionalFormatting>
  <conditionalFormatting sqref="C12:I27">
    <cfRule type="cellIs" dxfId="424" priority="1"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A1:AC139"/>
  <sheetViews>
    <sheetView showGridLines="0" showRowColHeaders="0" zoomScaleNormal="100" workbookViewId="0">
      <pane ySplit="7" topLeftCell="A8" activePane="bottomLeft" state="frozen"/>
      <selection activeCell="AE16" sqref="AE16"/>
      <selection pane="bottomLeft" activeCell="W1" sqref="W1"/>
    </sheetView>
  </sheetViews>
  <sheetFormatPr defaultRowHeight="12.75" x14ac:dyDescent="0.2"/>
  <cols>
    <col min="1" max="1" width="3" style="142" customWidth="1"/>
    <col min="2" max="2" width="18.85546875" style="142" customWidth="1"/>
    <col min="3" max="22" width="2.7109375" style="142" customWidth="1"/>
    <col min="23" max="23" width="3" style="142" bestFit="1" customWidth="1"/>
    <col min="24" max="24" width="11.5703125" style="142" bestFit="1" customWidth="1"/>
    <col min="25" max="25" width="3" style="142" customWidth="1"/>
    <col min="26" max="27" width="4" style="142" hidden="1" customWidth="1"/>
    <col min="28" max="28" width="4.5703125" style="142" hidden="1" customWidth="1"/>
    <col min="29" max="29" width="9.140625" style="142"/>
    <col min="30" max="36" width="2.7109375" style="142" customWidth="1"/>
    <col min="37" max="226" width="9.140625" style="142"/>
    <col min="227" max="227" width="3" style="142" customWidth="1"/>
    <col min="228" max="228" width="18.7109375" style="142" customWidth="1"/>
    <col min="229" max="248" width="2.85546875" style="142" customWidth="1"/>
    <col min="249" max="249" width="3" style="142" bestFit="1" customWidth="1"/>
    <col min="250" max="250" width="10.5703125" style="142" customWidth="1"/>
    <col min="251" max="253" width="0" style="142" hidden="1" customWidth="1"/>
    <col min="254" max="482" width="9.140625" style="142"/>
    <col min="483" max="483" width="3" style="142" customWidth="1"/>
    <col min="484" max="484" width="18.7109375" style="142" customWidth="1"/>
    <col min="485" max="504" width="2.85546875" style="142" customWidth="1"/>
    <col min="505" max="505" width="3" style="142" bestFit="1" customWidth="1"/>
    <col min="506" max="506" width="10.5703125" style="142" customWidth="1"/>
    <col min="507" max="509" width="0" style="142" hidden="1" customWidth="1"/>
    <col min="510" max="738" width="9.140625" style="142"/>
    <col min="739" max="739" width="3" style="142" customWidth="1"/>
    <col min="740" max="740" width="18.7109375" style="142" customWidth="1"/>
    <col min="741" max="760" width="2.85546875" style="142" customWidth="1"/>
    <col min="761" max="761" width="3" style="142" bestFit="1" customWidth="1"/>
    <col min="762" max="762" width="10.5703125" style="142" customWidth="1"/>
    <col min="763" max="765" width="0" style="142" hidden="1" customWidth="1"/>
    <col min="766" max="994" width="9.140625" style="142"/>
    <col min="995" max="995" width="3" style="142" customWidth="1"/>
    <col min="996" max="996" width="18.7109375" style="142" customWidth="1"/>
    <col min="997" max="1016" width="2.85546875" style="142" customWidth="1"/>
    <col min="1017" max="1017" width="3" style="142" bestFit="1" customWidth="1"/>
    <col min="1018" max="1018" width="10.5703125" style="142" customWidth="1"/>
    <col min="1019" max="1021" width="0" style="142" hidden="1" customWidth="1"/>
    <col min="1022" max="1250" width="9.140625" style="142"/>
    <col min="1251" max="1251" width="3" style="142" customWidth="1"/>
    <col min="1252" max="1252" width="18.7109375" style="142" customWidth="1"/>
    <col min="1253" max="1272" width="2.85546875" style="142" customWidth="1"/>
    <col min="1273" max="1273" width="3" style="142" bestFit="1" customWidth="1"/>
    <col min="1274" max="1274" width="10.5703125" style="142" customWidth="1"/>
    <col min="1275" max="1277" width="0" style="142" hidden="1" customWidth="1"/>
    <col min="1278" max="1506" width="9.140625" style="142"/>
    <col min="1507" max="1507" width="3" style="142" customWidth="1"/>
    <col min="1508" max="1508" width="18.7109375" style="142" customWidth="1"/>
    <col min="1509" max="1528" width="2.85546875" style="142" customWidth="1"/>
    <col min="1529" max="1529" width="3" style="142" bestFit="1" customWidth="1"/>
    <col min="1530" max="1530" width="10.5703125" style="142" customWidth="1"/>
    <col min="1531" max="1533" width="0" style="142" hidden="1" customWidth="1"/>
    <col min="1534" max="1762" width="9.140625" style="142"/>
    <col min="1763" max="1763" width="3" style="142" customWidth="1"/>
    <col min="1764" max="1764" width="18.7109375" style="142" customWidth="1"/>
    <col min="1765" max="1784" width="2.85546875" style="142" customWidth="1"/>
    <col min="1785" max="1785" width="3" style="142" bestFit="1" customWidth="1"/>
    <col min="1786" max="1786" width="10.5703125" style="142" customWidth="1"/>
    <col min="1787" max="1789" width="0" style="142" hidden="1" customWidth="1"/>
    <col min="1790" max="2018" width="9.140625" style="142"/>
    <col min="2019" max="2019" width="3" style="142" customWidth="1"/>
    <col min="2020" max="2020" width="18.7109375" style="142" customWidth="1"/>
    <col min="2021" max="2040" width="2.85546875" style="142" customWidth="1"/>
    <col min="2041" max="2041" width="3" style="142" bestFit="1" customWidth="1"/>
    <col min="2042" max="2042" width="10.5703125" style="142" customWidth="1"/>
    <col min="2043" max="2045" width="0" style="142" hidden="1" customWidth="1"/>
    <col min="2046" max="2274" width="9.140625" style="142"/>
    <col min="2275" max="2275" width="3" style="142" customWidth="1"/>
    <col min="2276" max="2276" width="18.7109375" style="142" customWidth="1"/>
    <col min="2277" max="2296" width="2.85546875" style="142" customWidth="1"/>
    <col min="2297" max="2297" width="3" style="142" bestFit="1" customWidth="1"/>
    <col min="2298" max="2298" width="10.5703125" style="142" customWidth="1"/>
    <col min="2299" max="2301" width="0" style="142" hidden="1" customWidth="1"/>
    <col min="2302" max="2530" width="9.140625" style="142"/>
    <col min="2531" max="2531" width="3" style="142" customWidth="1"/>
    <col min="2532" max="2532" width="18.7109375" style="142" customWidth="1"/>
    <col min="2533" max="2552" width="2.85546875" style="142" customWidth="1"/>
    <col min="2553" max="2553" width="3" style="142" bestFit="1" customWidth="1"/>
    <col min="2554" max="2554" width="10.5703125" style="142" customWidth="1"/>
    <col min="2555" max="2557" width="0" style="142" hidden="1" customWidth="1"/>
    <col min="2558" max="2786" width="9.140625" style="142"/>
    <col min="2787" max="2787" width="3" style="142" customWidth="1"/>
    <col min="2788" max="2788" width="18.7109375" style="142" customWidth="1"/>
    <col min="2789" max="2808" width="2.85546875" style="142" customWidth="1"/>
    <col min="2809" max="2809" width="3" style="142" bestFit="1" customWidth="1"/>
    <col min="2810" max="2810" width="10.5703125" style="142" customWidth="1"/>
    <col min="2811" max="2813" width="0" style="142" hidden="1" customWidth="1"/>
    <col min="2814" max="3042" width="9.140625" style="142"/>
    <col min="3043" max="3043" width="3" style="142" customWidth="1"/>
    <col min="3044" max="3044" width="18.7109375" style="142" customWidth="1"/>
    <col min="3045" max="3064" width="2.85546875" style="142" customWidth="1"/>
    <col min="3065" max="3065" width="3" style="142" bestFit="1" customWidth="1"/>
    <col min="3066" max="3066" width="10.5703125" style="142" customWidth="1"/>
    <col min="3067" max="3069" width="0" style="142" hidden="1" customWidth="1"/>
    <col min="3070" max="3298" width="9.140625" style="142"/>
    <col min="3299" max="3299" width="3" style="142" customWidth="1"/>
    <col min="3300" max="3300" width="18.7109375" style="142" customWidth="1"/>
    <col min="3301" max="3320" width="2.85546875" style="142" customWidth="1"/>
    <col min="3321" max="3321" width="3" style="142" bestFit="1" customWidth="1"/>
    <col min="3322" max="3322" width="10.5703125" style="142" customWidth="1"/>
    <col min="3323" max="3325" width="0" style="142" hidden="1" customWidth="1"/>
    <col min="3326" max="3554" width="9.140625" style="142"/>
    <col min="3555" max="3555" width="3" style="142" customWidth="1"/>
    <col min="3556" max="3556" width="18.7109375" style="142" customWidth="1"/>
    <col min="3557" max="3576" width="2.85546875" style="142" customWidth="1"/>
    <col min="3577" max="3577" width="3" style="142" bestFit="1" customWidth="1"/>
    <col min="3578" max="3578" width="10.5703125" style="142" customWidth="1"/>
    <col min="3579" max="3581" width="0" style="142" hidden="1" customWidth="1"/>
    <col min="3582" max="3810" width="9.140625" style="142"/>
    <col min="3811" max="3811" width="3" style="142" customWidth="1"/>
    <col min="3812" max="3812" width="18.7109375" style="142" customWidth="1"/>
    <col min="3813" max="3832" width="2.85546875" style="142" customWidth="1"/>
    <col min="3833" max="3833" width="3" style="142" bestFit="1" customWidth="1"/>
    <col min="3834" max="3834" width="10.5703125" style="142" customWidth="1"/>
    <col min="3835" max="3837" width="0" style="142" hidden="1" customWidth="1"/>
    <col min="3838" max="4066" width="9.140625" style="142"/>
    <col min="4067" max="4067" width="3" style="142" customWidth="1"/>
    <col min="4068" max="4068" width="18.7109375" style="142" customWidth="1"/>
    <col min="4069" max="4088" width="2.85546875" style="142" customWidth="1"/>
    <col min="4089" max="4089" width="3" style="142" bestFit="1" customWidth="1"/>
    <col min="4090" max="4090" width="10.5703125" style="142" customWidth="1"/>
    <col min="4091" max="4093" width="0" style="142" hidden="1" customWidth="1"/>
    <col min="4094" max="4322" width="9.140625" style="142"/>
    <col min="4323" max="4323" width="3" style="142" customWidth="1"/>
    <col min="4324" max="4324" width="18.7109375" style="142" customWidth="1"/>
    <col min="4325" max="4344" width="2.85546875" style="142" customWidth="1"/>
    <col min="4345" max="4345" width="3" style="142" bestFit="1" customWidth="1"/>
    <col min="4346" max="4346" width="10.5703125" style="142" customWidth="1"/>
    <col min="4347" max="4349" width="0" style="142" hidden="1" customWidth="1"/>
    <col min="4350" max="4578" width="9.140625" style="142"/>
    <col min="4579" max="4579" width="3" style="142" customWidth="1"/>
    <col min="4580" max="4580" width="18.7109375" style="142" customWidth="1"/>
    <col min="4581" max="4600" width="2.85546875" style="142" customWidth="1"/>
    <col min="4601" max="4601" width="3" style="142" bestFit="1" customWidth="1"/>
    <col min="4602" max="4602" width="10.5703125" style="142" customWidth="1"/>
    <col min="4603" max="4605" width="0" style="142" hidden="1" customWidth="1"/>
    <col min="4606" max="4834" width="9.140625" style="142"/>
    <col min="4835" max="4835" width="3" style="142" customWidth="1"/>
    <col min="4836" max="4836" width="18.7109375" style="142" customWidth="1"/>
    <col min="4837" max="4856" width="2.85546875" style="142" customWidth="1"/>
    <col min="4857" max="4857" width="3" style="142" bestFit="1" customWidth="1"/>
    <col min="4858" max="4858" width="10.5703125" style="142" customWidth="1"/>
    <col min="4859" max="4861" width="0" style="142" hidden="1" customWidth="1"/>
    <col min="4862" max="5090" width="9.140625" style="142"/>
    <col min="5091" max="5091" width="3" style="142" customWidth="1"/>
    <col min="5092" max="5092" width="18.7109375" style="142" customWidth="1"/>
    <col min="5093" max="5112" width="2.85546875" style="142" customWidth="1"/>
    <col min="5113" max="5113" width="3" style="142" bestFit="1" customWidth="1"/>
    <col min="5114" max="5114" width="10.5703125" style="142" customWidth="1"/>
    <col min="5115" max="5117" width="0" style="142" hidden="1" customWidth="1"/>
    <col min="5118" max="5346" width="9.140625" style="142"/>
    <col min="5347" max="5347" width="3" style="142" customWidth="1"/>
    <col min="5348" max="5348" width="18.7109375" style="142" customWidth="1"/>
    <col min="5349" max="5368" width="2.85546875" style="142" customWidth="1"/>
    <col min="5369" max="5369" width="3" style="142" bestFit="1" customWidth="1"/>
    <col min="5370" max="5370" width="10.5703125" style="142" customWidth="1"/>
    <col min="5371" max="5373" width="0" style="142" hidden="1" customWidth="1"/>
    <col min="5374" max="5602" width="9.140625" style="142"/>
    <col min="5603" max="5603" width="3" style="142" customWidth="1"/>
    <col min="5604" max="5604" width="18.7109375" style="142" customWidth="1"/>
    <col min="5605" max="5624" width="2.85546875" style="142" customWidth="1"/>
    <col min="5625" max="5625" width="3" style="142" bestFit="1" customWidth="1"/>
    <col min="5626" max="5626" width="10.5703125" style="142" customWidth="1"/>
    <col min="5627" max="5629" width="0" style="142" hidden="1" customWidth="1"/>
    <col min="5630" max="5858" width="9.140625" style="142"/>
    <col min="5859" max="5859" width="3" style="142" customWidth="1"/>
    <col min="5860" max="5860" width="18.7109375" style="142" customWidth="1"/>
    <col min="5861" max="5880" width="2.85546875" style="142" customWidth="1"/>
    <col min="5881" max="5881" width="3" style="142" bestFit="1" customWidth="1"/>
    <col min="5882" max="5882" width="10.5703125" style="142" customWidth="1"/>
    <col min="5883" max="5885" width="0" style="142" hidden="1" customWidth="1"/>
    <col min="5886" max="6114" width="9.140625" style="142"/>
    <col min="6115" max="6115" width="3" style="142" customWidth="1"/>
    <col min="6116" max="6116" width="18.7109375" style="142" customWidth="1"/>
    <col min="6117" max="6136" width="2.85546875" style="142" customWidth="1"/>
    <col min="6137" max="6137" width="3" style="142" bestFit="1" customWidth="1"/>
    <col min="6138" max="6138" width="10.5703125" style="142" customWidth="1"/>
    <col min="6139" max="6141" width="0" style="142" hidden="1" customWidth="1"/>
    <col min="6142" max="6370" width="9.140625" style="142"/>
    <col min="6371" max="6371" width="3" style="142" customWidth="1"/>
    <col min="6372" max="6372" width="18.7109375" style="142" customWidth="1"/>
    <col min="6373" max="6392" width="2.85546875" style="142" customWidth="1"/>
    <col min="6393" max="6393" width="3" style="142" bestFit="1" customWidth="1"/>
    <col min="6394" max="6394" width="10.5703125" style="142" customWidth="1"/>
    <col min="6395" max="6397" width="0" style="142" hidden="1" customWidth="1"/>
    <col min="6398" max="6626" width="9.140625" style="142"/>
    <col min="6627" max="6627" width="3" style="142" customWidth="1"/>
    <col min="6628" max="6628" width="18.7109375" style="142" customWidth="1"/>
    <col min="6629" max="6648" width="2.85546875" style="142" customWidth="1"/>
    <col min="6649" max="6649" width="3" style="142" bestFit="1" customWidth="1"/>
    <col min="6650" max="6650" width="10.5703125" style="142" customWidth="1"/>
    <col min="6651" max="6653" width="0" style="142" hidden="1" customWidth="1"/>
    <col min="6654" max="6882" width="9.140625" style="142"/>
    <col min="6883" max="6883" width="3" style="142" customWidth="1"/>
    <col min="6884" max="6884" width="18.7109375" style="142" customWidth="1"/>
    <col min="6885" max="6904" width="2.85546875" style="142" customWidth="1"/>
    <col min="6905" max="6905" width="3" style="142" bestFit="1" customWidth="1"/>
    <col min="6906" max="6906" width="10.5703125" style="142" customWidth="1"/>
    <col min="6907" max="6909" width="0" style="142" hidden="1" customWidth="1"/>
    <col min="6910" max="7138" width="9.140625" style="142"/>
    <col min="7139" max="7139" width="3" style="142" customWidth="1"/>
    <col min="7140" max="7140" width="18.7109375" style="142" customWidth="1"/>
    <col min="7141" max="7160" width="2.85546875" style="142" customWidth="1"/>
    <col min="7161" max="7161" width="3" style="142" bestFit="1" customWidth="1"/>
    <col min="7162" max="7162" width="10.5703125" style="142" customWidth="1"/>
    <col min="7163" max="7165" width="0" style="142" hidden="1" customWidth="1"/>
    <col min="7166" max="7394" width="9.140625" style="142"/>
    <col min="7395" max="7395" width="3" style="142" customWidth="1"/>
    <col min="7396" max="7396" width="18.7109375" style="142" customWidth="1"/>
    <col min="7397" max="7416" width="2.85546875" style="142" customWidth="1"/>
    <col min="7417" max="7417" width="3" style="142" bestFit="1" customWidth="1"/>
    <col min="7418" max="7418" width="10.5703125" style="142" customWidth="1"/>
    <col min="7419" max="7421" width="0" style="142" hidden="1" customWidth="1"/>
    <col min="7422" max="7650" width="9.140625" style="142"/>
    <col min="7651" max="7651" width="3" style="142" customWidth="1"/>
    <col min="7652" max="7652" width="18.7109375" style="142" customWidth="1"/>
    <col min="7653" max="7672" width="2.85546875" style="142" customWidth="1"/>
    <col min="7673" max="7673" width="3" style="142" bestFit="1" customWidth="1"/>
    <col min="7674" max="7674" width="10.5703125" style="142" customWidth="1"/>
    <col min="7675" max="7677" width="0" style="142" hidden="1" customWidth="1"/>
    <col min="7678" max="7906" width="9.140625" style="142"/>
    <col min="7907" max="7907" width="3" style="142" customWidth="1"/>
    <col min="7908" max="7908" width="18.7109375" style="142" customWidth="1"/>
    <col min="7909" max="7928" width="2.85546875" style="142" customWidth="1"/>
    <col min="7929" max="7929" width="3" style="142" bestFit="1" customWidth="1"/>
    <col min="7930" max="7930" width="10.5703125" style="142" customWidth="1"/>
    <col min="7931" max="7933" width="0" style="142" hidden="1" customWidth="1"/>
    <col min="7934" max="8162" width="9.140625" style="142"/>
    <col min="8163" max="8163" width="3" style="142" customWidth="1"/>
    <col min="8164" max="8164" width="18.7109375" style="142" customWidth="1"/>
    <col min="8165" max="8184" width="2.85546875" style="142" customWidth="1"/>
    <col min="8185" max="8185" width="3" style="142" bestFit="1" customWidth="1"/>
    <col min="8186" max="8186" width="10.5703125" style="142" customWidth="1"/>
    <col min="8187" max="8189" width="0" style="142" hidden="1" customWidth="1"/>
    <col min="8190" max="8418" width="9.140625" style="142"/>
    <col min="8419" max="8419" width="3" style="142" customWidth="1"/>
    <col min="8420" max="8420" width="18.7109375" style="142" customWidth="1"/>
    <col min="8421" max="8440" width="2.85546875" style="142" customWidth="1"/>
    <col min="8441" max="8441" width="3" style="142" bestFit="1" customWidth="1"/>
    <col min="8442" max="8442" width="10.5703125" style="142" customWidth="1"/>
    <col min="8443" max="8445" width="0" style="142" hidden="1" customWidth="1"/>
    <col min="8446" max="8674" width="9.140625" style="142"/>
    <col min="8675" max="8675" width="3" style="142" customWidth="1"/>
    <col min="8676" max="8676" width="18.7109375" style="142" customWidth="1"/>
    <col min="8677" max="8696" width="2.85546875" style="142" customWidth="1"/>
    <col min="8697" max="8697" width="3" style="142" bestFit="1" customWidth="1"/>
    <col min="8698" max="8698" width="10.5703125" style="142" customWidth="1"/>
    <col min="8699" max="8701" width="0" style="142" hidden="1" customWidth="1"/>
    <col min="8702" max="8930" width="9.140625" style="142"/>
    <col min="8931" max="8931" width="3" style="142" customWidth="1"/>
    <col min="8932" max="8932" width="18.7109375" style="142" customWidth="1"/>
    <col min="8933" max="8952" width="2.85546875" style="142" customWidth="1"/>
    <col min="8953" max="8953" width="3" style="142" bestFit="1" customWidth="1"/>
    <col min="8954" max="8954" width="10.5703125" style="142" customWidth="1"/>
    <col min="8955" max="8957" width="0" style="142" hidden="1" customWidth="1"/>
    <col min="8958" max="9186" width="9.140625" style="142"/>
    <col min="9187" max="9187" width="3" style="142" customWidth="1"/>
    <col min="9188" max="9188" width="18.7109375" style="142" customWidth="1"/>
    <col min="9189" max="9208" width="2.85546875" style="142" customWidth="1"/>
    <col min="9209" max="9209" width="3" style="142" bestFit="1" customWidth="1"/>
    <col min="9210" max="9210" width="10.5703125" style="142" customWidth="1"/>
    <col min="9211" max="9213" width="0" style="142" hidden="1" customWidth="1"/>
    <col min="9214" max="9442" width="9.140625" style="142"/>
    <col min="9443" max="9443" width="3" style="142" customWidth="1"/>
    <col min="9444" max="9444" width="18.7109375" style="142" customWidth="1"/>
    <col min="9445" max="9464" width="2.85546875" style="142" customWidth="1"/>
    <col min="9465" max="9465" width="3" style="142" bestFit="1" customWidth="1"/>
    <col min="9466" max="9466" width="10.5703125" style="142" customWidth="1"/>
    <col min="9467" max="9469" width="0" style="142" hidden="1" customWidth="1"/>
    <col min="9470" max="9698" width="9.140625" style="142"/>
    <col min="9699" max="9699" width="3" style="142" customWidth="1"/>
    <col min="9700" max="9700" width="18.7109375" style="142" customWidth="1"/>
    <col min="9701" max="9720" width="2.85546875" style="142" customWidth="1"/>
    <col min="9721" max="9721" width="3" style="142" bestFit="1" customWidth="1"/>
    <col min="9722" max="9722" width="10.5703125" style="142" customWidth="1"/>
    <col min="9723" max="9725" width="0" style="142" hidden="1" customWidth="1"/>
    <col min="9726" max="9954" width="9.140625" style="142"/>
    <col min="9955" max="9955" width="3" style="142" customWidth="1"/>
    <col min="9956" max="9956" width="18.7109375" style="142" customWidth="1"/>
    <col min="9957" max="9976" width="2.85546875" style="142" customWidth="1"/>
    <col min="9977" max="9977" width="3" style="142" bestFit="1" customWidth="1"/>
    <col min="9978" max="9978" width="10.5703125" style="142" customWidth="1"/>
    <col min="9979" max="9981" width="0" style="142" hidden="1" customWidth="1"/>
    <col min="9982" max="10210" width="9.140625" style="142"/>
    <col min="10211" max="10211" width="3" style="142" customWidth="1"/>
    <col min="10212" max="10212" width="18.7109375" style="142" customWidth="1"/>
    <col min="10213" max="10232" width="2.85546875" style="142" customWidth="1"/>
    <col min="10233" max="10233" width="3" style="142" bestFit="1" customWidth="1"/>
    <col min="10234" max="10234" width="10.5703125" style="142" customWidth="1"/>
    <col min="10235" max="10237" width="0" style="142" hidden="1" customWidth="1"/>
    <col min="10238" max="10466" width="9.140625" style="142"/>
    <col min="10467" max="10467" width="3" style="142" customWidth="1"/>
    <col min="10468" max="10468" width="18.7109375" style="142" customWidth="1"/>
    <col min="10469" max="10488" width="2.85546875" style="142" customWidth="1"/>
    <col min="10489" max="10489" width="3" style="142" bestFit="1" customWidth="1"/>
    <col min="10490" max="10490" width="10.5703125" style="142" customWidth="1"/>
    <col min="10491" max="10493" width="0" style="142" hidden="1" customWidth="1"/>
    <col min="10494" max="10722" width="9.140625" style="142"/>
    <col min="10723" max="10723" width="3" style="142" customWidth="1"/>
    <col min="10724" max="10724" width="18.7109375" style="142" customWidth="1"/>
    <col min="10725" max="10744" width="2.85546875" style="142" customWidth="1"/>
    <col min="10745" max="10745" width="3" style="142" bestFit="1" customWidth="1"/>
    <col min="10746" max="10746" width="10.5703125" style="142" customWidth="1"/>
    <col min="10747" max="10749" width="0" style="142" hidden="1" customWidth="1"/>
    <col min="10750" max="10978" width="9.140625" style="142"/>
    <col min="10979" max="10979" width="3" style="142" customWidth="1"/>
    <col min="10980" max="10980" width="18.7109375" style="142" customWidth="1"/>
    <col min="10981" max="11000" width="2.85546875" style="142" customWidth="1"/>
    <col min="11001" max="11001" width="3" style="142" bestFit="1" customWidth="1"/>
    <col min="11002" max="11002" width="10.5703125" style="142" customWidth="1"/>
    <col min="11003" max="11005" width="0" style="142" hidden="1" customWidth="1"/>
    <col min="11006" max="11234" width="9.140625" style="142"/>
    <col min="11235" max="11235" width="3" style="142" customWidth="1"/>
    <col min="11236" max="11236" width="18.7109375" style="142" customWidth="1"/>
    <col min="11237" max="11256" width="2.85546875" style="142" customWidth="1"/>
    <col min="11257" max="11257" width="3" style="142" bestFit="1" customWidth="1"/>
    <col min="11258" max="11258" width="10.5703125" style="142" customWidth="1"/>
    <col min="11259" max="11261" width="0" style="142" hidden="1" customWidth="1"/>
    <col min="11262" max="11490" width="9.140625" style="142"/>
    <col min="11491" max="11491" width="3" style="142" customWidth="1"/>
    <col min="11492" max="11492" width="18.7109375" style="142" customWidth="1"/>
    <col min="11493" max="11512" width="2.85546875" style="142" customWidth="1"/>
    <col min="11513" max="11513" width="3" style="142" bestFit="1" customWidth="1"/>
    <col min="11514" max="11514" width="10.5703125" style="142" customWidth="1"/>
    <col min="11515" max="11517" width="0" style="142" hidden="1" customWidth="1"/>
    <col min="11518" max="11746" width="9.140625" style="142"/>
    <col min="11747" max="11747" width="3" style="142" customWidth="1"/>
    <col min="11748" max="11748" width="18.7109375" style="142" customWidth="1"/>
    <col min="11749" max="11768" width="2.85546875" style="142" customWidth="1"/>
    <col min="11769" max="11769" width="3" style="142" bestFit="1" customWidth="1"/>
    <col min="11770" max="11770" width="10.5703125" style="142" customWidth="1"/>
    <col min="11771" max="11773" width="0" style="142" hidden="1" customWidth="1"/>
    <col min="11774" max="12002" width="9.140625" style="142"/>
    <col min="12003" max="12003" width="3" style="142" customWidth="1"/>
    <col min="12004" max="12004" width="18.7109375" style="142" customWidth="1"/>
    <col min="12005" max="12024" width="2.85546875" style="142" customWidth="1"/>
    <col min="12025" max="12025" width="3" style="142" bestFit="1" customWidth="1"/>
    <col min="12026" max="12026" width="10.5703125" style="142" customWidth="1"/>
    <col min="12027" max="12029" width="0" style="142" hidden="1" customWidth="1"/>
    <col min="12030" max="12258" width="9.140625" style="142"/>
    <col min="12259" max="12259" width="3" style="142" customWidth="1"/>
    <col min="12260" max="12260" width="18.7109375" style="142" customWidth="1"/>
    <col min="12261" max="12280" width="2.85546875" style="142" customWidth="1"/>
    <col min="12281" max="12281" width="3" style="142" bestFit="1" customWidth="1"/>
    <col min="12282" max="12282" width="10.5703125" style="142" customWidth="1"/>
    <col min="12283" max="12285" width="0" style="142" hidden="1" customWidth="1"/>
    <col min="12286" max="12514" width="9.140625" style="142"/>
    <col min="12515" max="12515" width="3" style="142" customWidth="1"/>
    <col min="12516" max="12516" width="18.7109375" style="142" customWidth="1"/>
    <col min="12517" max="12536" width="2.85546875" style="142" customWidth="1"/>
    <col min="12537" max="12537" width="3" style="142" bestFit="1" customWidth="1"/>
    <col min="12538" max="12538" width="10.5703125" style="142" customWidth="1"/>
    <col min="12539" max="12541" width="0" style="142" hidden="1" customWidth="1"/>
    <col min="12542" max="12770" width="9.140625" style="142"/>
    <col min="12771" max="12771" width="3" style="142" customWidth="1"/>
    <col min="12772" max="12772" width="18.7109375" style="142" customWidth="1"/>
    <col min="12773" max="12792" width="2.85546875" style="142" customWidth="1"/>
    <col min="12793" max="12793" width="3" style="142" bestFit="1" customWidth="1"/>
    <col min="12794" max="12794" width="10.5703125" style="142" customWidth="1"/>
    <col min="12795" max="12797" width="0" style="142" hidden="1" customWidth="1"/>
    <col min="12798" max="13026" width="9.140625" style="142"/>
    <col min="13027" max="13027" width="3" style="142" customWidth="1"/>
    <col min="13028" max="13028" width="18.7109375" style="142" customWidth="1"/>
    <col min="13029" max="13048" width="2.85546875" style="142" customWidth="1"/>
    <col min="13049" max="13049" width="3" style="142" bestFit="1" customWidth="1"/>
    <col min="13050" max="13050" width="10.5703125" style="142" customWidth="1"/>
    <col min="13051" max="13053" width="0" style="142" hidden="1" customWidth="1"/>
    <col min="13054" max="13282" width="9.140625" style="142"/>
    <col min="13283" max="13283" width="3" style="142" customWidth="1"/>
    <col min="13284" max="13284" width="18.7109375" style="142" customWidth="1"/>
    <col min="13285" max="13304" width="2.85546875" style="142" customWidth="1"/>
    <col min="13305" max="13305" width="3" style="142" bestFit="1" customWidth="1"/>
    <col min="13306" max="13306" width="10.5703125" style="142" customWidth="1"/>
    <col min="13307" max="13309" width="0" style="142" hidden="1" customWidth="1"/>
    <col min="13310" max="13538" width="9.140625" style="142"/>
    <col min="13539" max="13539" width="3" style="142" customWidth="1"/>
    <col min="13540" max="13540" width="18.7109375" style="142" customWidth="1"/>
    <col min="13541" max="13560" width="2.85546875" style="142" customWidth="1"/>
    <col min="13561" max="13561" width="3" style="142" bestFit="1" customWidth="1"/>
    <col min="13562" max="13562" width="10.5703125" style="142" customWidth="1"/>
    <col min="13563" max="13565" width="0" style="142" hidden="1" customWidth="1"/>
    <col min="13566" max="13794" width="9.140625" style="142"/>
    <col min="13795" max="13795" width="3" style="142" customWidth="1"/>
    <col min="13796" max="13796" width="18.7109375" style="142" customWidth="1"/>
    <col min="13797" max="13816" width="2.85546875" style="142" customWidth="1"/>
    <col min="13817" max="13817" width="3" style="142" bestFit="1" customWidth="1"/>
    <col min="13818" max="13818" width="10.5703125" style="142" customWidth="1"/>
    <col min="13819" max="13821" width="0" style="142" hidden="1" customWidth="1"/>
    <col min="13822" max="14050" width="9.140625" style="142"/>
    <col min="14051" max="14051" width="3" style="142" customWidth="1"/>
    <col min="14052" max="14052" width="18.7109375" style="142" customWidth="1"/>
    <col min="14053" max="14072" width="2.85546875" style="142" customWidth="1"/>
    <col min="14073" max="14073" width="3" style="142" bestFit="1" customWidth="1"/>
    <col min="14074" max="14074" width="10.5703125" style="142" customWidth="1"/>
    <col min="14075" max="14077" width="0" style="142" hidden="1" customWidth="1"/>
    <col min="14078" max="14306" width="9.140625" style="142"/>
    <col min="14307" max="14307" width="3" style="142" customWidth="1"/>
    <col min="14308" max="14308" width="18.7109375" style="142" customWidth="1"/>
    <col min="14309" max="14328" width="2.85546875" style="142" customWidth="1"/>
    <col min="14329" max="14329" width="3" style="142" bestFit="1" customWidth="1"/>
    <col min="14330" max="14330" width="10.5703125" style="142" customWidth="1"/>
    <col min="14331" max="14333" width="0" style="142" hidden="1" customWidth="1"/>
    <col min="14334" max="14562" width="9.140625" style="142"/>
    <col min="14563" max="14563" width="3" style="142" customWidth="1"/>
    <col min="14564" max="14564" width="18.7109375" style="142" customWidth="1"/>
    <col min="14565" max="14584" width="2.85546875" style="142" customWidth="1"/>
    <col min="14585" max="14585" width="3" style="142" bestFit="1" customWidth="1"/>
    <col min="14586" max="14586" width="10.5703125" style="142" customWidth="1"/>
    <col min="14587" max="14589" width="0" style="142" hidden="1" customWidth="1"/>
    <col min="14590" max="14818" width="9.140625" style="142"/>
    <col min="14819" max="14819" width="3" style="142" customWidth="1"/>
    <col min="14820" max="14820" width="18.7109375" style="142" customWidth="1"/>
    <col min="14821" max="14840" width="2.85546875" style="142" customWidth="1"/>
    <col min="14841" max="14841" width="3" style="142" bestFit="1" customWidth="1"/>
    <col min="14842" max="14842" width="10.5703125" style="142" customWidth="1"/>
    <col min="14843" max="14845" width="0" style="142" hidden="1" customWidth="1"/>
    <col min="14846" max="15074" width="9.140625" style="142"/>
    <col min="15075" max="15075" width="3" style="142" customWidth="1"/>
    <col min="15076" max="15076" width="18.7109375" style="142" customWidth="1"/>
    <col min="15077" max="15096" width="2.85546875" style="142" customWidth="1"/>
    <col min="15097" max="15097" width="3" style="142" bestFit="1" customWidth="1"/>
    <col min="15098" max="15098" width="10.5703125" style="142" customWidth="1"/>
    <col min="15099" max="15101" width="0" style="142" hidden="1" customWidth="1"/>
    <col min="15102" max="15330" width="9.140625" style="142"/>
    <col min="15331" max="15331" width="3" style="142" customWidth="1"/>
    <col min="15332" max="15332" width="18.7109375" style="142" customWidth="1"/>
    <col min="15333" max="15352" width="2.85546875" style="142" customWidth="1"/>
    <col min="15353" max="15353" width="3" style="142" bestFit="1" customWidth="1"/>
    <col min="15354" max="15354" width="10.5703125" style="142" customWidth="1"/>
    <col min="15355" max="15357" width="0" style="142" hidden="1" customWidth="1"/>
    <col min="15358" max="15586" width="9.140625" style="142"/>
    <col min="15587" max="15587" width="3" style="142" customWidth="1"/>
    <col min="15588" max="15588" width="18.7109375" style="142" customWidth="1"/>
    <col min="15589" max="15608" width="2.85546875" style="142" customWidth="1"/>
    <col min="15609" max="15609" width="3" style="142" bestFit="1" customWidth="1"/>
    <col min="15610" max="15610" width="10.5703125" style="142" customWidth="1"/>
    <col min="15611" max="15613" width="0" style="142" hidden="1" customWidth="1"/>
    <col min="15614" max="15842" width="9.140625" style="142"/>
    <col min="15843" max="15843" width="3" style="142" customWidth="1"/>
    <col min="15844" max="15844" width="18.7109375" style="142" customWidth="1"/>
    <col min="15845" max="15864" width="2.85546875" style="142" customWidth="1"/>
    <col min="15865" max="15865" width="3" style="142" bestFit="1" customWidth="1"/>
    <col min="15866" max="15866" width="10.5703125" style="142" customWidth="1"/>
    <col min="15867" max="15869" width="0" style="142" hidden="1" customWidth="1"/>
    <col min="15870" max="16098" width="9.140625" style="142"/>
    <col min="16099" max="16099" width="3" style="142" customWidth="1"/>
    <col min="16100" max="16100" width="18.7109375" style="142" customWidth="1"/>
    <col min="16101" max="16120" width="2.85546875" style="142" customWidth="1"/>
    <col min="16121" max="16121" width="3" style="142" bestFit="1" customWidth="1"/>
    <col min="16122" max="16122" width="10.5703125" style="142" customWidth="1"/>
    <col min="16123" max="16125" width="0" style="142" hidden="1" customWidth="1"/>
    <col min="16126" max="16384" width="9.140625" style="142"/>
  </cols>
  <sheetData>
    <row r="1" spans="1:25" s="135" customFormat="1" x14ac:dyDescent="0.2">
      <c r="A1" s="117" t="str">
        <f>UPPER((Kalend!E13)&amp;" - "&amp;(Kalend!C13)&amp;" - "&amp;(Kalend!D13))</f>
        <v>5M - 17. EESTI MV - TULISTAMINE</v>
      </c>
      <c r="B1" s="206"/>
      <c r="C1" s="206"/>
      <c r="D1" s="206"/>
      <c r="E1" s="206"/>
      <c r="I1" s="507" t="s">
        <v>168</v>
      </c>
      <c r="Q1" s="85" t="str">
        <f>HYPERLINK("#Üldreiting!I1","Reiting")</f>
        <v>Reiting</v>
      </c>
      <c r="R1" s="206"/>
      <c r="S1" s="206"/>
      <c r="T1" s="206"/>
      <c r="U1" s="206"/>
    </row>
    <row r="2" spans="1:25" s="135" customFormat="1" x14ac:dyDescent="0.2">
      <c r="A2" s="116" t="str">
        <f>"Toimumisaeg: "&amp;(Kalend!A13)&amp;" kell "&amp;(Kalend!B13)</f>
        <v>Toimumisaeg: P, 11.06.2017 kell 10:00</v>
      </c>
      <c r="B2" s="206"/>
      <c r="C2" s="206"/>
      <c r="D2" s="206"/>
      <c r="E2" s="206"/>
      <c r="O2" s="206"/>
      <c r="P2" s="206"/>
      <c r="Q2" s="206"/>
      <c r="R2" s="206"/>
      <c r="S2" s="206"/>
      <c r="T2" s="206"/>
    </row>
    <row r="3" spans="1:25" s="135" customFormat="1" x14ac:dyDescent="0.2">
      <c r="A3" s="116" t="str">
        <f>"Toimumiskoht: "&amp;(Kalend!H13)</f>
        <v>Toimumiskoht: Kohtla-Järve, Järveküla tee 44</v>
      </c>
      <c r="B3" s="206"/>
      <c r="C3" s="206"/>
      <c r="D3" s="206"/>
      <c r="E3" s="206"/>
      <c r="O3" s="206"/>
      <c r="P3" s="206"/>
      <c r="Q3" s="206"/>
      <c r="R3" s="206"/>
      <c r="S3" s="206"/>
      <c r="T3" s="206"/>
    </row>
    <row r="4" spans="1:25" s="135" customFormat="1" x14ac:dyDescent="0.2">
      <c r="A4" s="116" t="str">
        <f>"Korraldaja: "&amp;(Kalend!I13)</f>
        <v>Korraldaja: Kohtla-Järve SHK, Ivar Viljaste</v>
      </c>
      <c r="B4" s="206"/>
      <c r="C4" s="206"/>
      <c r="D4" s="206"/>
      <c r="E4" s="206"/>
      <c r="O4" s="206"/>
      <c r="P4" s="206"/>
      <c r="Q4" s="206"/>
      <c r="R4" s="206"/>
      <c r="S4" s="206"/>
      <c r="T4" s="206"/>
    </row>
    <row r="5" spans="1:25" s="135" customFormat="1" ht="13.5" thickBot="1" x14ac:dyDescent="0.25">
      <c r="A5" s="206"/>
      <c r="B5" s="206"/>
      <c r="C5" s="206"/>
      <c r="D5" s="206"/>
      <c r="E5" s="206"/>
      <c r="F5" s="206"/>
      <c r="G5" s="206"/>
      <c r="H5" s="206"/>
      <c r="I5" s="206"/>
      <c r="J5" s="206"/>
      <c r="K5" s="206"/>
    </row>
    <row r="6" spans="1:25" ht="58.5" customHeight="1" thickBot="1" x14ac:dyDescent="0.25">
      <c r="A6" s="232"/>
      <c r="B6" s="233"/>
      <c r="C6" s="234"/>
      <c r="D6" s="234"/>
      <c r="E6" s="234"/>
      <c r="F6" s="234"/>
      <c r="G6" s="235"/>
      <c r="H6" s="234"/>
      <c r="I6" s="234"/>
      <c r="J6" s="236"/>
      <c r="K6" s="234"/>
      <c r="L6" s="234"/>
      <c r="M6" s="234"/>
      <c r="N6" s="234"/>
      <c r="O6" s="235"/>
      <c r="P6" s="234"/>
      <c r="Q6" s="234"/>
      <c r="R6" s="236"/>
      <c r="S6" s="234"/>
      <c r="T6" s="234"/>
      <c r="U6" s="234"/>
      <c r="V6" s="234"/>
      <c r="W6" s="237"/>
      <c r="X6" s="237"/>
      <c r="Y6" s="508" t="s">
        <v>716</v>
      </c>
    </row>
    <row r="7" spans="1:25" s="143" customFormat="1" ht="13.5" thickBot="1" x14ac:dyDescent="0.25">
      <c r="A7" s="509"/>
      <c r="B7" s="239"/>
      <c r="C7" s="240">
        <v>6</v>
      </c>
      <c r="D7" s="241">
        <v>7</v>
      </c>
      <c r="E7" s="241">
        <v>8</v>
      </c>
      <c r="F7" s="242">
        <v>9</v>
      </c>
      <c r="G7" s="240">
        <v>6</v>
      </c>
      <c r="H7" s="241">
        <v>7</v>
      </c>
      <c r="I7" s="241">
        <v>8</v>
      </c>
      <c r="J7" s="242">
        <v>9</v>
      </c>
      <c r="K7" s="240">
        <v>6</v>
      </c>
      <c r="L7" s="241">
        <v>7</v>
      </c>
      <c r="M7" s="241">
        <v>8</v>
      </c>
      <c r="N7" s="242">
        <v>9</v>
      </c>
      <c r="O7" s="240">
        <v>6</v>
      </c>
      <c r="P7" s="241">
        <v>7</v>
      </c>
      <c r="Q7" s="241">
        <v>8</v>
      </c>
      <c r="R7" s="242">
        <v>9</v>
      </c>
      <c r="S7" s="240">
        <v>6</v>
      </c>
      <c r="T7" s="241">
        <v>7</v>
      </c>
      <c r="U7" s="241">
        <v>8</v>
      </c>
      <c r="V7" s="242">
        <v>9</v>
      </c>
      <c r="W7" s="634" t="s">
        <v>155</v>
      </c>
      <c r="X7" s="244" t="s">
        <v>222</v>
      </c>
      <c r="Y7" s="244" t="s">
        <v>709</v>
      </c>
    </row>
    <row r="8" spans="1:25" x14ac:dyDescent="0.2">
      <c r="A8" s="510" t="s">
        <v>717</v>
      </c>
      <c r="B8" s="246" t="s">
        <v>221</v>
      </c>
      <c r="C8" s="247"/>
      <c r="D8" s="248"/>
      <c r="E8" s="248"/>
      <c r="F8" s="249"/>
      <c r="G8" s="247"/>
      <c r="H8" s="248"/>
      <c r="I8" s="248"/>
      <c r="J8" s="249"/>
      <c r="K8" s="247"/>
      <c r="L8" s="248"/>
      <c r="M8" s="248"/>
      <c r="N8" s="249"/>
      <c r="O8" s="247"/>
      <c r="P8" s="248"/>
      <c r="Q8" s="248"/>
      <c r="R8" s="249"/>
      <c r="S8" s="247"/>
      <c r="T8" s="248"/>
      <c r="U8" s="248"/>
      <c r="V8" s="249"/>
      <c r="W8" s="635"/>
      <c r="X8" s="250"/>
      <c r="Y8" s="511"/>
    </row>
    <row r="9" spans="1:25" x14ac:dyDescent="0.2">
      <c r="A9" s="546">
        <v>1</v>
      </c>
      <c r="B9" s="636" t="s">
        <v>166</v>
      </c>
      <c r="C9" s="548">
        <v>0</v>
      </c>
      <c r="D9" s="550">
        <v>0</v>
      </c>
      <c r="E9" s="550">
        <v>3</v>
      </c>
      <c r="F9" s="551">
        <v>0</v>
      </c>
      <c r="G9" s="548">
        <v>0</v>
      </c>
      <c r="H9" s="550">
        <v>0</v>
      </c>
      <c r="I9" s="550">
        <v>0</v>
      </c>
      <c r="J9" s="551">
        <v>0</v>
      </c>
      <c r="K9" s="548">
        <v>1</v>
      </c>
      <c r="L9" s="550">
        <v>0</v>
      </c>
      <c r="M9" s="550">
        <v>3</v>
      </c>
      <c r="N9" s="551">
        <v>3</v>
      </c>
      <c r="O9" s="548">
        <v>3</v>
      </c>
      <c r="P9" s="550">
        <v>3</v>
      </c>
      <c r="Q9" s="550">
        <v>3</v>
      </c>
      <c r="R9" s="551">
        <v>3</v>
      </c>
      <c r="S9" s="548">
        <v>0</v>
      </c>
      <c r="T9" s="550">
        <v>5</v>
      </c>
      <c r="U9" s="550">
        <v>0</v>
      </c>
      <c r="V9" s="551">
        <v>0</v>
      </c>
      <c r="W9" s="637">
        <f>SUM(C9:V9)+COUNTIF(C9:V9,5)/100+COUNTIF(C9:V9,3)/10000</f>
        <v>27.0107</v>
      </c>
      <c r="X9" s="552" t="str">
        <f t="shared" ref="X9:X14" si="0">IF(COUNTA(C9:V9)=0,"",IF(RANK(W9,W$9:W$34)&lt;5,"edasi "&amp;RANK(W9,W$9:W$34),IF(RANK(W9,W$9:W$34)&lt;17,"vahevooru "&amp;RANK(W9,W$9:W$34)-4,RANK(W9,W$9:W$34))))</f>
        <v>edasi 1</v>
      </c>
    </row>
    <row r="10" spans="1:25" x14ac:dyDescent="0.2">
      <c r="A10" s="546">
        <v>2</v>
      </c>
      <c r="B10" s="638" t="s">
        <v>60</v>
      </c>
      <c r="C10" s="548">
        <v>3</v>
      </c>
      <c r="D10" s="550">
        <v>5</v>
      </c>
      <c r="E10" s="550">
        <v>5</v>
      </c>
      <c r="F10" s="551">
        <v>0</v>
      </c>
      <c r="G10" s="548">
        <v>0</v>
      </c>
      <c r="H10" s="550">
        <v>0</v>
      </c>
      <c r="I10" s="550">
        <v>3</v>
      </c>
      <c r="J10" s="551">
        <v>0</v>
      </c>
      <c r="K10" s="548">
        <v>0</v>
      </c>
      <c r="L10" s="550">
        <v>0</v>
      </c>
      <c r="M10" s="550">
        <v>0</v>
      </c>
      <c r="N10" s="551">
        <v>3</v>
      </c>
      <c r="O10" s="548">
        <v>0</v>
      </c>
      <c r="P10" s="550">
        <v>0</v>
      </c>
      <c r="Q10" s="550">
        <v>0</v>
      </c>
      <c r="R10" s="551">
        <v>0</v>
      </c>
      <c r="S10" s="548">
        <v>0</v>
      </c>
      <c r="T10" s="550">
        <v>0</v>
      </c>
      <c r="U10" s="550">
        <v>0</v>
      </c>
      <c r="V10" s="551">
        <v>0</v>
      </c>
      <c r="W10" s="637">
        <f t="shared" ref="W10:W34" si="1">SUM(C10:V10)+COUNTIF(C10:V10,5)/100+COUNTIF(C10:V10,3)/10000</f>
        <v>19.020299999999999</v>
      </c>
      <c r="X10" s="552" t="str">
        <f t="shared" si="0"/>
        <v>vahevooru 2</v>
      </c>
    </row>
    <row r="11" spans="1:25" x14ac:dyDescent="0.2">
      <c r="A11" s="169">
        <v>3</v>
      </c>
      <c r="B11" s="639" t="s">
        <v>163</v>
      </c>
      <c r="C11" s="166">
        <v>3</v>
      </c>
      <c r="D11" s="167">
        <v>0</v>
      </c>
      <c r="E11" s="167">
        <v>0</v>
      </c>
      <c r="F11" s="168">
        <v>0</v>
      </c>
      <c r="G11" s="166">
        <v>3</v>
      </c>
      <c r="H11" s="167">
        <v>0</v>
      </c>
      <c r="I11" s="167">
        <v>0</v>
      </c>
      <c r="J11" s="168">
        <v>0</v>
      </c>
      <c r="K11" s="166">
        <v>0</v>
      </c>
      <c r="L11" s="167">
        <v>3</v>
      </c>
      <c r="M11" s="167">
        <v>1</v>
      </c>
      <c r="N11" s="168">
        <v>0</v>
      </c>
      <c r="O11" s="166">
        <v>0</v>
      </c>
      <c r="P11" s="167">
        <v>0</v>
      </c>
      <c r="Q11" s="167">
        <v>0</v>
      </c>
      <c r="R11" s="168">
        <v>3</v>
      </c>
      <c r="S11" s="166">
        <v>0</v>
      </c>
      <c r="T11" s="167">
        <v>0</v>
      </c>
      <c r="U11" s="167">
        <v>0</v>
      </c>
      <c r="V11" s="168">
        <v>5</v>
      </c>
      <c r="W11" s="637">
        <f t="shared" si="1"/>
        <v>18.010400000000001</v>
      </c>
      <c r="X11" s="150" t="str">
        <f t="shared" si="0"/>
        <v>vahevooru 3</v>
      </c>
    </row>
    <row r="12" spans="1:25" x14ac:dyDescent="0.2">
      <c r="A12" s="169">
        <v>4</v>
      </c>
      <c r="B12" s="195" t="s">
        <v>325</v>
      </c>
      <c r="C12" s="166">
        <v>3</v>
      </c>
      <c r="D12" s="167">
        <v>0</v>
      </c>
      <c r="E12" s="167">
        <v>0</v>
      </c>
      <c r="F12" s="168">
        <v>0</v>
      </c>
      <c r="G12" s="166">
        <v>0</v>
      </c>
      <c r="H12" s="167">
        <v>0</v>
      </c>
      <c r="I12" s="167">
        <v>3</v>
      </c>
      <c r="J12" s="168">
        <v>0</v>
      </c>
      <c r="K12" s="166">
        <v>0</v>
      </c>
      <c r="L12" s="167">
        <v>0</v>
      </c>
      <c r="M12" s="167">
        <v>0</v>
      </c>
      <c r="N12" s="168">
        <v>0</v>
      </c>
      <c r="O12" s="166">
        <v>0</v>
      </c>
      <c r="P12" s="167">
        <v>0</v>
      </c>
      <c r="Q12" s="167">
        <v>0</v>
      </c>
      <c r="R12" s="168">
        <v>0</v>
      </c>
      <c r="S12" s="166">
        <v>0</v>
      </c>
      <c r="T12" s="167">
        <v>0</v>
      </c>
      <c r="U12" s="167">
        <v>0</v>
      </c>
      <c r="V12" s="168">
        <v>0</v>
      </c>
      <c r="W12" s="584">
        <f t="shared" si="1"/>
        <v>6.0002000000000004</v>
      </c>
      <c r="X12" s="150">
        <f t="shared" si="0"/>
        <v>20</v>
      </c>
    </row>
    <row r="13" spans="1:25" x14ac:dyDescent="0.2">
      <c r="A13" s="546">
        <v>5</v>
      </c>
      <c r="B13" s="636" t="s">
        <v>80</v>
      </c>
      <c r="C13" s="548">
        <v>3</v>
      </c>
      <c r="D13" s="550">
        <v>3</v>
      </c>
      <c r="E13" s="550">
        <v>0</v>
      </c>
      <c r="F13" s="551">
        <v>0</v>
      </c>
      <c r="G13" s="548">
        <v>3</v>
      </c>
      <c r="H13" s="550">
        <v>0</v>
      </c>
      <c r="I13" s="550">
        <v>0</v>
      </c>
      <c r="J13" s="551">
        <v>0</v>
      </c>
      <c r="K13" s="548">
        <v>0</v>
      </c>
      <c r="L13" s="550">
        <v>3</v>
      </c>
      <c r="M13" s="550">
        <v>0</v>
      </c>
      <c r="N13" s="551">
        <v>0</v>
      </c>
      <c r="O13" s="548">
        <v>3</v>
      </c>
      <c r="P13" s="550">
        <v>0</v>
      </c>
      <c r="Q13" s="550">
        <v>0</v>
      </c>
      <c r="R13" s="551">
        <v>0</v>
      </c>
      <c r="S13" s="548">
        <v>0</v>
      </c>
      <c r="T13" s="550">
        <v>0</v>
      </c>
      <c r="U13" s="550">
        <v>0</v>
      </c>
      <c r="V13" s="551">
        <v>0</v>
      </c>
      <c r="W13" s="637">
        <f t="shared" si="1"/>
        <v>15.000500000000001</v>
      </c>
      <c r="X13" s="552" t="str">
        <f t="shared" si="0"/>
        <v>vahevooru 8</v>
      </c>
    </row>
    <row r="14" spans="1:25" x14ac:dyDescent="0.2">
      <c r="A14" s="546">
        <v>6</v>
      </c>
      <c r="B14" s="718" t="s">
        <v>145</v>
      </c>
      <c r="C14" s="548">
        <v>0</v>
      </c>
      <c r="D14" s="550">
        <v>0</v>
      </c>
      <c r="E14" s="550">
        <v>0</v>
      </c>
      <c r="F14" s="551">
        <v>0</v>
      </c>
      <c r="G14" s="548">
        <v>0</v>
      </c>
      <c r="H14" s="550">
        <v>0</v>
      </c>
      <c r="I14" s="550">
        <v>0</v>
      </c>
      <c r="J14" s="551">
        <v>0</v>
      </c>
      <c r="K14" s="548">
        <v>0</v>
      </c>
      <c r="L14" s="550">
        <v>0</v>
      </c>
      <c r="M14" s="550">
        <v>1</v>
      </c>
      <c r="N14" s="551">
        <v>0</v>
      </c>
      <c r="O14" s="548">
        <v>0</v>
      </c>
      <c r="P14" s="550">
        <v>0</v>
      </c>
      <c r="Q14" s="550">
        <v>0</v>
      </c>
      <c r="R14" s="551">
        <v>0</v>
      </c>
      <c r="S14" s="548">
        <v>0</v>
      </c>
      <c r="T14" s="550">
        <v>0</v>
      </c>
      <c r="U14" s="550">
        <v>0</v>
      </c>
      <c r="V14" s="551">
        <v>0</v>
      </c>
      <c r="W14" s="584">
        <f t="shared" si="1"/>
        <v>1</v>
      </c>
      <c r="X14" s="642">
        <f t="shared" si="0"/>
        <v>25</v>
      </c>
    </row>
    <row r="15" spans="1:25" x14ac:dyDescent="0.2">
      <c r="A15" s="169">
        <v>7</v>
      </c>
      <c r="B15" s="644" t="s">
        <v>176</v>
      </c>
      <c r="C15" s="166">
        <v>1</v>
      </c>
      <c r="D15" s="167">
        <v>0</v>
      </c>
      <c r="E15" s="167">
        <v>3</v>
      </c>
      <c r="F15" s="168">
        <v>0</v>
      </c>
      <c r="G15" s="166">
        <v>0</v>
      </c>
      <c r="H15" s="167">
        <v>0</v>
      </c>
      <c r="I15" s="167">
        <v>3</v>
      </c>
      <c r="J15" s="168">
        <v>0</v>
      </c>
      <c r="K15" s="166">
        <v>0</v>
      </c>
      <c r="L15" s="167">
        <v>1</v>
      </c>
      <c r="M15" s="167">
        <v>0</v>
      </c>
      <c r="N15" s="168">
        <v>3</v>
      </c>
      <c r="O15" s="166">
        <v>3</v>
      </c>
      <c r="P15" s="167">
        <v>0</v>
      </c>
      <c r="Q15" s="167">
        <v>0</v>
      </c>
      <c r="R15" s="168">
        <v>0</v>
      </c>
      <c r="S15" s="166">
        <v>0</v>
      </c>
      <c r="T15" s="167">
        <v>0</v>
      </c>
      <c r="U15" s="167">
        <v>0</v>
      </c>
      <c r="V15" s="168">
        <v>0</v>
      </c>
      <c r="W15" s="637">
        <f t="shared" si="1"/>
        <v>14.000400000000001</v>
      </c>
      <c r="X15" s="150">
        <v>13</v>
      </c>
    </row>
    <row r="16" spans="1:25" x14ac:dyDescent="0.2">
      <c r="A16" s="169">
        <v>8</v>
      </c>
      <c r="B16" s="717" t="s">
        <v>177</v>
      </c>
      <c r="C16" s="166">
        <v>3</v>
      </c>
      <c r="D16" s="167">
        <v>0</v>
      </c>
      <c r="E16" s="167">
        <v>3</v>
      </c>
      <c r="F16" s="168">
        <v>0</v>
      </c>
      <c r="G16" s="166">
        <v>3</v>
      </c>
      <c r="H16" s="167">
        <v>3</v>
      </c>
      <c r="I16" s="167">
        <v>3</v>
      </c>
      <c r="J16" s="168">
        <v>0</v>
      </c>
      <c r="K16" s="166">
        <v>0</v>
      </c>
      <c r="L16" s="167">
        <v>3</v>
      </c>
      <c r="M16" s="167">
        <v>0</v>
      </c>
      <c r="N16" s="168">
        <v>0</v>
      </c>
      <c r="O16" s="166">
        <v>0</v>
      </c>
      <c r="P16" s="167">
        <v>0</v>
      </c>
      <c r="Q16" s="167">
        <v>0</v>
      </c>
      <c r="R16" s="168">
        <v>0</v>
      </c>
      <c r="S16" s="166">
        <v>0</v>
      </c>
      <c r="T16" s="167">
        <v>0</v>
      </c>
      <c r="U16" s="167">
        <v>0</v>
      </c>
      <c r="V16" s="168">
        <v>5</v>
      </c>
      <c r="W16" s="637">
        <f t="shared" si="1"/>
        <v>23.0106</v>
      </c>
      <c r="X16" s="150" t="str">
        <f>IF(COUNTA(C16:V16)=0,"",IF(RANK(W16,W$9:W$34)&lt;5,"edasi "&amp;RANK(W16,W$9:W$34),IF(RANK(W16,W$9:W$34)&lt;17,"vahevooru "&amp;RANK(W16,W$9:W$34)-4,RANK(W16,W$9:W$34))))</f>
        <v>edasi 4</v>
      </c>
    </row>
    <row r="17" spans="1:29" x14ac:dyDescent="0.2">
      <c r="A17" s="546">
        <v>9</v>
      </c>
      <c r="B17" s="650" t="s">
        <v>41</v>
      </c>
      <c r="C17" s="646">
        <v>0</v>
      </c>
      <c r="D17" s="647">
        <v>0</v>
      </c>
      <c r="E17" s="647">
        <v>0</v>
      </c>
      <c r="F17" s="648">
        <v>3</v>
      </c>
      <c r="G17" s="646">
        <v>0</v>
      </c>
      <c r="H17" s="647">
        <v>0</v>
      </c>
      <c r="I17" s="647">
        <v>0</v>
      </c>
      <c r="J17" s="648">
        <v>0</v>
      </c>
      <c r="K17" s="646">
        <v>0</v>
      </c>
      <c r="L17" s="647">
        <v>3</v>
      </c>
      <c r="M17" s="647">
        <v>1</v>
      </c>
      <c r="N17" s="648">
        <v>1</v>
      </c>
      <c r="O17" s="646">
        <v>0</v>
      </c>
      <c r="P17" s="647">
        <v>0</v>
      </c>
      <c r="Q17" s="647">
        <v>3</v>
      </c>
      <c r="R17" s="648">
        <v>0</v>
      </c>
      <c r="S17" s="646">
        <v>0</v>
      </c>
      <c r="T17" s="647">
        <v>0</v>
      </c>
      <c r="U17" s="647">
        <v>0</v>
      </c>
      <c r="V17" s="648">
        <v>5</v>
      </c>
      <c r="W17" s="637">
        <f t="shared" si="1"/>
        <v>16.010300000000001</v>
      </c>
      <c r="X17" s="552" t="str">
        <f>IF(COUNTA(C17:V17)=0,"",IF(RANK(W17,W$9:W$34)&lt;5,"edasi "&amp;RANK(W17,W$9:W$34),IF(RANK(W17,W$9:W$34)&lt;17,"vahevooru "&amp;RANK(W17,W$9:W$34)-4,RANK(W17,W$9:W$34))))</f>
        <v>vahevooru 5</v>
      </c>
    </row>
    <row r="18" spans="1:29" x14ac:dyDescent="0.2">
      <c r="A18" s="546">
        <v>10</v>
      </c>
      <c r="B18" s="588" t="s">
        <v>154</v>
      </c>
      <c r="C18" s="548">
        <v>0</v>
      </c>
      <c r="D18" s="550">
        <v>0</v>
      </c>
      <c r="E18" s="550">
        <v>0</v>
      </c>
      <c r="F18" s="551">
        <v>0</v>
      </c>
      <c r="G18" s="548">
        <v>0</v>
      </c>
      <c r="H18" s="550">
        <v>0</v>
      </c>
      <c r="I18" s="550">
        <v>0</v>
      </c>
      <c r="J18" s="551">
        <v>0</v>
      </c>
      <c r="K18" s="548">
        <v>1</v>
      </c>
      <c r="L18" s="550">
        <v>0</v>
      </c>
      <c r="M18" s="550">
        <v>0</v>
      </c>
      <c r="N18" s="551">
        <v>0</v>
      </c>
      <c r="O18" s="548">
        <v>0</v>
      </c>
      <c r="P18" s="550">
        <v>3</v>
      </c>
      <c r="Q18" s="550">
        <v>0</v>
      </c>
      <c r="R18" s="551">
        <v>0</v>
      </c>
      <c r="S18" s="548">
        <v>0</v>
      </c>
      <c r="T18" s="550">
        <v>0</v>
      </c>
      <c r="U18" s="550">
        <v>0</v>
      </c>
      <c r="V18" s="551">
        <v>0</v>
      </c>
      <c r="W18" s="584">
        <f t="shared" si="1"/>
        <v>4.0000999999999998</v>
      </c>
      <c r="X18" s="552">
        <f>IF(COUNTA(C18:V18)=0,"",IF(RANK(W18,W$9:W$34)&lt;5,"edasi "&amp;RANK(W18,W$9:W$34),IF(RANK(W18,W$9:W$34)&lt;17,"vahevooru "&amp;RANK(W18,W$9:W$34)-4,RANK(W18,W$9:W$34))))</f>
        <v>23</v>
      </c>
    </row>
    <row r="19" spans="1:29" x14ac:dyDescent="0.2">
      <c r="A19" s="169">
        <v>11</v>
      </c>
      <c r="B19" s="196" t="s">
        <v>209</v>
      </c>
      <c r="C19" s="166">
        <v>1</v>
      </c>
      <c r="D19" s="167">
        <v>1</v>
      </c>
      <c r="E19" s="167">
        <v>0</v>
      </c>
      <c r="F19" s="168">
        <v>0</v>
      </c>
      <c r="G19" s="166">
        <v>0</v>
      </c>
      <c r="H19" s="167">
        <v>0</v>
      </c>
      <c r="I19" s="167">
        <v>3</v>
      </c>
      <c r="J19" s="168">
        <v>0</v>
      </c>
      <c r="K19" s="166">
        <v>0</v>
      </c>
      <c r="L19" s="167">
        <v>0</v>
      </c>
      <c r="M19" s="167">
        <v>0</v>
      </c>
      <c r="N19" s="168">
        <v>0</v>
      </c>
      <c r="O19" s="166">
        <v>0</v>
      </c>
      <c r="P19" s="167">
        <v>0</v>
      </c>
      <c r="Q19" s="167">
        <v>0</v>
      </c>
      <c r="R19" s="168">
        <v>3</v>
      </c>
      <c r="S19" s="166">
        <v>0</v>
      </c>
      <c r="T19" s="167">
        <v>0</v>
      </c>
      <c r="U19" s="167">
        <v>0</v>
      </c>
      <c r="V19" s="168">
        <v>0</v>
      </c>
      <c r="W19" s="584">
        <f t="shared" si="1"/>
        <v>8.0001999999999995</v>
      </c>
      <c r="X19" s="150">
        <f>IF(COUNTA(C19:V19)=0,"",IF(RANK(W19,W$9:W$34)&lt;5,"edasi "&amp;RANK(W19,W$9:W$34),IF(RANK(W19,W$9:W$34)&lt;17,"vahevooru "&amp;RANK(W19,W$9:W$34)-4,RANK(W19,W$9:W$34))))</f>
        <v>18</v>
      </c>
    </row>
    <row r="20" spans="1:29" x14ac:dyDescent="0.2">
      <c r="A20" s="169">
        <v>12</v>
      </c>
      <c r="B20" s="196" t="s">
        <v>57</v>
      </c>
      <c r="C20" s="166">
        <v>3</v>
      </c>
      <c r="D20" s="167">
        <v>0</v>
      </c>
      <c r="E20" s="167">
        <v>3</v>
      </c>
      <c r="F20" s="168">
        <v>0</v>
      </c>
      <c r="G20" s="166">
        <v>0</v>
      </c>
      <c r="H20" s="167">
        <v>3</v>
      </c>
      <c r="I20" s="167">
        <v>0</v>
      </c>
      <c r="J20" s="168">
        <v>0</v>
      </c>
      <c r="K20" s="166">
        <v>0</v>
      </c>
      <c r="L20" s="167">
        <v>0</v>
      </c>
      <c r="M20" s="167">
        <v>0</v>
      </c>
      <c r="N20" s="168">
        <v>3</v>
      </c>
      <c r="O20" s="166">
        <v>0</v>
      </c>
      <c r="P20" s="167">
        <v>0</v>
      </c>
      <c r="Q20" s="167">
        <v>0</v>
      </c>
      <c r="R20" s="168">
        <v>0</v>
      </c>
      <c r="S20" s="166">
        <v>0</v>
      </c>
      <c r="T20" s="167">
        <v>0</v>
      </c>
      <c r="U20" s="167">
        <v>0</v>
      </c>
      <c r="V20" s="168">
        <v>0</v>
      </c>
      <c r="W20" s="637">
        <f t="shared" si="1"/>
        <v>12.000400000000001</v>
      </c>
      <c r="X20" s="150">
        <v>14</v>
      </c>
      <c r="Z20" s="153"/>
      <c r="AA20" s="154"/>
      <c r="AB20" s="154"/>
      <c r="AC20" s="526"/>
    </row>
    <row r="21" spans="1:29" x14ac:dyDescent="0.2">
      <c r="A21" s="546">
        <v>13</v>
      </c>
      <c r="B21" s="650" t="s">
        <v>64</v>
      </c>
      <c r="C21" s="548">
        <v>3</v>
      </c>
      <c r="D21" s="550">
        <v>3</v>
      </c>
      <c r="E21" s="550">
        <v>0</v>
      </c>
      <c r="F21" s="551">
        <v>3</v>
      </c>
      <c r="G21" s="548">
        <v>0</v>
      </c>
      <c r="H21" s="550">
        <v>0</v>
      </c>
      <c r="I21" s="550">
        <v>3</v>
      </c>
      <c r="J21" s="551">
        <v>3</v>
      </c>
      <c r="K21" s="548">
        <v>1</v>
      </c>
      <c r="L21" s="550">
        <v>0</v>
      </c>
      <c r="M21" s="550">
        <v>1</v>
      </c>
      <c r="N21" s="551">
        <v>0</v>
      </c>
      <c r="O21" s="548">
        <v>0</v>
      </c>
      <c r="P21" s="550">
        <v>3</v>
      </c>
      <c r="Q21" s="550">
        <v>3</v>
      </c>
      <c r="R21" s="551">
        <v>3</v>
      </c>
      <c r="S21" s="548">
        <v>0</v>
      </c>
      <c r="T21" s="550">
        <v>0</v>
      </c>
      <c r="U21" s="550">
        <v>0</v>
      </c>
      <c r="V21" s="551">
        <v>0</v>
      </c>
      <c r="W21" s="637">
        <f t="shared" si="1"/>
        <v>26.000800000000002</v>
      </c>
      <c r="X21" s="552" t="str">
        <f t="shared" ref="X21:X29" si="2">IF(COUNTA(C21:V21)=0,"",IF(RANK(W21,W$9:W$34)&lt;5,"edasi "&amp;RANK(W21,W$9:W$34),IF(RANK(W21,W$9:W$34)&lt;17,"vahevooru "&amp;RANK(W21,W$9:W$34)-4,RANK(W21,W$9:W$34))))</f>
        <v>edasi 2</v>
      </c>
      <c r="AC21" s="526"/>
    </row>
    <row r="22" spans="1:29" x14ac:dyDescent="0.2">
      <c r="A22" s="546">
        <v>14</v>
      </c>
      <c r="B22" s="553" t="s">
        <v>164</v>
      </c>
      <c r="C22" s="548">
        <v>3</v>
      </c>
      <c r="D22" s="550">
        <v>0</v>
      </c>
      <c r="E22" s="550">
        <v>0</v>
      </c>
      <c r="F22" s="551">
        <v>0</v>
      </c>
      <c r="G22" s="548">
        <v>3</v>
      </c>
      <c r="H22" s="550">
        <v>0</v>
      </c>
      <c r="I22" s="550">
        <v>0</v>
      </c>
      <c r="J22" s="551">
        <v>0</v>
      </c>
      <c r="K22" s="548">
        <v>0</v>
      </c>
      <c r="L22" s="550">
        <v>0</v>
      </c>
      <c r="M22" s="550">
        <v>0</v>
      </c>
      <c r="N22" s="551">
        <v>0</v>
      </c>
      <c r="O22" s="548">
        <v>0</v>
      </c>
      <c r="P22" s="550">
        <v>0</v>
      </c>
      <c r="Q22" s="550">
        <v>0</v>
      </c>
      <c r="R22" s="551">
        <v>0</v>
      </c>
      <c r="S22" s="548">
        <v>0</v>
      </c>
      <c r="T22" s="550">
        <v>0</v>
      </c>
      <c r="U22" s="550">
        <v>0</v>
      </c>
      <c r="V22" s="551">
        <v>0</v>
      </c>
      <c r="W22" s="584">
        <f t="shared" si="1"/>
        <v>6.0002000000000004</v>
      </c>
      <c r="X22" s="642">
        <f t="shared" si="2"/>
        <v>20</v>
      </c>
      <c r="AC22" s="526"/>
    </row>
    <row r="23" spans="1:29" x14ac:dyDescent="0.2">
      <c r="A23" s="169">
        <v>15</v>
      </c>
      <c r="B23" s="651" t="s">
        <v>34</v>
      </c>
      <c r="C23" s="166">
        <v>3</v>
      </c>
      <c r="D23" s="167">
        <v>5</v>
      </c>
      <c r="E23" s="167">
        <v>0</v>
      </c>
      <c r="F23" s="168">
        <v>0</v>
      </c>
      <c r="G23" s="166">
        <v>0</v>
      </c>
      <c r="H23" s="167">
        <v>3</v>
      </c>
      <c r="I23" s="167">
        <v>0</v>
      </c>
      <c r="J23" s="168">
        <v>0</v>
      </c>
      <c r="K23" s="166">
        <v>1</v>
      </c>
      <c r="L23" s="167">
        <v>1</v>
      </c>
      <c r="M23" s="167">
        <v>0</v>
      </c>
      <c r="N23" s="168">
        <v>0</v>
      </c>
      <c r="O23" s="166">
        <v>0</v>
      </c>
      <c r="P23" s="167">
        <v>0</v>
      </c>
      <c r="Q23" s="167">
        <v>0</v>
      </c>
      <c r="R23" s="168">
        <v>0</v>
      </c>
      <c r="S23" s="166">
        <v>0</v>
      </c>
      <c r="T23" s="167">
        <v>0</v>
      </c>
      <c r="U23" s="167">
        <v>5</v>
      </c>
      <c r="V23" s="168">
        <v>5</v>
      </c>
      <c r="W23" s="637">
        <f t="shared" si="1"/>
        <v>23.030200000000001</v>
      </c>
      <c r="X23" s="150" t="str">
        <f t="shared" si="2"/>
        <v>edasi 3</v>
      </c>
      <c r="AC23" s="526"/>
    </row>
    <row r="24" spans="1:29" x14ac:dyDescent="0.2">
      <c r="A24" s="169">
        <v>16</v>
      </c>
      <c r="B24" s="554" t="s">
        <v>172</v>
      </c>
      <c r="C24" s="166">
        <v>0</v>
      </c>
      <c r="D24" s="167">
        <v>0</v>
      </c>
      <c r="E24" s="167">
        <v>0</v>
      </c>
      <c r="F24" s="168">
        <v>0</v>
      </c>
      <c r="G24" s="166">
        <v>1</v>
      </c>
      <c r="H24" s="167">
        <v>0</v>
      </c>
      <c r="I24" s="167">
        <v>0</v>
      </c>
      <c r="J24" s="168">
        <v>0</v>
      </c>
      <c r="K24" s="166">
        <v>0</v>
      </c>
      <c r="L24" s="167">
        <v>0</v>
      </c>
      <c r="M24" s="167">
        <v>0</v>
      </c>
      <c r="N24" s="168">
        <v>0</v>
      </c>
      <c r="O24" s="166">
        <v>3</v>
      </c>
      <c r="P24" s="167">
        <v>0</v>
      </c>
      <c r="Q24" s="167">
        <v>0</v>
      </c>
      <c r="R24" s="168">
        <v>0</v>
      </c>
      <c r="S24" s="166">
        <v>0</v>
      </c>
      <c r="T24" s="167">
        <v>0</v>
      </c>
      <c r="U24" s="167">
        <v>0</v>
      </c>
      <c r="V24" s="168">
        <v>0</v>
      </c>
      <c r="W24" s="584">
        <f t="shared" si="1"/>
        <v>4.0000999999999998</v>
      </c>
      <c r="X24" s="150">
        <f t="shared" si="2"/>
        <v>23</v>
      </c>
      <c r="AC24" s="526"/>
    </row>
    <row r="25" spans="1:29" x14ac:dyDescent="0.2">
      <c r="A25" s="546">
        <v>17</v>
      </c>
      <c r="B25" s="553" t="s">
        <v>51</v>
      </c>
      <c r="C25" s="548">
        <v>0</v>
      </c>
      <c r="D25" s="550">
        <v>0</v>
      </c>
      <c r="E25" s="550">
        <v>0</v>
      </c>
      <c r="F25" s="551">
        <v>0</v>
      </c>
      <c r="G25" s="548">
        <v>0</v>
      </c>
      <c r="H25" s="550">
        <v>0</v>
      </c>
      <c r="I25" s="550">
        <v>1</v>
      </c>
      <c r="J25" s="551">
        <v>0</v>
      </c>
      <c r="K25" s="548">
        <v>1</v>
      </c>
      <c r="L25" s="550">
        <v>0</v>
      </c>
      <c r="M25" s="550">
        <v>0</v>
      </c>
      <c r="N25" s="551">
        <v>1</v>
      </c>
      <c r="O25" s="548">
        <v>0</v>
      </c>
      <c r="P25" s="550">
        <v>0</v>
      </c>
      <c r="Q25" s="550">
        <v>0</v>
      </c>
      <c r="R25" s="551">
        <v>0</v>
      </c>
      <c r="S25" s="548">
        <v>5</v>
      </c>
      <c r="T25" s="550">
        <v>0</v>
      </c>
      <c r="U25" s="550">
        <v>0</v>
      </c>
      <c r="V25" s="551">
        <v>0</v>
      </c>
      <c r="W25" s="637">
        <f t="shared" si="1"/>
        <v>8.01</v>
      </c>
      <c r="X25" s="552">
        <f t="shared" si="2"/>
        <v>17</v>
      </c>
      <c r="AC25" s="526"/>
    </row>
    <row r="26" spans="1:29" x14ac:dyDescent="0.2">
      <c r="A26" s="546">
        <v>18</v>
      </c>
      <c r="B26" s="547" t="s">
        <v>327</v>
      </c>
      <c r="C26" s="548">
        <v>0</v>
      </c>
      <c r="D26" s="550">
        <v>0</v>
      </c>
      <c r="E26" s="550">
        <v>0</v>
      </c>
      <c r="F26" s="551">
        <v>0</v>
      </c>
      <c r="G26" s="548">
        <v>0</v>
      </c>
      <c r="H26" s="550">
        <v>0</v>
      </c>
      <c r="I26" s="550">
        <v>0</v>
      </c>
      <c r="J26" s="551">
        <v>0</v>
      </c>
      <c r="K26" s="548">
        <v>0</v>
      </c>
      <c r="L26" s="550">
        <v>0</v>
      </c>
      <c r="M26" s="550">
        <v>0</v>
      </c>
      <c r="N26" s="551">
        <v>0</v>
      </c>
      <c r="O26" s="548">
        <v>0</v>
      </c>
      <c r="P26" s="550">
        <v>0</v>
      </c>
      <c r="Q26" s="550">
        <v>0</v>
      </c>
      <c r="R26" s="551">
        <v>0</v>
      </c>
      <c r="S26" s="548">
        <v>0</v>
      </c>
      <c r="T26" s="550">
        <v>0</v>
      </c>
      <c r="U26" s="550">
        <v>0</v>
      </c>
      <c r="V26" s="551">
        <v>0</v>
      </c>
      <c r="W26" s="584">
        <f t="shared" si="1"/>
        <v>0</v>
      </c>
      <c r="X26" s="552">
        <f t="shared" si="2"/>
        <v>26</v>
      </c>
      <c r="AC26" s="526"/>
    </row>
    <row r="27" spans="1:29" x14ac:dyDescent="0.2">
      <c r="A27" s="169">
        <v>19</v>
      </c>
      <c r="B27" s="195" t="s">
        <v>637</v>
      </c>
      <c r="C27" s="166">
        <v>0</v>
      </c>
      <c r="D27" s="167">
        <v>0</v>
      </c>
      <c r="E27" s="167">
        <v>0</v>
      </c>
      <c r="F27" s="168">
        <v>0</v>
      </c>
      <c r="G27" s="166">
        <v>0</v>
      </c>
      <c r="H27" s="167">
        <v>0</v>
      </c>
      <c r="I27" s="167">
        <v>3</v>
      </c>
      <c r="J27" s="168">
        <v>0</v>
      </c>
      <c r="K27" s="166">
        <v>1</v>
      </c>
      <c r="L27" s="167">
        <v>0</v>
      </c>
      <c r="M27" s="167">
        <v>0</v>
      </c>
      <c r="N27" s="168">
        <v>3</v>
      </c>
      <c r="O27" s="166">
        <v>0</v>
      </c>
      <c r="P27" s="167">
        <v>0</v>
      </c>
      <c r="Q27" s="167">
        <v>0</v>
      </c>
      <c r="R27" s="168">
        <v>0</v>
      </c>
      <c r="S27" s="166">
        <v>0</v>
      </c>
      <c r="T27" s="167">
        <v>0</v>
      </c>
      <c r="U27" s="167">
        <v>0</v>
      </c>
      <c r="V27" s="168">
        <v>0</v>
      </c>
      <c r="W27" s="584">
        <f t="shared" si="1"/>
        <v>7.0002000000000004</v>
      </c>
      <c r="X27" s="640">
        <f t="shared" si="2"/>
        <v>19</v>
      </c>
      <c r="AC27" s="526"/>
    </row>
    <row r="28" spans="1:29" x14ac:dyDescent="0.2">
      <c r="A28" s="169">
        <v>20</v>
      </c>
      <c r="B28" s="652" t="s">
        <v>47</v>
      </c>
      <c r="C28" s="166">
        <v>0</v>
      </c>
      <c r="D28" s="167">
        <v>0</v>
      </c>
      <c r="E28" s="167">
        <v>0</v>
      </c>
      <c r="F28" s="168">
        <v>0</v>
      </c>
      <c r="G28" s="166">
        <v>0</v>
      </c>
      <c r="H28" s="167">
        <v>0</v>
      </c>
      <c r="I28" s="167">
        <v>3</v>
      </c>
      <c r="J28" s="168">
        <v>0</v>
      </c>
      <c r="K28" s="166">
        <v>1</v>
      </c>
      <c r="L28" s="167">
        <v>1</v>
      </c>
      <c r="M28" s="167">
        <v>0</v>
      </c>
      <c r="N28" s="168">
        <v>0</v>
      </c>
      <c r="O28" s="166">
        <v>0</v>
      </c>
      <c r="P28" s="167">
        <v>0</v>
      </c>
      <c r="Q28" s="167">
        <v>0</v>
      </c>
      <c r="R28" s="168">
        <v>0</v>
      </c>
      <c r="S28" s="166">
        <v>0</v>
      </c>
      <c r="T28" s="167">
        <v>0</v>
      </c>
      <c r="U28" s="167">
        <v>0</v>
      </c>
      <c r="V28" s="168">
        <v>0</v>
      </c>
      <c r="W28" s="584">
        <f t="shared" si="1"/>
        <v>5.0000999999999998</v>
      </c>
      <c r="X28" s="150">
        <f t="shared" si="2"/>
        <v>22</v>
      </c>
      <c r="AC28" s="526"/>
    </row>
    <row r="29" spans="1:29" x14ac:dyDescent="0.2">
      <c r="A29" s="546">
        <v>21</v>
      </c>
      <c r="B29" s="593" t="s">
        <v>45</v>
      </c>
      <c r="C29" s="548">
        <v>3</v>
      </c>
      <c r="D29" s="550">
        <v>5</v>
      </c>
      <c r="E29" s="550">
        <v>0</v>
      </c>
      <c r="F29" s="551">
        <v>0</v>
      </c>
      <c r="G29" s="548">
        <v>0</v>
      </c>
      <c r="H29" s="550">
        <v>0</v>
      </c>
      <c r="I29" s="550">
        <v>3</v>
      </c>
      <c r="J29" s="551">
        <v>0</v>
      </c>
      <c r="K29" s="548">
        <v>0</v>
      </c>
      <c r="L29" s="550">
        <v>1</v>
      </c>
      <c r="M29" s="550">
        <v>0</v>
      </c>
      <c r="N29" s="551">
        <v>0</v>
      </c>
      <c r="O29" s="548">
        <v>3</v>
      </c>
      <c r="P29" s="550">
        <v>3</v>
      </c>
      <c r="Q29" s="550">
        <v>0</v>
      </c>
      <c r="R29" s="551">
        <v>0</v>
      </c>
      <c r="S29" s="548">
        <v>0</v>
      </c>
      <c r="T29" s="550">
        <v>0</v>
      </c>
      <c r="U29" s="550">
        <v>0</v>
      </c>
      <c r="V29" s="551">
        <v>0</v>
      </c>
      <c r="W29" s="584">
        <f t="shared" si="1"/>
        <v>18.010400000000001</v>
      </c>
      <c r="X29" s="552" t="str">
        <f t="shared" si="2"/>
        <v>vahevooru 3</v>
      </c>
      <c r="AC29" s="526"/>
    </row>
    <row r="30" spans="1:29" x14ac:dyDescent="0.2">
      <c r="A30" s="546">
        <v>22</v>
      </c>
      <c r="B30" s="586" t="s">
        <v>67</v>
      </c>
      <c r="C30" s="548">
        <v>0</v>
      </c>
      <c r="D30" s="550">
        <v>3</v>
      </c>
      <c r="E30" s="550">
        <v>0</v>
      </c>
      <c r="F30" s="551">
        <v>0</v>
      </c>
      <c r="G30" s="548">
        <v>0</v>
      </c>
      <c r="H30" s="550">
        <v>3</v>
      </c>
      <c r="I30" s="550">
        <v>0</v>
      </c>
      <c r="J30" s="551">
        <v>0</v>
      </c>
      <c r="K30" s="548">
        <v>1</v>
      </c>
      <c r="L30" s="550">
        <v>3</v>
      </c>
      <c r="M30" s="550">
        <v>1</v>
      </c>
      <c r="N30" s="551">
        <v>0</v>
      </c>
      <c r="O30" s="548">
        <v>0</v>
      </c>
      <c r="P30" s="550">
        <v>1</v>
      </c>
      <c r="Q30" s="550">
        <v>0</v>
      </c>
      <c r="R30" s="551">
        <v>0</v>
      </c>
      <c r="S30" s="548">
        <v>0</v>
      </c>
      <c r="T30" s="550">
        <v>0</v>
      </c>
      <c r="U30" s="550">
        <v>0</v>
      </c>
      <c r="V30" s="551">
        <v>0</v>
      </c>
      <c r="W30" s="637">
        <f t="shared" si="1"/>
        <v>12.000299999999999</v>
      </c>
      <c r="X30" s="552">
        <v>15</v>
      </c>
      <c r="AC30" s="526"/>
    </row>
    <row r="31" spans="1:29" x14ac:dyDescent="0.2">
      <c r="A31" s="169">
        <v>23</v>
      </c>
      <c r="B31" s="651" t="s">
        <v>31</v>
      </c>
      <c r="C31" s="166">
        <v>5</v>
      </c>
      <c r="D31" s="167">
        <v>0</v>
      </c>
      <c r="E31" s="167">
        <v>3</v>
      </c>
      <c r="F31" s="168">
        <v>3</v>
      </c>
      <c r="G31" s="166">
        <v>0</v>
      </c>
      <c r="H31" s="167">
        <v>1</v>
      </c>
      <c r="I31" s="167">
        <v>0</v>
      </c>
      <c r="J31" s="168">
        <v>0</v>
      </c>
      <c r="K31" s="166">
        <v>1</v>
      </c>
      <c r="L31" s="167">
        <v>3</v>
      </c>
      <c r="M31" s="167">
        <v>0</v>
      </c>
      <c r="N31" s="168">
        <v>0</v>
      </c>
      <c r="O31" s="166">
        <v>0</v>
      </c>
      <c r="P31" s="167">
        <v>0</v>
      </c>
      <c r="Q31" s="167">
        <v>0</v>
      </c>
      <c r="R31" s="168">
        <v>0</v>
      </c>
      <c r="S31" s="166">
        <v>0</v>
      </c>
      <c r="T31" s="167">
        <v>0</v>
      </c>
      <c r="U31" s="167">
        <v>0</v>
      </c>
      <c r="V31" s="168">
        <v>0</v>
      </c>
      <c r="W31" s="637">
        <f t="shared" si="1"/>
        <v>16.010300000000001</v>
      </c>
      <c r="X31" s="150" t="str">
        <f>IF(COUNTA(C31:V31)=0,"",IF(RANK(W31,W$9:W$34)&lt;5,"edasi "&amp;RANK(W31,W$9:W$34),IF(RANK(W31,W$9:W$34)&lt;17,"vahevooru "&amp;RANK(W31,W$9:W$34)-4,RANK(W31,W$9:W$34))))</f>
        <v>vahevooru 5</v>
      </c>
      <c r="AC31" s="526"/>
    </row>
    <row r="32" spans="1:29" x14ac:dyDescent="0.2">
      <c r="A32" s="169">
        <v>24</v>
      </c>
      <c r="B32" s="653" t="s">
        <v>182</v>
      </c>
      <c r="C32" s="166">
        <v>0</v>
      </c>
      <c r="D32" s="167">
        <v>1</v>
      </c>
      <c r="E32" s="167">
        <v>3</v>
      </c>
      <c r="F32" s="168">
        <v>0</v>
      </c>
      <c r="G32" s="166">
        <v>0</v>
      </c>
      <c r="H32" s="167">
        <v>0</v>
      </c>
      <c r="I32" s="167">
        <v>0</v>
      </c>
      <c r="J32" s="168">
        <v>0</v>
      </c>
      <c r="K32" s="166">
        <v>0</v>
      </c>
      <c r="L32" s="167">
        <v>0</v>
      </c>
      <c r="M32" s="167">
        <v>0</v>
      </c>
      <c r="N32" s="168">
        <v>0</v>
      </c>
      <c r="O32" s="166">
        <v>0</v>
      </c>
      <c r="P32" s="167">
        <v>3</v>
      </c>
      <c r="Q32" s="167">
        <v>3</v>
      </c>
      <c r="R32" s="168">
        <v>0</v>
      </c>
      <c r="S32" s="166">
        <v>0</v>
      </c>
      <c r="T32" s="167">
        <v>0</v>
      </c>
      <c r="U32" s="167">
        <v>0</v>
      </c>
      <c r="V32" s="168">
        <v>0</v>
      </c>
      <c r="W32" s="637">
        <f t="shared" si="1"/>
        <v>10.000299999999999</v>
      </c>
      <c r="X32" s="150">
        <v>16</v>
      </c>
      <c r="AC32" s="526"/>
    </row>
    <row r="33" spans="1:29" x14ac:dyDescent="0.2">
      <c r="A33" s="546">
        <v>25</v>
      </c>
      <c r="B33" s="593" t="s">
        <v>38</v>
      </c>
      <c r="C33" s="548">
        <v>0</v>
      </c>
      <c r="D33" s="550">
        <v>0</v>
      </c>
      <c r="E33" s="550">
        <v>0</v>
      </c>
      <c r="F33" s="551">
        <v>0</v>
      </c>
      <c r="G33" s="548">
        <v>3</v>
      </c>
      <c r="H33" s="550">
        <v>0</v>
      </c>
      <c r="I33" s="550">
        <v>0</v>
      </c>
      <c r="J33" s="551">
        <v>3</v>
      </c>
      <c r="K33" s="548">
        <v>3</v>
      </c>
      <c r="L33" s="550">
        <v>0</v>
      </c>
      <c r="M33" s="550">
        <v>3</v>
      </c>
      <c r="N33" s="551">
        <v>0</v>
      </c>
      <c r="O33" s="548">
        <v>0</v>
      </c>
      <c r="P33" s="550">
        <v>0</v>
      </c>
      <c r="Q33" s="550">
        <v>0</v>
      </c>
      <c r="R33" s="551">
        <v>0</v>
      </c>
      <c r="S33" s="548">
        <v>5</v>
      </c>
      <c r="T33" s="550">
        <v>0</v>
      </c>
      <c r="U33" s="550">
        <v>0</v>
      </c>
      <c r="V33" s="551">
        <v>5</v>
      </c>
      <c r="W33" s="637">
        <f t="shared" si="1"/>
        <v>22.020399999999999</v>
      </c>
      <c r="X33" s="552" t="str">
        <f>IF(COUNTA(C33:V33)=0,"",IF(RANK(W33,W$9:W$34)&lt;5,"edasi "&amp;RANK(W33,W$9:W$34),IF(RANK(W33,W$9:W$34)&lt;17,"vahevooru "&amp;RANK(W33,W$9:W$34)-4,RANK(W33,W$9:W$34))))</f>
        <v>vahevooru 1</v>
      </c>
    </row>
    <row r="34" spans="1:29" ht="13.5" thickBot="1" x14ac:dyDescent="0.25">
      <c r="A34" s="546">
        <v>26</v>
      </c>
      <c r="B34" s="593" t="s">
        <v>35</v>
      </c>
      <c r="C34" s="548">
        <v>0</v>
      </c>
      <c r="D34" s="550">
        <v>3</v>
      </c>
      <c r="E34" s="550">
        <v>3</v>
      </c>
      <c r="F34" s="551">
        <v>0</v>
      </c>
      <c r="G34" s="548">
        <v>0</v>
      </c>
      <c r="H34" s="550">
        <v>0</v>
      </c>
      <c r="I34" s="550">
        <v>0</v>
      </c>
      <c r="J34" s="551">
        <v>5</v>
      </c>
      <c r="K34" s="548">
        <v>1</v>
      </c>
      <c r="L34" s="550">
        <v>0</v>
      </c>
      <c r="M34" s="550">
        <v>0</v>
      </c>
      <c r="N34" s="551">
        <v>0</v>
      </c>
      <c r="O34" s="548">
        <v>1</v>
      </c>
      <c r="P34" s="550">
        <v>3</v>
      </c>
      <c r="Q34" s="550">
        <v>0</v>
      </c>
      <c r="R34" s="551">
        <v>0</v>
      </c>
      <c r="S34" s="548">
        <v>0</v>
      </c>
      <c r="T34" s="550">
        <v>0</v>
      </c>
      <c r="U34" s="550">
        <v>0</v>
      </c>
      <c r="V34" s="551">
        <v>0</v>
      </c>
      <c r="W34" s="637">
        <f t="shared" si="1"/>
        <v>16.010300000000001</v>
      </c>
      <c r="X34" s="552" t="str">
        <f>IF(COUNTA(C34:V34)=0,"",IF(RANK(W34,W$9:W$34)&lt;5,"edasi "&amp;RANK(W34,W$9:W$34),IF(RANK(W34,W$9:W$34)&lt;17,"vahevooru "&amp;RANK(W34,W$9:W$34)-4,RANK(W34,W$9:W$34))))</f>
        <v>vahevooru 5</v>
      </c>
    </row>
    <row r="35" spans="1:29" ht="13.5" hidden="1" thickBot="1" x14ac:dyDescent="0.25">
      <c r="A35" s="544"/>
      <c r="B35" s="545" t="s">
        <v>718</v>
      </c>
      <c r="C35" s="144"/>
      <c r="D35" s="145"/>
      <c r="E35" s="145"/>
      <c r="F35" s="146"/>
      <c r="G35" s="144"/>
      <c r="H35" s="145"/>
      <c r="I35" s="145"/>
      <c r="J35" s="146"/>
      <c r="K35" s="144"/>
      <c r="L35" s="145"/>
      <c r="M35" s="145"/>
      <c r="N35" s="146"/>
      <c r="O35" s="144"/>
      <c r="P35" s="145"/>
      <c r="Q35" s="145"/>
      <c r="R35" s="146"/>
      <c r="S35" s="144"/>
      <c r="T35" s="145"/>
      <c r="U35" s="145"/>
      <c r="V35" s="146"/>
      <c r="W35" s="661"/>
      <c r="X35" s="250"/>
      <c r="Z35" s="148"/>
      <c r="AA35" s="149" t="s">
        <v>215</v>
      </c>
      <c r="AB35" s="149" t="s">
        <v>216</v>
      </c>
    </row>
    <row r="36" spans="1:29" ht="13.5" hidden="1" thickBot="1" x14ac:dyDescent="0.25">
      <c r="A36" s="546"/>
      <c r="B36" s="547"/>
      <c r="C36" s="548"/>
      <c r="D36" s="549"/>
      <c r="E36" s="550"/>
      <c r="F36" s="551"/>
      <c r="G36" s="548"/>
      <c r="H36" s="549"/>
      <c r="I36" s="550"/>
      <c r="J36" s="551"/>
      <c r="K36" s="548"/>
      <c r="L36" s="549"/>
      <c r="M36" s="550"/>
      <c r="N36" s="551"/>
      <c r="O36" s="548"/>
      <c r="P36" s="549"/>
      <c r="Q36" s="550"/>
      <c r="R36" s="551"/>
      <c r="S36" s="548"/>
      <c r="T36" s="549"/>
      <c r="U36" s="550"/>
      <c r="V36" s="551"/>
      <c r="W36" s="584" t="str">
        <f t="shared" ref="W36:W121" si="3">IF(COUNTA(C36:V36)=0,"",SUM(C36:V36)+COUNTIF(C36:V36,5)/100+COUNTIF(C36:V36,3)/10000)</f>
        <v/>
      </c>
      <c r="X36" s="552"/>
      <c r="AC36" s="526"/>
    </row>
    <row r="37" spans="1:29" ht="13.5" hidden="1" thickBot="1" x14ac:dyDescent="0.25">
      <c r="A37" s="546"/>
      <c r="B37" s="547"/>
      <c r="C37" s="548"/>
      <c r="D37" s="549"/>
      <c r="E37" s="550"/>
      <c r="F37" s="551"/>
      <c r="G37" s="548"/>
      <c r="H37" s="549"/>
      <c r="I37" s="550"/>
      <c r="J37" s="551"/>
      <c r="K37" s="548"/>
      <c r="L37" s="549"/>
      <c r="M37" s="550"/>
      <c r="N37" s="551"/>
      <c r="O37" s="548"/>
      <c r="P37" s="549"/>
      <c r="Q37" s="550"/>
      <c r="R37" s="551"/>
      <c r="S37" s="548"/>
      <c r="T37" s="549"/>
      <c r="U37" s="550"/>
      <c r="V37" s="551"/>
      <c r="W37" s="584" t="str">
        <f t="shared" si="3"/>
        <v/>
      </c>
      <c r="X37" s="552"/>
      <c r="AC37" s="526"/>
    </row>
    <row r="38" spans="1:29" ht="13.5" hidden="1" thickBot="1" x14ac:dyDescent="0.25">
      <c r="A38" s="546"/>
      <c r="B38" s="553"/>
      <c r="C38" s="548"/>
      <c r="D38" s="549"/>
      <c r="E38" s="550"/>
      <c r="F38" s="551"/>
      <c r="G38" s="548"/>
      <c r="H38" s="549"/>
      <c r="I38" s="550"/>
      <c r="J38" s="551"/>
      <c r="K38" s="548"/>
      <c r="L38" s="549"/>
      <c r="M38" s="550"/>
      <c r="N38" s="551"/>
      <c r="O38" s="548"/>
      <c r="P38" s="549"/>
      <c r="Q38" s="550"/>
      <c r="R38" s="551"/>
      <c r="S38" s="548"/>
      <c r="T38" s="549"/>
      <c r="U38" s="550"/>
      <c r="V38" s="551"/>
      <c r="W38" s="584" t="str">
        <f t="shared" si="3"/>
        <v/>
      </c>
      <c r="X38" s="552"/>
      <c r="AC38" s="526"/>
    </row>
    <row r="39" spans="1:29" ht="13.5" hidden="1" thickBot="1" x14ac:dyDescent="0.25">
      <c r="A39" s="546"/>
      <c r="B39" s="547"/>
      <c r="C39" s="548"/>
      <c r="D39" s="549"/>
      <c r="E39" s="550"/>
      <c r="F39" s="551"/>
      <c r="G39" s="548"/>
      <c r="H39" s="549"/>
      <c r="I39" s="550"/>
      <c r="J39" s="551"/>
      <c r="K39" s="548"/>
      <c r="L39" s="549"/>
      <c r="M39" s="550"/>
      <c r="N39" s="551"/>
      <c r="O39" s="548"/>
      <c r="P39" s="549"/>
      <c r="Q39" s="550"/>
      <c r="R39" s="551"/>
      <c r="S39" s="548"/>
      <c r="T39" s="549"/>
      <c r="U39" s="550"/>
      <c r="V39" s="551"/>
      <c r="W39" s="584" t="str">
        <f t="shared" si="3"/>
        <v/>
      </c>
      <c r="X39" s="552"/>
      <c r="AC39" s="526"/>
    </row>
    <row r="40" spans="1:29" ht="13.5" hidden="1" thickBot="1" x14ac:dyDescent="0.25">
      <c r="A40" s="169"/>
      <c r="B40" s="554"/>
      <c r="C40" s="166"/>
      <c r="D40" s="163"/>
      <c r="E40" s="167"/>
      <c r="F40" s="168"/>
      <c r="G40" s="166"/>
      <c r="H40" s="163"/>
      <c r="I40" s="167"/>
      <c r="J40" s="168"/>
      <c r="K40" s="166"/>
      <c r="L40" s="163"/>
      <c r="M40" s="167"/>
      <c r="N40" s="168"/>
      <c r="O40" s="166"/>
      <c r="P40" s="163"/>
      <c r="Q40" s="167"/>
      <c r="R40" s="168"/>
      <c r="S40" s="166"/>
      <c r="T40" s="163"/>
      <c r="U40" s="167"/>
      <c r="V40" s="168"/>
      <c r="W40" s="584" t="str">
        <f t="shared" si="3"/>
        <v/>
      </c>
      <c r="X40" s="150"/>
      <c r="AC40" s="526"/>
    </row>
    <row r="41" spans="1:29" ht="13.5" hidden="1" thickBot="1" x14ac:dyDescent="0.25">
      <c r="A41" s="169"/>
      <c r="B41" s="259"/>
      <c r="C41" s="166"/>
      <c r="D41" s="163"/>
      <c r="E41" s="167"/>
      <c r="F41" s="168"/>
      <c r="G41" s="166"/>
      <c r="H41" s="163"/>
      <c r="I41" s="167"/>
      <c r="J41" s="168"/>
      <c r="K41" s="166"/>
      <c r="L41" s="163"/>
      <c r="M41" s="167"/>
      <c r="N41" s="168"/>
      <c r="O41" s="166"/>
      <c r="P41" s="163"/>
      <c r="Q41" s="167"/>
      <c r="R41" s="168"/>
      <c r="S41" s="166"/>
      <c r="T41" s="163"/>
      <c r="U41" s="167"/>
      <c r="V41" s="168"/>
      <c r="W41" s="584" t="str">
        <f t="shared" si="3"/>
        <v/>
      </c>
      <c r="X41" s="150"/>
      <c r="AC41" s="526"/>
    </row>
    <row r="42" spans="1:29" ht="13.5" hidden="1" thickBot="1" x14ac:dyDescent="0.25">
      <c r="A42" s="555"/>
      <c r="B42" s="199"/>
      <c r="C42" s="166"/>
      <c r="D42" s="163"/>
      <c r="E42" s="167"/>
      <c r="F42" s="168"/>
      <c r="G42" s="166"/>
      <c r="H42" s="163"/>
      <c r="I42" s="167"/>
      <c r="J42" s="168"/>
      <c r="K42" s="166"/>
      <c r="L42" s="163"/>
      <c r="M42" s="167"/>
      <c r="N42" s="168"/>
      <c r="O42" s="166"/>
      <c r="P42" s="163"/>
      <c r="Q42" s="167"/>
      <c r="R42" s="168"/>
      <c r="S42" s="166"/>
      <c r="T42" s="163"/>
      <c r="U42" s="167"/>
      <c r="V42" s="168"/>
      <c r="W42" s="584" t="str">
        <f t="shared" ref="W42:W67" si="4">IF(COUNTA(C42:V42)=0,"",SUM(C42:V42)+COUNTIF(C42:V42,5)/100+COUNTIF(C42:V42,3)/10000)</f>
        <v/>
      </c>
      <c r="X42" s="150"/>
    </row>
    <row r="43" spans="1:29" ht="13.5" hidden="1" thickBot="1" x14ac:dyDescent="0.25">
      <c r="A43" s="555"/>
      <c r="B43" s="199"/>
      <c r="C43" s="166"/>
      <c r="D43" s="163"/>
      <c r="E43" s="167"/>
      <c r="F43" s="168"/>
      <c r="G43" s="166"/>
      <c r="H43" s="163"/>
      <c r="I43" s="167"/>
      <c r="J43" s="168"/>
      <c r="K43" s="166"/>
      <c r="L43" s="163"/>
      <c r="M43" s="167"/>
      <c r="N43" s="168"/>
      <c r="O43" s="166"/>
      <c r="P43" s="163"/>
      <c r="Q43" s="167"/>
      <c r="R43" s="168"/>
      <c r="S43" s="166"/>
      <c r="T43" s="163"/>
      <c r="U43" s="167"/>
      <c r="V43" s="168"/>
      <c r="W43" s="584" t="str">
        <f t="shared" si="4"/>
        <v/>
      </c>
      <c r="X43" s="150"/>
    </row>
    <row r="44" spans="1:29" ht="13.5" hidden="1" thickBot="1" x14ac:dyDescent="0.25">
      <c r="A44" s="546"/>
      <c r="B44" s="547"/>
      <c r="C44" s="548"/>
      <c r="D44" s="549"/>
      <c r="E44" s="550"/>
      <c r="F44" s="551"/>
      <c r="G44" s="548"/>
      <c r="H44" s="549"/>
      <c r="I44" s="550"/>
      <c r="J44" s="551"/>
      <c r="K44" s="548"/>
      <c r="L44" s="549"/>
      <c r="M44" s="550"/>
      <c r="N44" s="551"/>
      <c r="O44" s="548"/>
      <c r="P44" s="549"/>
      <c r="Q44" s="550"/>
      <c r="R44" s="551"/>
      <c r="S44" s="548"/>
      <c r="T44" s="549"/>
      <c r="U44" s="550"/>
      <c r="V44" s="551"/>
      <c r="W44" s="584" t="str">
        <f t="shared" si="4"/>
        <v/>
      </c>
      <c r="X44" s="552"/>
      <c r="AC44" s="526"/>
    </row>
    <row r="45" spans="1:29" ht="13.5" hidden="1" thickBot="1" x14ac:dyDescent="0.25">
      <c r="A45" s="546"/>
      <c r="B45" s="547"/>
      <c r="C45" s="548"/>
      <c r="D45" s="549"/>
      <c r="E45" s="550"/>
      <c r="F45" s="551"/>
      <c r="G45" s="548"/>
      <c r="H45" s="549"/>
      <c r="I45" s="550"/>
      <c r="J45" s="551"/>
      <c r="K45" s="548"/>
      <c r="L45" s="549"/>
      <c r="M45" s="550"/>
      <c r="N45" s="551"/>
      <c r="O45" s="548"/>
      <c r="P45" s="549"/>
      <c r="Q45" s="550"/>
      <c r="R45" s="551"/>
      <c r="S45" s="548"/>
      <c r="T45" s="549"/>
      <c r="U45" s="550"/>
      <c r="V45" s="551"/>
      <c r="W45" s="584" t="str">
        <f t="shared" si="4"/>
        <v/>
      </c>
      <c r="X45" s="552"/>
      <c r="AC45" s="526"/>
    </row>
    <row r="46" spans="1:29" ht="13.5" hidden="1" thickBot="1" x14ac:dyDescent="0.25">
      <c r="A46" s="546"/>
      <c r="B46" s="553"/>
      <c r="C46" s="548"/>
      <c r="D46" s="549"/>
      <c r="E46" s="550"/>
      <c r="F46" s="551"/>
      <c r="G46" s="548"/>
      <c r="H46" s="549"/>
      <c r="I46" s="550"/>
      <c r="J46" s="551"/>
      <c r="K46" s="548"/>
      <c r="L46" s="549"/>
      <c r="M46" s="550"/>
      <c r="N46" s="551"/>
      <c r="O46" s="548"/>
      <c r="P46" s="549"/>
      <c r="Q46" s="550"/>
      <c r="R46" s="551"/>
      <c r="S46" s="548"/>
      <c r="T46" s="549"/>
      <c r="U46" s="550"/>
      <c r="V46" s="551"/>
      <c r="W46" s="584" t="str">
        <f t="shared" si="4"/>
        <v/>
      </c>
      <c r="X46" s="552"/>
      <c r="AC46" s="526"/>
    </row>
    <row r="47" spans="1:29" ht="13.5" hidden="1" thickBot="1" x14ac:dyDescent="0.25">
      <c r="A47" s="546"/>
      <c r="B47" s="547"/>
      <c r="C47" s="548"/>
      <c r="D47" s="549"/>
      <c r="E47" s="550"/>
      <c r="F47" s="551"/>
      <c r="G47" s="548"/>
      <c r="H47" s="549"/>
      <c r="I47" s="550"/>
      <c r="J47" s="551"/>
      <c r="K47" s="548"/>
      <c r="L47" s="549"/>
      <c r="M47" s="550"/>
      <c r="N47" s="551"/>
      <c r="O47" s="548"/>
      <c r="P47" s="549"/>
      <c r="Q47" s="550"/>
      <c r="R47" s="551"/>
      <c r="S47" s="548"/>
      <c r="T47" s="549"/>
      <c r="U47" s="550"/>
      <c r="V47" s="551"/>
      <c r="W47" s="584" t="str">
        <f t="shared" si="4"/>
        <v/>
      </c>
      <c r="X47" s="552"/>
      <c r="AC47" s="526"/>
    </row>
    <row r="48" spans="1:29" ht="13.5" hidden="1" thickBot="1" x14ac:dyDescent="0.25">
      <c r="A48" s="169"/>
      <c r="B48" s="554"/>
      <c r="C48" s="166"/>
      <c r="D48" s="163"/>
      <c r="E48" s="167"/>
      <c r="F48" s="168"/>
      <c r="G48" s="166"/>
      <c r="H48" s="163"/>
      <c r="I48" s="167"/>
      <c r="J48" s="168"/>
      <c r="K48" s="166"/>
      <c r="L48" s="163"/>
      <c r="M48" s="167"/>
      <c r="N48" s="168"/>
      <c r="O48" s="166"/>
      <c r="P48" s="163"/>
      <c r="Q48" s="167"/>
      <c r="R48" s="168"/>
      <c r="S48" s="166"/>
      <c r="T48" s="163"/>
      <c r="U48" s="167"/>
      <c r="V48" s="168"/>
      <c r="W48" s="584" t="str">
        <f t="shared" si="4"/>
        <v/>
      </c>
      <c r="X48" s="150"/>
      <c r="AC48" s="526"/>
    </row>
    <row r="49" spans="1:29" ht="13.5" hidden="1" thickBot="1" x14ac:dyDescent="0.25">
      <c r="A49" s="169"/>
      <c r="B49" s="259"/>
      <c r="C49" s="166"/>
      <c r="D49" s="163"/>
      <c r="E49" s="167"/>
      <c r="F49" s="168"/>
      <c r="G49" s="166"/>
      <c r="H49" s="163"/>
      <c r="I49" s="167"/>
      <c r="J49" s="168"/>
      <c r="K49" s="166"/>
      <c r="L49" s="163"/>
      <c r="M49" s="167"/>
      <c r="N49" s="168"/>
      <c r="O49" s="166"/>
      <c r="P49" s="163"/>
      <c r="Q49" s="167"/>
      <c r="R49" s="168"/>
      <c r="S49" s="166"/>
      <c r="T49" s="163"/>
      <c r="U49" s="167"/>
      <c r="V49" s="168"/>
      <c r="W49" s="584" t="str">
        <f t="shared" si="4"/>
        <v/>
      </c>
      <c r="X49" s="150"/>
      <c r="AC49" s="526"/>
    </row>
    <row r="50" spans="1:29" ht="13.5" hidden="1" thickBot="1" x14ac:dyDescent="0.25">
      <c r="A50" s="555"/>
      <c r="B50" s="199"/>
      <c r="C50" s="166"/>
      <c r="D50" s="163"/>
      <c r="E50" s="167"/>
      <c r="F50" s="168"/>
      <c r="G50" s="166"/>
      <c r="H50" s="163"/>
      <c r="I50" s="167"/>
      <c r="J50" s="168"/>
      <c r="K50" s="166"/>
      <c r="L50" s="163"/>
      <c r="M50" s="167"/>
      <c r="N50" s="168"/>
      <c r="O50" s="166"/>
      <c r="P50" s="163"/>
      <c r="Q50" s="167"/>
      <c r="R50" s="168"/>
      <c r="S50" s="166"/>
      <c r="T50" s="163"/>
      <c r="U50" s="167"/>
      <c r="V50" s="168"/>
      <c r="W50" s="584" t="str">
        <f t="shared" si="4"/>
        <v/>
      </c>
      <c r="X50" s="150"/>
    </row>
    <row r="51" spans="1:29" ht="13.5" hidden="1" thickBot="1" x14ac:dyDescent="0.25">
      <c r="A51" s="555"/>
      <c r="B51" s="199"/>
      <c r="C51" s="166"/>
      <c r="D51" s="163"/>
      <c r="E51" s="167"/>
      <c r="F51" s="168"/>
      <c r="G51" s="166"/>
      <c r="H51" s="163"/>
      <c r="I51" s="167"/>
      <c r="J51" s="168"/>
      <c r="K51" s="166"/>
      <c r="L51" s="163"/>
      <c r="M51" s="167"/>
      <c r="N51" s="168"/>
      <c r="O51" s="166"/>
      <c r="P51" s="163"/>
      <c r="Q51" s="167"/>
      <c r="R51" s="168"/>
      <c r="S51" s="166"/>
      <c r="T51" s="163"/>
      <c r="U51" s="167"/>
      <c r="V51" s="168"/>
      <c r="W51" s="584" t="str">
        <f t="shared" si="4"/>
        <v/>
      </c>
      <c r="X51" s="150"/>
    </row>
    <row r="52" spans="1:29" ht="13.5" hidden="1" thickBot="1" x14ac:dyDescent="0.25">
      <c r="A52" s="546"/>
      <c r="B52" s="547"/>
      <c r="C52" s="548"/>
      <c r="D52" s="549"/>
      <c r="E52" s="550"/>
      <c r="F52" s="551"/>
      <c r="G52" s="548"/>
      <c r="H52" s="549"/>
      <c r="I52" s="550"/>
      <c r="J52" s="551"/>
      <c r="K52" s="548"/>
      <c r="L52" s="549"/>
      <c r="M52" s="550"/>
      <c r="N52" s="551"/>
      <c r="O52" s="548"/>
      <c r="P52" s="549"/>
      <c r="Q52" s="550"/>
      <c r="R52" s="551"/>
      <c r="S52" s="548"/>
      <c r="T52" s="549"/>
      <c r="U52" s="550"/>
      <c r="V52" s="551"/>
      <c r="W52" s="584" t="str">
        <f t="shared" si="4"/>
        <v/>
      </c>
      <c r="X52" s="552"/>
      <c r="AC52" s="526"/>
    </row>
    <row r="53" spans="1:29" ht="13.5" hidden="1" thickBot="1" x14ac:dyDescent="0.25">
      <c r="A53" s="546"/>
      <c r="B53" s="547"/>
      <c r="C53" s="548"/>
      <c r="D53" s="549"/>
      <c r="E53" s="550"/>
      <c r="F53" s="551"/>
      <c r="G53" s="548"/>
      <c r="H53" s="549"/>
      <c r="I53" s="550"/>
      <c r="J53" s="551"/>
      <c r="K53" s="548"/>
      <c r="L53" s="549"/>
      <c r="M53" s="550"/>
      <c r="N53" s="551"/>
      <c r="O53" s="548"/>
      <c r="P53" s="549"/>
      <c r="Q53" s="550"/>
      <c r="R53" s="551"/>
      <c r="S53" s="548"/>
      <c r="T53" s="549"/>
      <c r="U53" s="550"/>
      <c r="V53" s="551"/>
      <c r="W53" s="584" t="str">
        <f t="shared" si="4"/>
        <v/>
      </c>
      <c r="X53" s="552"/>
      <c r="AC53" s="526"/>
    </row>
    <row r="54" spans="1:29" ht="13.5" hidden="1" thickBot="1" x14ac:dyDescent="0.25">
      <c r="A54" s="546"/>
      <c r="B54" s="553"/>
      <c r="C54" s="548"/>
      <c r="D54" s="549"/>
      <c r="E54" s="550"/>
      <c r="F54" s="551"/>
      <c r="G54" s="548"/>
      <c r="H54" s="549"/>
      <c r="I54" s="550"/>
      <c r="J54" s="551"/>
      <c r="K54" s="548"/>
      <c r="L54" s="549"/>
      <c r="M54" s="550"/>
      <c r="N54" s="551"/>
      <c r="O54" s="548"/>
      <c r="P54" s="549"/>
      <c r="Q54" s="550"/>
      <c r="R54" s="551"/>
      <c r="S54" s="548"/>
      <c r="T54" s="549"/>
      <c r="U54" s="550"/>
      <c r="V54" s="551"/>
      <c r="W54" s="584" t="str">
        <f t="shared" si="4"/>
        <v/>
      </c>
      <c r="X54" s="552"/>
      <c r="AC54" s="526"/>
    </row>
    <row r="55" spans="1:29" ht="13.5" hidden="1" thickBot="1" x14ac:dyDescent="0.25">
      <c r="A55" s="546"/>
      <c r="B55" s="547"/>
      <c r="C55" s="548"/>
      <c r="D55" s="549"/>
      <c r="E55" s="550"/>
      <c r="F55" s="551"/>
      <c r="G55" s="548"/>
      <c r="H55" s="549"/>
      <c r="I55" s="550"/>
      <c r="J55" s="551"/>
      <c r="K55" s="548"/>
      <c r="L55" s="549"/>
      <c r="M55" s="550"/>
      <c r="N55" s="551"/>
      <c r="O55" s="548"/>
      <c r="P55" s="549"/>
      <c r="Q55" s="550"/>
      <c r="R55" s="551"/>
      <c r="S55" s="548"/>
      <c r="T55" s="549"/>
      <c r="U55" s="550"/>
      <c r="V55" s="551"/>
      <c r="W55" s="584" t="str">
        <f t="shared" si="4"/>
        <v/>
      </c>
      <c r="X55" s="552"/>
      <c r="AC55" s="526"/>
    </row>
    <row r="56" spans="1:29" ht="13.5" hidden="1" thickBot="1" x14ac:dyDescent="0.25">
      <c r="A56" s="169"/>
      <c r="B56" s="554"/>
      <c r="C56" s="166"/>
      <c r="D56" s="163"/>
      <c r="E56" s="167"/>
      <c r="F56" s="168"/>
      <c r="G56" s="166"/>
      <c r="H56" s="163"/>
      <c r="I56" s="167"/>
      <c r="J56" s="168"/>
      <c r="K56" s="166"/>
      <c r="L56" s="163"/>
      <c r="M56" s="167"/>
      <c r="N56" s="168"/>
      <c r="O56" s="166"/>
      <c r="P56" s="163"/>
      <c r="Q56" s="167"/>
      <c r="R56" s="168"/>
      <c r="S56" s="166"/>
      <c r="T56" s="163"/>
      <c r="U56" s="167"/>
      <c r="V56" s="168"/>
      <c r="W56" s="584" t="str">
        <f t="shared" si="4"/>
        <v/>
      </c>
      <c r="X56" s="150"/>
      <c r="AC56" s="526"/>
    </row>
    <row r="57" spans="1:29" ht="13.5" hidden="1" thickBot="1" x14ac:dyDescent="0.25">
      <c r="A57" s="169"/>
      <c r="B57" s="259"/>
      <c r="C57" s="166"/>
      <c r="D57" s="163"/>
      <c r="E57" s="167"/>
      <c r="F57" s="168"/>
      <c r="G57" s="166"/>
      <c r="H57" s="163"/>
      <c r="I57" s="167"/>
      <c r="J57" s="168"/>
      <c r="K57" s="166"/>
      <c r="L57" s="163"/>
      <c r="M57" s="167"/>
      <c r="N57" s="168"/>
      <c r="O57" s="166"/>
      <c r="P57" s="163"/>
      <c r="Q57" s="167"/>
      <c r="R57" s="168"/>
      <c r="S57" s="166"/>
      <c r="T57" s="163"/>
      <c r="U57" s="167"/>
      <c r="V57" s="168"/>
      <c r="W57" s="584" t="str">
        <f t="shared" si="4"/>
        <v/>
      </c>
      <c r="X57" s="150"/>
      <c r="AC57" s="526"/>
    </row>
    <row r="58" spans="1:29" ht="13.5" hidden="1" thickBot="1" x14ac:dyDescent="0.25">
      <c r="A58" s="555"/>
      <c r="B58" s="199"/>
      <c r="C58" s="166"/>
      <c r="D58" s="163"/>
      <c r="E58" s="167"/>
      <c r="F58" s="168"/>
      <c r="G58" s="166"/>
      <c r="H58" s="163"/>
      <c r="I58" s="167"/>
      <c r="J58" s="168"/>
      <c r="K58" s="166"/>
      <c r="L58" s="163"/>
      <c r="M58" s="167"/>
      <c r="N58" s="168"/>
      <c r="O58" s="166"/>
      <c r="P58" s="163"/>
      <c r="Q58" s="167"/>
      <c r="R58" s="168"/>
      <c r="S58" s="166"/>
      <c r="T58" s="163"/>
      <c r="U58" s="167"/>
      <c r="V58" s="168"/>
      <c r="W58" s="584" t="str">
        <f t="shared" si="4"/>
        <v/>
      </c>
      <c r="X58" s="150"/>
    </row>
    <row r="59" spans="1:29" ht="13.5" hidden="1" thickBot="1" x14ac:dyDescent="0.25">
      <c r="A59" s="555"/>
      <c r="B59" s="199"/>
      <c r="C59" s="166"/>
      <c r="D59" s="163"/>
      <c r="E59" s="167"/>
      <c r="F59" s="168"/>
      <c r="G59" s="166"/>
      <c r="H59" s="163"/>
      <c r="I59" s="167"/>
      <c r="J59" s="168"/>
      <c r="K59" s="166"/>
      <c r="L59" s="163"/>
      <c r="M59" s="167"/>
      <c r="N59" s="168"/>
      <c r="O59" s="166"/>
      <c r="P59" s="163"/>
      <c r="Q59" s="167"/>
      <c r="R59" s="168"/>
      <c r="S59" s="166"/>
      <c r="T59" s="163"/>
      <c r="U59" s="167"/>
      <c r="V59" s="168"/>
      <c r="W59" s="584" t="str">
        <f t="shared" si="4"/>
        <v/>
      </c>
      <c r="X59" s="150"/>
    </row>
    <row r="60" spans="1:29" ht="13.5" hidden="1" thickBot="1" x14ac:dyDescent="0.25">
      <c r="A60" s="546"/>
      <c r="B60" s="553"/>
      <c r="C60" s="548"/>
      <c r="D60" s="549"/>
      <c r="E60" s="550"/>
      <c r="F60" s="551"/>
      <c r="G60" s="548"/>
      <c r="H60" s="549"/>
      <c r="I60" s="550"/>
      <c r="J60" s="551"/>
      <c r="K60" s="548"/>
      <c r="L60" s="549"/>
      <c r="M60" s="550"/>
      <c r="N60" s="551"/>
      <c r="O60" s="548"/>
      <c r="P60" s="549"/>
      <c r="Q60" s="550"/>
      <c r="R60" s="551"/>
      <c r="S60" s="548"/>
      <c r="T60" s="549"/>
      <c r="U60" s="550"/>
      <c r="V60" s="551"/>
      <c r="W60" s="584" t="str">
        <f t="shared" si="4"/>
        <v/>
      </c>
      <c r="X60" s="552"/>
    </row>
    <row r="61" spans="1:29" ht="13.5" hidden="1" thickBot="1" x14ac:dyDescent="0.25">
      <c r="A61" s="546"/>
      <c r="B61" s="553"/>
      <c r="C61" s="548"/>
      <c r="D61" s="549"/>
      <c r="E61" s="550"/>
      <c r="F61" s="551"/>
      <c r="G61" s="548"/>
      <c r="H61" s="549"/>
      <c r="I61" s="550"/>
      <c r="J61" s="551"/>
      <c r="K61" s="548"/>
      <c r="L61" s="549"/>
      <c r="M61" s="550"/>
      <c r="N61" s="551"/>
      <c r="O61" s="548"/>
      <c r="P61" s="549"/>
      <c r="Q61" s="550"/>
      <c r="R61" s="551"/>
      <c r="S61" s="548"/>
      <c r="T61" s="549"/>
      <c r="U61" s="550"/>
      <c r="V61" s="551"/>
      <c r="W61" s="584" t="str">
        <f t="shared" si="4"/>
        <v/>
      </c>
      <c r="X61" s="552"/>
    </row>
    <row r="62" spans="1:29" ht="13.5" hidden="1" thickBot="1" x14ac:dyDescent="0.25">
      <c r="A62" s="546"/>
      <c r="B62" s="547"/>
      <c r="C62" s="548"/>
      <c r="D62" s="549"/>
      <c r="E62" s="550"/>
      <c r="F62" s="551"/>
      <c r="G62" s="548"/>
      <c r="H62" s="549"/>
      <c r="I62" s="550"/>
      <c r="J62" s="551"/>
      <c r="K62" s="548"/>
      <c r="L62" s="549"/>
      <c r="M62" s="550"/>
      <c r="N62" s="551"/>
      <c r="O62" s="548"/>
      <c r="P62" s="549"/>
      <c r="Q62" s="550"/>
      <c r="R62" s="551"/>
      <c r="S62" s="548"/>
      <c r="T62" s="549"/>
      <c r="U62" s="550"/>
      <c r="V62" s="551"/>
      <c r="W62" s="584" t="str">
        <f t="shared" si="4"/>
        <v/>
      </c>
      <c r="X62" s="552"/>
    </row>
    <row r="63" spans="1:29" ht="13.5" hidden="1" thickBot="1" x14ac:dyDescent="0.25">
      <c r="A63" s="546"/>
      <c r="B63" s="556"/>
      <c r="C63" s="548"/>
      <c r="D63" s="549"/>
      <c r="E63" s="550"/>
      <c r="F63" s="551"/>
      <c r="G63" s="548"/>
      <c r="H63" s="549"/>
      <c r="I63" s="550"/>
      <c r="J63" s="551"/>
      <c r="K63" s="548"/>
      <c r="L63" s="549"/>
      <c r="M63" s="550"/>
      <c r="N63" s="551"/>
      <c r="O63" s="548"/>
      <c r="P63" s="549"/>
      <c r="Q63" s="550"/>
      <c r="R63" s="551"/>
      <c r="S63" s="548"/>
      <c r="T63" s="549"/>
      <c r="U63" s="550"/>
      <c r="V63" s="551"/>
      <c r="W63" s="584" t="str">
        <f t="shared" si="4"/>
        <v/>
      </c>
      <c r="X63" s="552"/>
    </row>
    <row r="64" spans="1:29" ht="13.5" hidden="1" thickBot="1" x14ac:dyDescent="0.25">
      <c r="A64" s="169"/>
      <c r="B64" s="554"/>
      <c r="C64" s="166"/>
      <c r="D64" s="163"/>
      <c r="E64" s="167"/>
      <c r="F64" s="168"/>
      <c r="G64" s="166"/>
      <c r="H64" s="163"/>
      <c r="I64" s="167"/>
      <c r="J64" s="168"/>
      <c r="K64" s="166"/>
      <c r="L64" s="163"/>
      <c r="M64" s="167"/>
      <c r="N64" s="168"/>
      <c r="O64" s="166"/>
      <c r="P64" s="163"/>
      <c r="Q64" s="167"/>
      <c r="R64" s="168"/>
      <c r="S64" s="166"/>
      <c r="T64" s="163"/>
      <c r="U64" s="167"/>
      <c r="V64" s="168"/>
      <c r="W64" s="584" t="str">
        <f t="shared" si="4"/>
        <v/>
      </c>
      <c r="X64" s="150"/>
      <c r="AC64" s="526"/>
    </row>
    <row r="65" spans="1:29" ht="13.5" hidden="1" thickBot="1" x14ac:dyDescent="0.25">
      <c r="A65" s="169"/>
      <c r="B65" s="259"/>
      <c r="C65" s="166"/>
      <c r="D65" s="163"/>
      <c r="E65" s="167"/>
      <c r="F65" s="168"/>
      <c r="G65" s="166"/>
      <c r="H65" s="163"/>
      <c r="I65" s="167"/>
      <c r="J65" s="168"/>
      <c r="K65" s="166"/>
      <c r="L65" s="163"/>
      <c r="M65" s="167"/>
      <c r="N65" s="168"/>
      <c r="O65" s="166"/>
      <c r="P65" s="163"/>
      <c r="Q65" s="167"/>
      <c r="R65" s="168"/>
      <c r="S65" s="166"/>
      <c r="T65" s="163"/>
      <c r="U65" s="167"/>
      <c r="V65" s="168"/>
      <c r="W65" s="584" t="str">
        <f t="shared" si="4"/>
        <v/>
      </c>
      <c r="X65" s="150"/>
      <c r="AC65" s="526"/>
    </row>
    <row r="66" spans="1:29" ht="13.5" hidden="1" thickBot="1" x14ac:dyDescent="0.25">
      <c r="A66" s="555"/>
      <c r="B66" s="199"/>
      <c r="C66" s="166"/>
      <c r="D66" s="163"/>
      <c r="E66" s="167"/>
      <c r="F66" s="168"/>
      <c r="G66" s="166"/>
      <c r="H66" s="163"/>
      <c r="I66" s="167"/>
      <c r="J66" s="168"/>
      <c r="K66" s="166"/>
      <c r="L66" s="163"/>
      <c r="M66" s="167"/>
      <c r="N66" s="168"/>
      <c r="O66" s="166"/>
      <c r="P66" s="163"/>
      <c r="Q66" s="167"/>
      <c r="R66" s="168"/>
      <c r="S66" s="166"/>
      <c r="T66" s="163"/>
      <c r="U66" s="167"/>
      <c r="V66" s="168"/>
      <c r="W66" s="584" t="str">
        <f t="shared" si="4"/>
        <v/>
      </c>
      <c r="X66" s="150"/>
    </row>
    <row r="67" spans="1:29" ht="13.5" hidden="1" thickBot="1" x14ac:dyDescent="0.25">
      <c r="A67" s="557"/>
      <c r="B67" s="558"/>
      <c r="C67" s="559"/>
      <c r="D67" s="190"/>
      <c r="E67" s="560"/>
      <c r="F67" s="561"/>
      <c r="G67" s="559"/>
      <c r="H67" s="190"/>
      <c r="I67" s="560"/>
      <c r="J67" s="561"/>
      <c r="K67" s="559"/>
      <c r="L67" s="190"/>
      <c r="M67" s="560"/>
      <c r="N67" s="561"/>
      <c r="O67" s="559"/>
      <c r="P67" s="190"/>
      <c r="Q67" s="560"/>
      <c r="R67" s="561"/>
      <c r="S67" s="559"/>
      <c r="T67" s="190"/>
      <c r="U67" s="560"/>
      <c r="V67" s="561"/>
      <c r="W67" s="591" t="str">
        <f t="shared" si="4"/>
        <v/>
      </c>
      <c r="X67" s="159"/>
      <c r="Y67" s="154"/>
    </row>
    <row r="68" spans="1:29" x14ac:dyDescent="0.2">
      <c r="A68" s="562" t="s">
        <v>717</v>
      </c>
      <c r="B68" s="545" t="s">
        <v>220</v>
      </c>
      <c r="C68" s="247"/>
      <c r="D68" s="248"/>
      <c r="E68" s="248"/>
      <c r="F68" s="249"/>
      <c r="G68" s="247"/>
      <c r="H68" s="248"/>
      <c r="I68" s="248"/>
      <c r="J68" s="249"/>
      <c r="K68" s="247"/>
      <c r="L68" s="248"/>
      <c r="M68" s="248"/>
      <c r="N68" s="249"/>
      <c r="O68" s="247"/>
      <c r="P68" s="248"/>
      <c r="Q68" s="248"/>
      <c r="R68" s="249"/>
      <c r="S68" s="247"/>
      <c r="T68" s="248"/>
      <c r="U68" s="248"/>
      <c r="V68" s="249"/>
      <c r="W68" s="661"/>
      <c r="X68" s="250"/>
      <c r="Y68" s="563" t="s">
        <v>709</v>
      </c>
      <c r="Z68" s="148"/>
      <c r="AA68" s="149" t="s">
        <v>215</v>
      </c>
      <c r="AB68" s="149" t="s">
        <v>216</v>
      </c>
    </row>
    <row r="69" spans="1:29" x14ac:dyDescent="0.2">
      <c r="A69" s="556">
        <v>1</v>
      </c>
      <c r="B69" s="580" t="s">
        <v>80</v>
      </c>
      <c r="C69" s="581">
        <v>0</v>
      </c>
      <c r="D69" s="582">
        <v>3</v>
      </c>
      <c r="E69" s="582">
        <v>0</v>
      </c>
      <c r="F69" s="583">
        <v>0</v>
      </c>
      <c r="G69" s="581">
        <v>0</v>
      </c>
      <c r="H69" s="582">
        <v>0</v>
      </c>
      <c r="I69" s="582">
        <v>3</v>
      </c>
      <c r="J69" s="583">
        <v>0</v>
      </c>
      <c r="K69" s="581">
        <v>1</v>
      </c>
      <c r="L69" s="582">
        <v>0</v>
      </c>
      <c r="M69" s="582">
        <v>0</v>
      </c>
      <c r="N69" s="583">
        <v>0</v>
      </c>
      <c r="O69" s="581">
        <v>3</v>
      </c>
      <c r="P69" s="582">
        <v>0</v>
      </c>
      <c r="Q69" s="582">
        <v>0</v>
      </c>
      <c r="R69" s="583">
        <v>0</v>
      </c>
      <c r="S69" s="581">
        <v>3</v>
      </c>
      <c r="T69" s="582">
        <v>0</v>
      </c>
      <c r="U69" s="582">
        <v>0</v>
      </c>
      <c r="V69" s="583">
        <v>0</v>
      </c>
      <c r="W69" s="584">
        <f>SUM(C69:V69)+COUNTIF(C69:V69,5)/100+COUNTIF(C69:V69,3)/10000</f>
        <v>13.000400000000001</v>
      </c>
      <c r="X69" s="552">
        <f t="shared" ref="X69:X76" si="5">IF(RANK(Y69,$Y$69:$Y$76)&lt;5,"edasi "&amp;RANK(Y69,$Y$69:$Y$76)+4,RANK(Y69,$Y$69:$Y$76)+4)</f>
        <v>9</v>
      </c>
      <c r="Y69" s="552">
        <f t="shared" ref="Y69:Y76" si="6">W69+IFERROR(INDEX(W$9:W$34,MATCH(B69,B$9:B$34,0)),0)</f>
        <v>28.000900000000001</v>
      </c>
      <c r="Z69" s="151">
        <f>IF(COUNTA(C69:V69)=0,100,W69+IF(RANK(W69,$W$103:$W$104)=1,100,0))</f>
        <v>13.000400000000001</v>
      </c>
      <c r="AA69" s="149">
        <f>MIN(W69:W70)</f>
        <v>13.000400000000001</v>
      </c>
      <c r="AB69" s="149">
        <f>MAX(W69:W70)</f>
        <v>16.000499999999999</v>
      </c>
    </row>
    <row r="70" spans="1:29" x14ac:dyDescent="0.2">
      <c r="A70" s="556">
        <v>2</v>
      </c>
      <c r="B70" s="662" t="s">
        <v>35</v>
      </c>
      <c r="C70" s="581">
        <v>0</v>
      </c>
      <c r="D70" s="582">
        <v>0</v>
      </c>
      <c r="E70" s="582">
        <v>0</v>
      </c>
      <c r="F70" s="583">
        <v>0</v>
      </c>
      <c r="G70" s="581">
        <v>0</v>
      </c>
      <c r="H70" s="582">
        <v>3</v>
      </c>
      <c r="I70" s="582">
        <v>0</v>
      </c>
      <c r="J70" s="583">
        <v>0</v>
      </c>
      <c r="K70" s="581">
        <v>1</v>
      </c>
      <c r="L70" s="582">
        <v>0</v>
      </c>
      <c r="M70" s="582">
        <v>3</v>
      </c>
      <c r="N70" s="583">
        <v>3</v>
      </c>
      <c r="O70" s="581">
        <v>0</v>
      </c>
      <c r="P70" s="582">
        <v>3</v>
      </c>
      <c r="Q70" s="582">
        <v>0</v>
      </c>
      <c r="R70" s="583">
        <v>3</v>
      </c>
      <c r="S70" s="581">
        <v>0</v>
      </c>
      <c r="T70" s="582">
        <v>0</v>
      </c>
      <c r="U70" s="582">
        <v>0</v>
      </c>
      <c r="V70" s="583">
        <v>0</v>
      </c>
      <c r="W70" s="584">
        <f t="shared" ref="W70:W76" si="7">SUM(C70:V70)+COUNTIF(C70:V70,5)/100+COUNTIF(C70:V70,3)/10000</f>
        <v>16.000499999999999</v>
      </c>
      <c r="X70" s="552" t="str">
        <f t="shared" si="5"/>
        <v>edasi 7</v>
      </c>
      <c r="Y70" s="642">
        <f t="shared" si="6"/>
        <v>32.010800000000003</v>
      </c>
      <c r="Z70" s="151"/>
      <c r="AA70" s="149"/>
      <c r="AB70" s="149"/>
    </row>
    <row r="71" spans="1:29" x14ac:dyDescent="0.2">
      <c r="A71" s="173">
        <v>3</v>
      </c>
      <c r="B71" s="589" t="s">
        <v>41</v>
      </c>
      <c r="C71" s="144">
        <v>3</v>
      </c>
      <c r="D71" s="145">
        <v>0</v>
      </c>
      <c r="E71" s="145">
        <v>0</v>
      </c>
      <c r="F71" s="146">
        <v>3</v>
      </c>
      <c r="G71" s="144">
        <v>0</v>
      </c>
      <c r="H71" s="145">
        <v>3</v>
      </c>
      <c r="I71" s="145">
        <v>3</v>
      </c>
      <c r="J71" s="146">
        <v>0</v>
      </c>
      <c r="K71" s="144">
        <v>0</v>
      </c>
      <c r="L71" s="145">
        <v>1</v>
      </c>
      <c r="M71" s="145">
        <v>0</v>
      </c>
      <c r="N71" s="146">
        <v>0</v>
      </c>
      <c r="O71" s="144">
        <v>0</v>
      </c>
      <c r="P71" s="145">
        <v>0</v>
      </c>
      <c r="Q71" s="145">
        <v>0</v>
      </c>
      <c r="R71" s="146">
        <v>0</v>
      </c>
      <c r="S71" s="144">
        <v>0</v>
      </c>
      <c r="T71" s="145">
        <v>0</v>
      </c>
      <c r="U71" s="145">
        <v>0</v>
      </c>
      <c r="V71" s="146">
        <v>0</v>
      </c>
      <c r="W71" s="584">
        <f t="shared" ref="W71:W74" si="8">SUM(C71:V71)+COUNTIF(C71:V71,5)/100+COUNTIF(C71:V71,3)/10000</f>
        <v>13.000400000000001</v>
      </c>
      <c r="X71" s="150" t="str">
        <f t="shared" si="5"/>
        <v>edasi 8</v>
      </c>
      <c r="Y71" s="642">
        <f t="shared" si="6"/>
        <v>29.0107</v>
      </c>
      <c r="Z71" s="151" t="e">
        <f>IF(COUNTA(C71:V71)=0,100,W71+IF(RANK(W71,$W$105:$W$106)=1,100,0))</f>
        <v>#N/A</v>
      </c>
      <c r="AA71" s="149">
        <f>MIN(W71:W72)</f>
        <v>8.0001999999999995</v>
      </c>
      <c r="AB71" s="149">
        <f>MAX(W71:W72)</f>
        <v>13.000400000000001</v>
      </c>
    </row>
    <row r="72" spans="1:29" x14ac:dyDescent="0.2">
      <c r="A72" s="173">
        <v>4</v>
      </c>
      <c r="B72" s="196" t="s">
        <v>31</v>
      </c>
      <c r="C72" s="144">
        <v>0</v>
      </c>
      <c r="D72" s="145">
        <v>0</v>
      </c>
      <c r="E72" s="145">
        <v>0</v>
      </c>
      <c r="F72" s="146">
        <v>3</v>
      </c>
      <c r="G72" s="144">
        <v>1</v>
      </c>
      <c r="H72" s="145">
        <v>0</v>
      </c>
      <c r="I72" s="145">
        <v>0</v>
      </c>
      <c r="J72" s="146">
        <v>0</v>
      </c>
      <c r="K72" s="144">
        <v>0</v>
      </c>
      <c r="L72" s="145">
        <v>3</v>
      </c>
      <c r="M72" s="145">
        <v>1</v>
      </c>
      <c r="N72" s="146">
        <v>0</v>
      </c>
      <c r="O72" s="144">
        <v>0</v>
      </c>
      <c r="P72" s="145">
        <v>0</v>
      </c>
      <c r="Q72" s="145">
        <v>0</v>
      </c>
      <c r="R72" s="146">
        <v>0</v>
      </c>
      <c r="S72" s="144">
        <v>0</v>
      </c>
      <c r="T72" s="145">
        <v>0</v>
      </c>
      <c r="U72" s="145">
        <v>0</v>
      </c>
      <c r="V72" s="146">
        <v>0</v>
      </c>
      <c r="W72" s="584">
        <f t="shared" si="8"/>
        <v>8.0001999999999995</v>
      </c>
      <c r="X72" s="150">
        <f t="shared" si="5"/>
        <v>11</v>
      </c>
      <c r="Y72" s="552">
        <f t="shared" si="6"/>
        <v>24.0105</v>
      </c>
      <c r="Z72" s="152" t="e">
        <f>IF(COUNTA(C72:V72)=0,0,W72+IF(RANK(W72,$W$105:$W$106)=1,100,0))</f>
        <v>#N/A</v>
      </c>
      <c r="AA72" s="149"/>
      <c r="AB72" s="149"/>
    </row>
    <row r="73" spans="1:29" x14ac:dyDescent="0.2">
      <c r="A73" s="556">
        <v>5</v>
      </c>
      <c r="B73" s="588" t="s">
        <v>163</v>
      </c>
      <c r="C73" s="581">
        <v>0</v>
      </c>
      <c r="D73" s="582">
        <v>0</v>
      </c>
      <c r="E73" s="582">
        <v>0</v>
      </c>
      <c r="F73" s="583">
        <v>0</v>
      </c>
      <c r="G73" s="581">
        <v>0</v>
      </c>
      <c r="H73" s="582">
        <v>0</v>
      </c>
      <c r="I73" s="582">
        <v>3</v>
      </c>
      <c r="J73" s="583">
        <v>0</v>
      </c>
      <c r="K73" s="581">
        <v>0</v>
      </c>
      <c r="L73" s="582">
        <v>1</v>
      </c>
      <c r="M73" s="582">
        <v>0</v>
      </c>
      <c r="N73" s="583">
        <v>0</v>
      </c>
      <c r="O73" s="581">
        <v>0</v>
      </c>
      <c r="P73" s="582">
        <v>0</v>
      </c>
      <c r="Q73" s="582">
        <v>0</v>
      </c>
      <c r="R73" s="583">
        <v>0</v>
      </c>
      <c r="S73" s="581">
        <v>0</v>
      </c>
      <c r="T73" s="582">
        <v>0</v>
      </c>
      <c r="U73" s="582">
        <v>0</v>
      </c>
      <c r="V73" s="583">
        <v>0</v>
      </c>
      <c r="W73" s="584">
        <f t="shared" si="8"/>
        <v>4.0000999999999998</v>
      </c>
      <c r="X73" s="552">
        <f t="shared" si="5"/>
        <v>12</v>
      </c>
      <c r="Y73" s="552">
        <f t="shared" si="6"/>
        <v>22.0105</v>
      </c>
      <c r="Z73" s="151" t="e">
        <f>IF(COUNTA(C73:V73)=0,100,W73+IF(RANK(W73,$W$107:$W$108)=1,100,0))</f>
        <v>#N/A</v>
      </c>
      <c r="AA73" s="149">
        <f>MIN(W73:W74)</f>
        <v>4.0000999999999998</v>
      </c>
      <c r="AB73" s="149">
        <f>MAX(W73:W74)</f>
        <v>18.010400000000001</v>
      </c>
    </row>
    <row r="74" spans="1:29" x14ac:dyDescent="0.2">
      <c r="A74" s="556">
        <v>6</v>
      </c>
      <c r="B74" s="674" t="s">
        <v>45</v>
      </c>
      <c r="C74" s="581">
        <v>0</v>
      </c>
      <c r="D74" s="582">
        <v>5</v>
      </c>
      <c r="E74" s="582">
        <v>3</v>
      </c>
      <c r="F74" s="583">
        <v>0</v>
      </c>
      <c r="G74" s="581">
        <v>3</v>
      </c>
      <c r="H74" s="582">
        <v>0</v>
      </c>
      <c r="I74" s="582">
        <v>0</v>
      </c>
      <c r="J74" s="583">
        <v>0</v>
      </c>
      <c r="K74" s="581">
        <v>0</v>
      </c>
      <c r="L74" s="582">
        <v>3</v>
      </c>
      <c r="M74" s="582">
        <v>0</v>
      </c>
      <c r="N74" s="583">
        <v>1</v>
      </c>
      <c r="O74" s="581">
        <v>0</v>
      </c>
      <c r="P74" s="582">
        <v>0</v>
      </c>
      <c r="Q74" s="582">
        <v>0</v>
      </c>
      <c r="R74" s="583">
        <v>3</v>
      </c>
      <c r="S74" s="581">
        <v>0</v>
      </c>
      <c r="T74" s="582">
        <v>0</v>
      </c>
      <c r="U74" s="582">
        <v>0</v>
      </c>
      <c r="V74" s="583">
        <v>0</v>
      </c>
      <c r="W74" s="584">
        <f t="shared" si="8"/>
        <v>18.010400000000001</v>
      </c>
      <c r="X74" s="552" t="str">
        <f t="shared" si="5"/>
        <v>edasi 5</v>
      </c>
      <c r="Y74" s="642">
        <f t="shared" si="6"/>
        <v>36.020800000000001</v>
      </c>
      <c r="Z74" s="152" t="e">
        <f>IF(COUNTA(C74:V74)=0,0,W74+IF(RANK(W74,$W$107:$W$108)=1,100,0))</f>
        <v>#N/A</v>
      </c>
      <c r="AA74" s="149"/>
      <c r="AB74" s="149"/>
    </row>
    <row r="75" spans="1:29" x14ac:dyDescent="0.2">
      <c r="A75" s="173">
        <v>7</v>
      </c>
      <c r="B75" s="193" t="s">
        <v>60</v>
      </c>
      <c r="C75" s="144">
        <v>0</v>
      </c>
      <c r="D75" s="145">
        <v>0</v>
      </c>
      <c r="E75" s="145">
        <v>0</v>
      </c>
      <c r="F75" s="146">
        <v>5</v>
      </c>
      <c r="G75" s="144">
        <v>0</v>
      </c>
      <c r="H75" s="145">
        <v>0</v>
      </c>
      <c r="I75" s="145">
        <v>0</v>
      </c>
      <c r="J75" s="146">
        <v>0</v>
      </c>
      <c r="K75" s="144">
        <v>1</v>
      </c>
      <c r="L75" s="145">
        <v>0</v>
      </c>
      <c r="M75" s="145">
        <v>0</v>
      </c>
      <c r="N75" s="146">
        <v>0</v>
      </c>
      <c r="O75" s="144">
        <v>0</v>
      </c>
      <c r="P75" s="145">
        <v>0</v>
      </c>
      <c r="Q75" s="145">
        <v>0</v>
      </c>
      <c r="R75" s="146">
        <v>0</v>
      </c>
      <c r="S75" s="144">
        <v>0</v>
      </c>
      <c r="T75" s="145">
        <v>0</v>
      </c>
      <c r="U75" s="145">
        <v>0</v>
      </c>
      <c r="V75" s="146">
        <v>0</v>
      </c>
      <c r="W75" s="584">
        <f t="shared" si="7"/>
        <v>6.01</v>
      </c>
      <c r="X75" s="150">
        <f t="shared" si="5"/>
        <v>10</v>
      </c>
      <c r="Y75" s="552">
        <f t="shared" si="6"/>
        <v>25.030299999999997</v>
      </c>
      <c r="Z75" s="151" t="e">
        <f>IF(COUNTA(C75:V75)=0,100,W75+IF(RANK(W75,$W$105:$W$106)=1,100,0))</f>
        <v>#N/A</v>
      </c>
      <c r="AA75" s="149">
        <f>MIN(W75:W76)</f>
        <v>6.01</v>
      </c>
      <c r="AB75" s="149">
        <f>MAX(W75:W76)</f>
        <v>10.000299999999999</v>
      </c>
    </row>
    <row r="76" spans="1:29" ht="13.5" thickBot="1" x14ac:dyDescent="0.25">
      <c r="A76" s="173">
        <v>8</v>
      </c>
      <c r="B76" s="649" t="s">
        <v>38</v>
      </c>
      <c r="C76" s="144">
        <v>0</v>
      </c>
      <c r="D76" s="145">
        <v>0</v>
      </c>
      <c r="E76" s="145">
        <v>1</v>
      </c>
      <c r="F76" s="146">
        <v>3</v>
      </c>
      <c r="G76" s="144">
        <v>3</v>
      </c>
      <c r="H76" s="145">
        <v>0</v>
      </c>
      <c r="I76" s="145">
        <v>0</v>
      </c>
      <c r="J76" s="146">
        <v>0</v>
      </c>
      <c r="K76" s="144">
        <v>0</v>
      </c>
      <c r="L76" s="145">
        <v>0</v>
      </c>
      <c r="M76" s="145">
        <v>0</v>
      </c>
      <c r="N76" s="146">
        <v>0</v>
      </c>
      <c r="O76" s="144">
        <v>0</v>
      </c>
      <c r="P76" s="145">
        <v>0</v>
      </c>
      <c r="Q76" s="145">
        <v>0</v>
      </c>
      <c r="R76" s="146">
        <v>3</v>
      </c>
      <c r="S76" s="144">
        <v>0</v>
      </c>
      <c r="T76" s="145">
        <v>0</v>
      </c>
      <c r="U76" s="145">
        <v>0</v>
      </c>
      <c r="V76" s="146">
        <v>0</v>
      </c>
      <c r="W76" s="584">
        <f t="shared" si="7"/>
        <v>10.000299999999999</v>
      </c>
      <c r="X76" s="150" t="str">
        <f t="shared" si="5"/>
        <v>edasi 6</v>
      </c>
      <c r="Y76" s="672">
        <f t="shared" si="6"/>
        <v>32.020699999999998</v>
      </c>
      <c r="Z76" s="152" t="e">
        <f>IF(COUNTA(C76:V76)=0,0,W76+IF(RANK(W76,$W$105:$W$106)=1,100,0))</f>
        <v>#N/A</v>
      </c>
      <c r="AA76" s="149"/>
      <c r="AB76" s="149"/>
    </row>
    <row r="77" spans="1:29" ht="13.5" hidden="1" thickBot="1" x14ac:dyDescent="0.25">
      <c r="A77" s="544"/>
      <c r="B77" s="545" t="s">
        <v>718</v>
      </c>
      <c r="C77" s="144"/>
      <c r="D77" s="145"/>
      <c r="E77" s="145"/>
      <c r="F77" s="146"/>
      <c r="G77" s="144"/>
      <c r="H77" s="145"/>
      <c r="I77" s="145"/>
      <c r="J77" s="146"/>
      <c r="K77" s="144"/>
      <c r="L77" s="145"/>
      <c r="M77" s="145"/>
      <c r="N77" s="146"/>
      <c r="O77" s="144"/>
      <c r="P77" s="145"/>
      <c r="Q77" s="145"/>
      <c r="R77" s="146"/>
      <c r="S77" s="144"/>
      <c r="T77" s="145"/>
      <c r="U77" s="145"/>
      <c r="V77" s="146"/>
      <c r="W77" s="661"/>
      <c r="X77" s="250"/>
      <c r="Z77" s="148"/>
      <c r="AA77" s="149" t="s">
        <v>215</v>
      </c>
      <c r="AB77" s="149" t="s">
        <v>216</v>
      </c>
    </row>
    <row r="78" spans="1:29" ht="13.5" hidden="1" thickBot="1" x14ac:dyDescent="0.25">
      <c r="A78" s="546"/>
      <c r="B78" s="547"/>
      <c r="C78" s="548"/>
      <c r="D78" s="549"/>
      <c r="E78" s="550"/>
      <c r="F78" s="551"/>
      <c r="G78" s="548"/>
      <c r="H78" s="549"/>
      <c r="I78" s="550"/>
      <c r="J78" s="551"/>
      <c r="K78" s="548"/>
      <c r="L78" s="549"/>
      <c r="M78" s="550"/>
      <c r="N78" s="551"/>
      <c r="O78" s="548"/>
      <c r="P78" s="549"/>
      <c r="Q78" s="550"/>
      <c r="R78" s="551"/>
      <c r="S78" s="548"/>
      <c r="T78" s="549"/>
      <c r="U78" s="550"/>
      <c r="V78" s="551"/>
      <c r="W78" s="584" t="str">
        <f t="shared" ref="W78:W97" si="9">IF(COUNTA(C78:V78)=0,"",SUM(C78:V78)+COUNTIF(C78:V78,5)/100+COUNTIF(C78:V78,3)/10000)</f>
        <v/>
      </c>
      <c r="X78" s="552"/>
      <c r="AC78" s="526"/>
    </row>
    <row r="79" spans="1:29" ht="13.5" hidden="1" thickBot="1" x14ac:dyDescent="0.25">
      <c r="A79" s="546"/>
      <c r="B79" s="547"/>
      <c r="C79" s="548"/>
      <c r="D79" s="549"/>
      <c r="E79" s="550"/>
      <c r="F79" s="551"/>
      <c r="G79" s="548"/>
      <c r="H79" s="549"/>
      <c r="I79" s="550"/>
      <c r="J79" s="551"/>
      <c r="K79" s="548"/>
      <c r="L79" s="549"/>
      <c r="M79" s="550"/>
      <c r="N79" s="551"/>
      <c r="O79" s="548"/>
      <c r="P79" s="549"/>
      <c r="Q79" s="550"/>
      <c r="R79" s="551"/>
      <c r="S79" s="548"/>
      <c r="T79" s="549"/>
      <c r="U79" s="550"/>
      <c r="V79" s="551"/>
      <c r="W79" s="584" t="str">
        <f t="shared" si="9"/>
        <v/>
      </c>
      <c r="X79" s="552"/>
      <c r="AC79" s="526"/>
    </row>
    <row r="80" spans="1:29" ht="13.5" hidden="1" thickBot="1" x14ac:dyDescent="0.25">
      <c r="A80" s="546"/>
      <c r="B80" s="553"/>
      <c r="C80" s="548"/>
      <c r="D80" s="549"/>
      <c r="E80" s="550"/>
      <c r="F80" s="551"/>
      <c r="G80" s="548"/>
      <c r="H80" s="549"/>
      <c r="I80" s="550"/>
      <c r="J80" s="551"/>
      <c r="K80" s="548"/>
      <c r="L80" s="549"/>
      <c r="M80" s="550"/>
      <c r="N80" s="551"/>
      <c r="O80" s="548"/>
      <c r="P80" s="549"/>
      <c r="Q80" s="550"/>
      <c r="R80" s="551"/>
      <c r="S80" s="548"/>
      <c r="T80" s="549"/>
      <c r="U80" s="550"/>
      <c r="V80" s="551"/>
      <c r="W80" s="584" t="str">
        <f t="shared" si="9"/>
        <v/>
      </c>
      <c r="X80" s="552"/>
      <c r="AC80" s="526"/>
    </row>
    <row r="81" spans="1:29" ht="13.5" hidden="1" thickBot="1" x14ac:dyDescent="0.25">
      <c r="A81" s="546"/>
      <c r="B81" s="547"/>
      <c r="C81" s="548"/>
      <c r="D81" s="549"/>
      <c r="E81" s="550"/>
      <c r="F81" s="551"/>
      <c r="G81" s="548"/>
      <c r="H81" s="549"/>
      <c r="I81" s="550"/>
      <c r="J81" s="551"/>
      <c r="K81" s="548"/>
      <c r="L81" s="549"/>
      <c r="M81" s="550"/>
      <c r="N81" s="551"/>
      <c r="O81" s="548"/>
      <c r="P81" s="549"/>
      <c r="Q81" s="550"/>
      <c r="R81" s="551"/>
      <c r="S81" s="548"/>
      <c r="T81" s="549"/>
      <c r="U81" s="550"/>
      <c r="V81" s="551"/>
      <c r="W81" s="584" t="str">
        <f t="shared" si="9"/>
        <v/>
      </c>
      <c r="X81" s="552"/>
      <c r="AC81" s="526"/>
    </row>
    <row r="82" spans="1:29" ht="13.5" hidden="1" thickBot="1" x14ac:dyDescent="0.25">
      <c r="A82" s="169"/>
      <c r="B82" s="554"/>
      <c r="C82" s="166"/>
      <c r="D82" s="163"/>
      <c r="E82" s="167"/>
      <c r="F82" s="168"/>
      <c r="G82" s="166"/>
      <c r="H82" s="163"/>
      <c r="I82" s="167"/>
      <c r="J82" s="168"/>
      <c r="K82" s="166"/>
      <c r="L82" s="163"/>
      <c r="M82" s="167"/>
      <c r="N82" s="168"/>
      <c r="O82" s="166"/>
      <c r="P82" s="163"/>
      <c r="Q82" s="167"/>
      <c r="R82" s="168"/>
      <c r="S82" s="166"/>
      <c r="T82" s="163"/>
      <c r="U82" s="167"/>
      <c r="V82" s="168"/>
      <c r="W82" s="584" t="str">
        <f t="shared" si="9"/>
        <v/>
      </c>
      <c r="X82" s="150"/>
      <c r="AC82" s="526"/>
    </row>
    <row r="83" spans="1:29" ht="13.5" hidden="1" thickBot="1" x14ac:dyDescent="0.25">
      <c r="A83" s="169"/>
      <c r="B83" s="259"/>
      <c r="C83" s="166"/>
      <c r="D83" s="163"/>
      <c r="E83" s="167"/>
      <c r="F83" s="168"/>
      <c r="G83" s="166"/>
      <c r="H83" s="163"/>
      <c r="I83" s="167"/>
      <c r="J83" s="168"/>
      <c r="K83" s="166"/>
      <c r="L83" s="163"/>
      <c r="M83" s="167"/>
      <c r="N83" s="168"/>
      <c r="O83" s="166"/>
      <c r="P83" s="163"/>
      <c r="Q83" s="167"/>
      <c r="R83" s="168"/>
      <c r="S83" s="166"/>
      <c r="T83" s="163"/>
      <c r="U83" s="167"/>
      <c r="V83" s="168"/>
      <c r="W83" s="584" t="str">
        <f t="shared" si="9"/>
        <v/>
      </c>
      <c r="X83" s="150"/>
      <c r="AC83" s="526"/>
    </row>
    <row r="84" spans="1:29" ht="13.5" hidden="1" thickBot="1" x14ac:dyDescent="0.25">
      <c r="A84" s="555"/>
      <c r="B84" s="199"/>
      <c r="C84" s="166"/>
      <c r="D84" s="163"/>
      <c r="E84" s="167"/>
      <c r="F84" s="168"/>
      <c r="G84" s="166"/>
      <c r="H84" s="163"/>
      <c r="I84" s="167"/>
      <c r="J84" s="168"/>
      <c r="K84" s="166"/>
      <c r="L84" s="163"/>
      <c r="M84" s="167"/>
      <c r="N84" s="168"/>
      <c r="O84" s="166"/>
      <c r="P84" s="163"/>
      <c r="Q84" s="167"/>
      <c r="R84" s="168"/>
      <c r="S84" s="166"/>
      <c r="T84" s="163"/>
      <c r="U84" s="167"/>
      <c r="V84" s="168"/>
      <c r="W84" s="584" t="str">
        <f t="shared" si="9"/>
        <v/>
      </c>
      <c r="X84" s="150"/>
    </row>
    <row r="85" spans="1:29" ht="13.5" hidden="1" thickBot="1" x14ac:dyDescent="0.25">
      <c r="A85" s="555"/>
      <c r="B85" s="199"/>
      <c r="C85" s="166"/>
      <c r="D85" s="163"/>
      <c r="E85" s="167"/>
      <c r="F85" s="168"/>
      <c r="G85" s="166"/>
      <c r="H85" s="163"/>
      <c r="I85" s="167"/>
      <c r="J85" s="168"/>
      <c r="K85" s="166"/>
      <c r="L85" s="163"/>
      <c r="M85" s="167"/>
      <c r="N85" s="168"/>
      <c r="O85" s="166"/>
      <c r="P85" s="163"/>
      <c r="Q85" s="167"/>
      <c r="R85" s="168"/>
      <c r="S85" s="166"/>
      <c r="T85" s="163"/>
      <c r="U85" s="167"/>
      <c r="V85" s="168"/>
      <c r="W85" s="584" t="str">
        <f t="shared" si="9"/>
        <v/>
      </c>
      <c r="X85" s="150"/>
    </row>
    <row r="86" spans="1:29" ht="13.5" hidden="1" thickBot="1" x14ac:dyDescent="0.25">
      <c r="A86" s="546"/>
      <c r="B86" s="547"/>
      <c r="C86" s="548"/>
      <c r="D86" s="549"/>
      <c r="E86" s="550"/>
      <c r="F86" s="551"/>
      <c r="G86" s="548"/>
      <c r="H86" s="549"/>
      <c r="I86" s="550"/>
      <c r="J86" s="551"/>
      <c r="K86" s="548"/>
      <c r="L86" s="549"/>
      <c r="M86" s="550"/>
      <c r="N86" s="551"/>
      <c r="O86" s="548"/>
      <c r="P86" s="549"/>
      <c r="Q86" s="550"/>
      <c r="R86" s="551"/>
      <c r="S86" s="548"/>
      <c r="T86" s="549"/>
      <c r="U86" s="550"/>
      <c r="V86" s="551"/>
      <c r="W86" s="584" t="str">
        <f t="shared" si="9"/>
        <v/>
      </c>
      <c r="X86" s="552"/>
      <c r="AC86" s="526"/>
    </row>
    <row r="87" spans="1:29" ht="13.5" hidden="1" thickBot="1" x14ac:dyDescent="0.25">
      <c r="A87" s="546"/>
      <c r="B87" s="547"/>
      <c r="C87" s="548"/>
      <c r="D87" s="549"/>
      <c r="E87" s="550"/>
      <c r="F87" s="551"/>
      <c r="G87" s="548"/>
      <c r="H87" s="549"/>
      <c r="I87" s="550"/>
      <c r="J87" s="551"/>
      <c r="K87" s="548"/>
      <c r="L87" s="549"/>
      <c r="M87" s="550"/>
      <c r="N87" s="551"/>
      <c r="O87" s="548"/>
      <c r="P87" s="549"/>
      <c r="Q87" s="550"/>
      <c r="R87" s="551"/>
      <c r="S87" s="548"/>
      <c r="T87" s="549"/>
      <c r="U87" s="550"/>
      <c r="V87" s="551"/>
      <c r="W87" s="584" t="str">
        <f t="shared" si="9"/>
        <v/>
      </c>
      <c r="X87" s="552"/>
      <c r="AC87" s="526"/>
    </row>
    <row r="88" spans="1:29" ht="13.5" hidden="1" thickBot="1" x14ac:dyDescent="0.25">
      <c r="A88" s="546"/>
      <c r="B88" s="553"/>
      <c r="C88" s="548"/>
      <c r="D88" s="549"/>
      <c r="E88" s="550"/>
      <c r="F88" s="551"/>
      <c r="G88" s="548"/>
      <c r="H88" s="549"/>
      <c r="I88" s="550"/>
      <c r="J88" s="551"/>
      <c r="K88" s="548"/>
      <c r="L88" s="549"/>
      <c r="M88" s="550"/>
      <c r="N88" s="551"/>
      <c r="O88" s="548"/>
      <c r="P88" s="549"/>
      <c r="Q88" s="550"/>
      <c r="R88" s="551"/>
      <c r="S88" s="548"/>
      <c r="T88" s="549"/>
      <c r="U88" s="550"/>
      <c r="V88" s="551"/>
      <c r="W88" s="584" t="str">
        <f t="shared" si="9"/>
        <v/>
      </c>
      <c r="X88" s="552"/>
      <c r="AC88" s="526"/>
    </row>
    <row r="89" spans="1:29" ht="13.5" hidden="1" thickBot="1" x14ac:dyDescent="0.25">
      <c r="A89" s="546"/>
      <c r="B89" s="547"/>
      <c r="C89" s="548"/>
      <c r="D89" s="549"/>
      <c r="E89" s="550"/>
      <c r="F89" s="551"/>
      <c r="G89" s="548"/>
      <c r="H89" s="549"/>
      <c r="I89" s="550"/>
      <c r="J89" s="551"/>
      <c r="K89" s="548"/>
      <c r="L89" s="549"/>
      <c r="M89" s="550"/>
      <c r="N89" s="551"/>
      <c r="O89" s="548"/>
      <c r="P89" s="549"/>
      <c r="Q89" s="550"/>
      <c r="R89" s="551"/>
      <c r="S89" s="548"/>
      <c r="T89" s="549"/>
      <c r="U89" s="550"/>
      <c r="V89" s="551"/>
      <c r="W89" s="584" t="str">
        <f t="shared" si="9"/>
        <v/>
      </c>
      <c r="X89" s="552"/>
      <c r="AC89" s="526"/>
    </row>
    <row r="90" spans="1:29" ht="13.5" hidden="1" thickBot="1" x14ac:dyDescent="0.25">
      <c r="A90" s="169"/>
      <c r="B90" s="554"/>
      <c r="C90" s="166"/>
      <c r="D90" s="163"/>
      <c r="E90" s="167"/>
      <c r="F90" s="168"/>
      <c r="G90" s="166"/>
      <c r="H90" s="163"/>
      <c r="I90" s="167"/>
      <c r="J90" s="168"/>
      <c r="K90" s="166"/>
      <c r="L90" s="163"/>
      <c r="M90" s="167"/>
      <c r="N90" s="168"/>
      <c r="O90" s="166"/>
      <c r="P90" s="163"/>
      <c r="Q90" s="167"/>
      <c r="R90" s="168"/>
      <c r="S90" s="166"/>
      <c r="T90" s="163"/>
      <c r="U90" s="167"/>
      <c r="V90" s="168"/>
      <c r="W90" s="584" t="str">
        <f t="shared" si="9"/>
        <v/>
      </c>
      <c r="X90" s="150"/>
      <c r="AC90" s="526"/>
    </row>
    <row r="91" spans="1:29" ht="13.5" hidden="1" thickBot="1" x14ac:dyDescent="0.25">
      <c r="A91" s="169"/>
      <c r="B91" s="259"/>
      <c r="C91" s="166"/>
      <c r="D91" s="163"/>
      <c r="E91" s="167"/>
      <c r="F91" s="168"/>
      <c r="G91" s="166"/>
      <c r="H91" s="163"/>
      <c r="I91" s="167"/>
      <c r="J91" s="168"/>
      <c r="K91" s="166"/>
      <c r="L91" s="163"/>
      <c r="M91" s="167"/>
      <c r="N91" s="168"/>
      <c r="O91" s="166"/>
      <c r="P91" s="163"/>
      <c r="Q91" s="167"/>
      <c r="R91" s="168"/>
      <c r="S91" s="166"/>
      <c r="T91" s="163"/>
      <c r="U91" s="167"/>
      <c r="V91" s="168"/>
      <c r="W91" s="584" t="str">
        <f t="shared" si="9"/>
        <v/>
      </c>
      <c r="X91" s="150"/>
      <c r="AC91" s="526"/>
    </row>
    <row r="92" spans="1:29" ht="13.5" hidden="1" thickBot="1" x14ac:dyDescent="0.25">
      <c r="A92" s="555"/>
      <c r="B92" s="199"/>
      <c r="C92" s="166"/>
      <c r="D92" s="163"/>
      <c r="E92" s="167"/>
      <c r="F92" s="168"/>
      <c r="G92" s="166"/>
      <c r="H92" s="163"/>
      <c r="I92" s="167"/>
      <c r="J92" s="168"/>
      <c r="K92" s="166"/>
      <c r="L92" s="163"/>
      <c r="M92" s="167"/>
      <c r="N92" s="168"/>
      <c r="O92" s="166"/>
      <c r="P92" s="163"/>
      <c r="Q92" s="167"/>
      <c r="R92" s="168"/>
      <c r="S92" s="166"/>
      <c r="T92" s="163"/>
      <c r="U92" s="167"/>
      <c r="V92" s="168"/>
      <c r="W92" s="584" t="str">
        <f t="shared" si="9"/>
        <v/>
      </c>
      <c r="X92" s="150"/>
    </row>
    <row r="93" spans="1:29" ht="13.5" hidden="1" thickBot="1" x14ac:dyDescent="0.25">
      <c r="A93" s="555"/>
      <c r="B93" s="199"/>
      <c r="C93" s="166"/>
      <c r="D93" s="163"/>
      <c r="E93" s="167"/>
      <c r="F93" s="168"/>
      <c r="G93" s="166"/>
      <c r="H93" s="163"/>
      <c r="I93" s="167"/>
      <c r="J93" s="168"/>
      <c r="K93" s="166"/>
      <c r="L93" s="163"/>
      <c r="M93" s="167"/>
      <c r="N93" s="168"/>
      <c r="O93" s="166"/>
      <c r="P93" s="163"/>
      <c r="Q93" s="167"/>
      <c r="R93" s="168"/>
      <c r="S93" s="166"/>
      <c r="T93" s="163"/>
      <c r="U93" s="167"/>
      <c r="V93" s="168"/>
      <c r="W93" s="584" t="str">
        <f t="shared" si="9"/>
        <v/>
      </c>
      <c r="X93" s="150"/>
    </row>
    <row r="94" spans="1:29" ht="13.5" hidden="1" thickBot="1" x14ac:dyDescent="0.25">
      <c r="A94" s="546"/>
      <c r="B94" s="553"/>
      <c r="C94" s="548"/>
      <c r="D94" s="549"/>
      <c r="E94" s="550"/>
      <c r="F94" s="551"/>
      <c r="G94" s="548"/>
      <c r="H94" s="549"/>
      <c r="I94" s="550"/>
      <c r="J94" s="551"/>
      <c r="K94" s="548"/>
      <c r="L94" s="549"/>
      <c r="M94" s="550"/>
      <c r="N94" s="551"/>
      <c r="O94" s="548"/>
      <c r="P94" s="549"/>
      <c r="Q94" s="550"/>
      <c r="R94" s="551"/>
      <c r="S94" s="548"/>
      <c r="T94" s="549"/>
      <c r="U94" s="550"/>
      <c r="V94" s="551"/>
      <c r="W94" s="584" t="str">
        <f t="shared" si="9"/>
        <v/>
      </c>
      <c r="X94" s="552"/>
    </row>
    <row r="95" spans="1:29" ht="13.5" hidden="1" thickBot="1" x14ac:dyDescent="0.25">
      <c r="A95" s="546"/>
      <c r="B95" s="553"/>
      <c r="C95" s="548"/>
      <c r="D95" s="549"/>
      <c r="E95" s="550"/>
      <c r="F95" s="551"/>
      <c r="G95" s="548"/>
      <c r="H95" s="549"/>
      <c r="I95" s="550"/>
      <c r="J95" s="551"/>
      <c r="K95" s="548"/>
      <c r="L95" s="549"/>
      <c r="M95" s="550"/>
      <c r="N95" s="551"/>
      <c r="O95" s="548"/>
      <c r="P95" s="549"/>
      <c r="Q95" s="550"/>
      <c r="R95" s="551"/>
      <c r="S95" s="548"/>
      <c r="T95" s="549"/>
      <c r="U95" s="550"/>
      <c r="V95" s="551"/>
      <c r="W95" s="584" t="str">
        <f t="shared" si="9"/>
        <v/>
      </c>
      <c r="X95" s="552"/>
    </row>
    <row r="96" spans="1:29" ht="13.5" hidden="1" thickBot="1" x14ac:dyDescent="0.25">
      <c r="A96" s="546"/>
      <c r="B96" s="547"/>
      <c r="C96" s="548"/>
      <c r="D96" s="549"/>
      <c r="E96" s="550"/>
      <c r="F96" s="551"/>
      <c r="G96" s="548"/>
      <c r="H96" s="549"/>
      <c r="I96" s="550"/>
      <c r="J96" s="551"/>
      <c r="K96" s="548"/>
      <c r="L96" s="549"/>
      <c r="M96" s="550"/>
      <c r="N96" s="551"/>
      <c r="O96" s="548"/>
      <c r="P96" s="549"/>
      <c r="Q96" s="550"/>
      <c r="R96" s="551"/>
      <c r="S96" s="548"/>
      <c r="T96" s="549"/>
      <c r="U96" s="550"/>
      <c r="V96" s="551"/>
      <c r="W96" s="584" t="str">
        <f t="shared" si="9"/>
        <v/>
      </c>
      <c r="X96" s="552"/>
    </row>
    <row r="97" spans="1:29" ht="13.5" hidden="1" thickBot="1" x14ac:dyDescent="0.25">
      <c r="A97" s="546"/>
      <c r="B97" s="556"/>
      <c r="C97" s="548"/>
      <c r="D97" s="549"/>
      <c r="E97" s="550"/>
      <c r="F97" s="551"/>
      <c r="G97" s="548"/>
      <c r="H97" s="549"/>
      <c r="I97" s="550"/>
      <c r="J97" s="551"/>
      <c r="K97" s="548"/>
      <c r="L97" s="549"/>
      <c r="M97" s="550"/>
      <c r="N97" s="551"/>
      <c r="O97" s="548"/>
      <c r="P97" s="549"/>
      <c r="Q97" s="550"/>
      <c r="R97" s="551"/>
      <c r="S97" s="548"/>
      <c r="T97" s="549"/>
      <c r="U97" s="550"/>
      <c r="V97" s="551"/>
      <c r="W97" s="584" t="str">
        <f t="shared" si="9"/>
        <v/>
      </c>
      <c r="X97" s="552"/>
    </row>
    <row r="98" spans="1:29" ht="13.5" hidden="1" thickBot="1" x14ac:dyDescent="0.25">
      <c r="A98" s="169"/>
      <c r="B98" s="554"/>
      <c r="C98" s="166"/>
      <c r="D98" s="163"/>
      <c r="E98" s="167"/>
      <c r="F98" s="168"/>
      <c r="G98" s="166"/>
      <c r="H98" s="163"/>
      <c r="I98" s="167"/>
      <c r="J98" s="168"/>
      <c r="K98" s="166"/>
      <c r="L98" s="163"/>
      <c r="M98" s="167"/>
      <c r="N98" s="168"/>
      <c r="O98" s="166"/>
      <c r="P98" s="163"/>
      <c r="Q98" s="167"/>
      <c r="R98" s="168"/>
      <c r="S98" s="166"/>
      <c r="T98" s="163"/>
      <c r="U98" s="167"/>
      <c r="V98" s="168"/>
      <c r="W98" s="584" t="str">
        <f t="shared" ref="W98:W101" si="10">IF(COUNTA(C98:V98)=0,"",SUM(C98:V98)+COUNTIF(C98:V98,5)/100+COUNTIF(C98:V98,3)/10000)</f>
        <v/>
      </c>
      <c r="X98" s="150"/>
      <c r="AC98" s="526"/>
    </row>
    <row r="99" spans="1:29" ht="13.5" hidden="1" thickBot="1" x14ac:dyDescent="0.25">
      <c r="A99" s="169"/>
      <c r="B99" s="259"/>
      <c r="C99" s="166"/>
      <c r="D99" s="163"/>
      <c r="E99" s="167"/>
      <c r="F99" s="168"/>
      <c r="G99" s="166"/>
      <c r="H99" s="163"/>
      <c r="I99" s="167"/>
      <c r="J99" s="168"/>
      <c r="K99" s="166"/>
      <c r="L99" s="163"/>
      <c r="M99" s="167"/>
      <c r="N99" s="168"/>
      <c r="O99" s="166"/>
      <c r="P99" s="163"/>
      <c r="Q99" s="167"/>
      <c r="R99" s="168"/>
      <c r="S99" s="166"/>
      <c r="T99" s="163"/>
      <c r="U99" s="167"/>
      <c r="V99" s="168"/>
      <c r="W99" s="584" t="str">
        <f t="shared" si="10"/>
        <v/>
      </c>
      <c r="X99" s="150"/>
      <c r="AC99" s="526"/>
    </row>
    <row r="100" spans="1:29" ht="13.5" hidden="1" thickBot="1" x14ac:dyDescent="0.25">
      <c r="A100" s="555"/>
      <c r="B100" s="199"/>
      <c r="C100" s="166"/>
      <c r="D100" s="163"/>
      <c r="E100" s="167"/>
      <c r="F100" s="168"/>
      <c r="G100" s="166"/>
      <c r="H100" s="163"/>
      <c r="I100" s="167"/>
      <c r="J100" s="168"/>
      <c r="K100" s="166"/>
      <c r="L100" s="163"/>
      <c r="M100" s="167"/>
      <c r="N100" s="168"/>
      <c r="O100" s="166"/>
      <c r="P100" s="163"/>
      <c r="Q100" s="167"/>
      <c r="R100" s="168"/>
      <c r="S100" s="166"/>
      <c r="T100" s="163"/>
      <c r="U100" s="167"/>
      <c r="V100" s="168"/>
      <c r="W100" s="584" t="str">
        <f t="shared" si="10"/>
        <v/>
      </c>
      <c r="X100" s="150"/>
    </row>
    <row r="101" spans="1:29" ht="13.5" hidden="1" thickBot="1" x14ac:dyDescent="0.25">
      <c r="A101" s="557"/>
      <c r="B101" s="558"/>
      <c r="C101" s="559"/>
      <c r="D101" s="190"/>
      <c r="E101" s="560"/>
      <c r="F101" s="561"/>
      <c r="G101" s="559"/>
      <c r="H101" s="190"/>
      <c r="I101" s="560"/>
      <c r="J101" s="561"/>
      <c r="K101" s="559"/>
      <c r="L101" s="190"/>
      <c r="M101" s="560"/>
      <c r="N101" s="561"/>
      <c r="O101" s="559"/>
      <c r="P101" s="190"/>
      <c r="Q101" s="560"/>
      <c r="R101" s="561"/>
      <c r="S101" s="559"/>
      <c r="T101" s="190"/>
      <c r="U101" s="560"/>
      <c r="V101" s="561"/>
      <c r="W101" s="591" t="str">
        <f t="shared" si="10"/>
        <v/>
      </c>
      <c r="X101" s="159"/>
    </row>
    <row r="102" spans="1:29" x14ac:dyDescent="0.2">
      <c r="A102" s="544"/>
      <c r="B102" s="246" t="s">
        <v>214</v>
      </c>
      <c r="C102" s="247"/>
      <c r="D102" s="248"/>
      <c r="E102" s="248"/>
      <c r="F102" s="249"/>
      <c r="G102" s="247"/>
      <c r="H102" s="248"/>
      <c r="I102" s="248"/>
      <c r="J102" s="249"/>
      <c r="K102" s="247"/>
      <c r="L102" s="248"/>
      <c r="M102" s="248"/>
      <c r="N102" s="249"/>
      <c r="O102" s="247"/>
      <c r="P102" s="248"/>
      <c r="Q102" s="248"/>
      <c r="R102" s="249"/>
      <c r="S102" s="247"/>
      <c r="T102" s="248"/>
      <c r="U102" s="248"/>
      <c r="V102" s="249"/>
      <c r="W102" s="673" t="str">
        <f t="shared" si="3"/>
        <v/>
      </c>
      <c r="X102" s="250"/>
      <c r="Y102" s="511"/>
      <c r="Z102" s="148"/>
      <c r="AA102" s="149" t="s">
        <v>215</v>
      </c>
      <c r="AB102" s="149" t="s">
        <v>216</v>
      </c>
    </row>
    <row r="103" spans="1:29" x14ac:dyDescent="0.2">
      <c r="A103" s="556">
        <v>1</v>
      </c>
      <c r="B103" s="662" t="s">
        <v>166</v>
      </c>
      <c r="C103" s="581">
        <v>3</v>
      </c>
      <c r="D103" s="582">
        <v>3</v>
      </c>
      <c r="E103" s="582">
        <v>3</v>
      </c>
      <c r="F103" s="583">
        <v>0</v>
      </c>
      <c r="G103" s="581">
        <v>0</v>
      </c>
      <c r="H103" s="582">
        <v>0</v>
      </c>
      <c r="I103" s="582">
        <v>0</v>
      </c>
      <c r="J103" s="583">
        <v>0</v>
      </c>
      <c r="K103" s="581">
        <v>1</v>
      </c>
      <c r="L103" s="582">
        <v>1</v>
      </c>
      <c r="M103" s="582">
        <v>1</v>
      </c>
      <c r="N103" s="583">
        <v>0</v>
      </c>
      <c r="O103" s="581">
        <v>0</v>
      </c>
      <c r="P103" s="582">
        <v>5</v>
      </c>
      <c r="Q103" s="582">
        <v>0</v>
      </c>
      <c r="R103" s="583">
        <v>0</v>
      </c>
      <c r="S103" s="581">
        <v>0</v>
      </c>
      <c r="T103" s="582">
        <v>0</v>
      </c>
      <c r="U103" s="582">
        <v>0</v>
      </c>
      <c r="V103" s="583">
        <v>0</v>
      </c>
      <c r="W103" s="584">
        <f t="shared" si="3"/>
        <v>17.010300000000001</v>
      </c>
      <c r="X103" s="585" t="str">
        <f>IF(ISBLANK(C103),"",IF(W103=W104,"edasi "&amp;RANK(W103,$AB$103:$AB$110),(IF(RANK(Z103,$Z$103:$Z$104)&lt;2,"edasi "&amp;RANK(W103,$AB$103:$AB$110),RANK(W103,$AA$103:$AA$110)+4))))</f>
        <v>edasi 3</v>
      </c>
      <c r="Z103" s="151">
        <f>IF(COUNTA(C103:V103)=0,100,W103+IF(RANK(W103,$W$103:$W$104)=1,100,0))</f>
        <v>117.0103</v>
      </c>
      <c r="AA103" s="149">
        <f>MIN(W103:W104)</f>
        <v>13.000400000000001</v>
      </c>
      <c r="AB103" s="149">
        <f>MAX(W103:W104)</f>
        <v>17.010300000000001</v>
      </c>
    </row>
    <row r="104" spans="1:29" x14ac:dyDescent="0.2">
      <c r="A104" s="556">
        <v>8</v>
      </c>
      <c r="B104" s="586" t="s">
        <v>41</v>
      </c>
      <c r="C104" s="581">
        <v>0</v>
      </c>
      <c r="D104" s="582">
        <v>3</v>
      </c>
      <c r="E104" s="582">
        <v>0</v>
      </c>
      <c r="F104" s="583">
        <v>0</v>
      </c>
      <c r="G104" s="581">
        <v>0</v>
      </c>
      <c r="H104" s="582">
        <v>0</v>
      </c>
      <c r="I104" s="582">
        <v>0</v>
      </c>
      <c r="J104" s="583">
        <v>3</v>
      </c>
      <c r="K104" s="581">
        <v>0</v>
      </c>
      <c r="L104" s="582">
        <v>1</v>
      </c>
      <c r="M104" s="582">
        <v>0</v>
      </c>
      <c r="N104" s="583">
        <v>3</v>
      </c>
      <c r="O104" s="581">
        <v>0</v>
      </c>
      <c r="P104" s="582">
        <v>0</v>
      </c>
      <c r="Q104" s="582">
        <v>0</v>
      </c>
      <c r="R104" s="583">
        <v>3</v>
      </c>
      <c r="S104" s="581">
        <v>0</v>
      </c>
      <c r="T104" s="582">
        <v>0</v>
      </c>
      <c r="U104" s="582">
        <v>0</v>
      </c>
      <c r="V104" s="583">
        <v>0</v>
      </c>
      <c r="W104" s="584">
        <f t="shared" si="3"/>
        <v>13.000400000000001</v>
      </c>
      <c r="X104" s="585">
        <f>IF(ISBLANK(C104),"",IF(RANK(Z104,$Z$103:$Z$104)&lt;2,"edasi "&amp;RANK(W104,$AB$103:$AB$110),RANK(W104,$AA$103:$AA$110)+4))</f>
        <v>7</v>
      </c>
      <c r="Z104" s="152">
        <f>IF(COUNTA(C104:V104)=0,0,W104+IF(RANK(W104,$W$103:$W$104)=1,100,0))</f>
        <v>13.000400000000001</v>
      </c>
      <c r="AA104" s="149"/>
      <c r="AB104" s="149"/>
    </row>
    <row r="105" spans="1:29" x14ac:dyDescent="0.2">
      <c r="A105" s="173">
        <v>4</v>
      </c>
      <c r="B105" s="193" t="s">
        <v>177</v>
      </c>
      <c r="C105" s="144">
        <v>3</v>
      </c>
      <c r="D105" s="145">
        <v>0</v>
      </c>
      <c r="E105" s="145">
        <v>0</v>
      </c>
      <c r="F105" s="146">
        <v>3</v>
      </c>
      <c r="G105" s="144">
        <v>0</v>
      </c>
      <c r="H105" s="145">
        <v>1</v>
      </c>
      <c r="I105" s="145">
        <v>0</v>
      </c>
      <c r="J105" s="146">
        <v>0</v>
      </c>
      <c r="K105" s="144">
        <v>0</v>
      </c>
      <c r="L105" s="145">
        <v>0</v>
      </c>
      <c r="M105" s="145">
        <v>1</v>
      </c>
      <c r="N105" s="146">
        <v>0</v>
      </c>
      <c r="O105" s="144">
        <v>0</v>
      </c>
      <c r="P105" s="145">
        <v>1</v>
      </c>
      <c r="Q105" s="145">
        <v>0</v>
      </c>
      <c r="R105" s="146">
        <v>0</v>
      </c>
      <c r="S105" s="144">
        <v>0</v>
      </c>
      <c r="T105" s="145">
        <v>0</v>
      </c>
      <c r="U105" s="145">
        <v>0</v>
      </c>
      <c r="V105" s="146">
        <v>0</v>
      </c>
      <c r="W105" s="584">
        <f t="shared" si="3"/>
        <v>9.0001999999999995</v>
      </c>
      <c r="X105" s="147">
        <f>IF(ISBLANK(C105),"",IF(RANK(Z105,$Z$105:$Z$106)&lt;2,"edasi "&amp;RANK(W105,$AB$103:$AB$110),RANK(W105,$AA$103:$AA$110)+4))</f>
        <v>8</v>
      </c>
      <c r="Z105" s="151">
        <f>IF(COUNTA(C105:V105)=0,100,W105+IF(RANK(W105,$W$105:$W$106)=1,100,0))</f>
        <v>9.0001999999999995</v>
      </c>
      <c r="AA105" s="149">
        <f>MIN(W105:W106)</f>
        <v>9.0001999999999995</v>
      </c>
      <c r="AB105" s="149">
        <f>MAX(W105:W106)</f>
        <v>16.010300000000001</v>
      </c>
    </row>
    <row r="106" spans="1:29" x14ac:dyDescent="0.2">
      <c r="A106" s="173">
        <v>5</v>
      </c>
      <c r="B106" s="649" t="s">
        <v>45</v>
      </c>
      <c r="C106" s="144">
        <v>3</v>
      </c>
      <c r="D106" s="145">
        <v>0</v>
      </c>
      <c r="E106" s="145">
        <v>3</v>
      </c>
      <c r="F106" s="146">
        <v>0</v>
      </c>
      <c r="G106" s="144">
        <v>3</v>
      </c>
      <c r="H106" s="145">
        <v>0</v>
      </c>
      <c r="I106" s="145">
        <v>0</v>
      </c>
      <c r="J106" s="146">
        <v>1</v>
      </c>
      <c r="K106" s="144">
        <v>0</v>
      </c>
      <c r="L106" s="145">
        <v>1</v>
      </c>
      <c r="M106" s="145">
        <v>0</v>
      </c>
      <c r="N106" s="146">
        <v>0</v>
      </c>
      <c r="O106" s="144">
        <v>0</v>
      </c>
      <c r="P106" s="145">
        <v>0</v>
      </c>
      <c r="Q106" s="145">
        <v>0</v>
      </c>
      <c r="R106" s="146">
        <v>0</v>
      </c>
      <c r="S106" s="144">
        <v>0</v>
      </c>
      <c r="T106" s="145">
        <v>5</v>
      </c>
      <c r="U106" s="145">
        <v>0</v>
      </c>
      <c r="V106" s="146">
        <v>0</v>
      </c>
      <c r="W106" s="584">
        <f t="shared" si="3"/>
        <v>16.010300000000001</v>
      </c>
      <c r="X106" s="147" t="str">
        <f>IF(ISBLANK(C106),"",IF(RANK(Z106,$Z$105:$Z$106)&lt;2,"edasi "&amp;RANK(W106,$AB$103:$AB$110),RANK(W106,$AA$103:$AA$110)+4))</f>
        <v>edasi 4</v>
      </c>
      <c r="Z106" s="152">
        <f>IF(COUNTA(C106:V106)=0,0,W106+IF(RANK(W106,$W$105:$W$106)=1,100,0))</f>
        <v>116.0103</v>
      </c>
      <c r="AA106" s="149"/>
      <c r="AB106" s="149"/>
    </row>
    <row r="107" spans="1:29" x14ac:dyDescent="0.2">
      <c r="A107" s="556">
        <v>3</v>
      </c>
      <c r="B107" s="674" t="s">
        <v>34</v>
      </c>
      <c r="C107" s="581">
        <v>3</v>
      </c>
      <c r="D107" s="582">
        <v>3</v>
      </c>
      <c r="E107" s="582">
        <v>1</v>
      </c>
      <c r="F107" s="583">
        <v>0</v>
      </c>
      <c r="G107" s="581">
        <v>0</v>
      </c>
      <c r="H107" s="582">
        <v>0</v>
      </c>
      <c r="I107" s="582">
        <v>0</v>
      </c>
      <c r="J107" s="583">
        <v>0</v>
      </c>
      <c r="K107" s="581">
        <v>3</v>
      </c>
      <c r="L107" s="582">
        <v>0</v>
      </c>
      <c r="M107" s="582">
        <v>1</v>
      </c>
      <c r="N107" s="583">
        <v>3</v>
      </c>
      <c r="O107" s="581">
        <v>3</v>
      </c>
      <c r="P107" s="582">
        <v>0</v>
      </c>
      <c r="Q107" s="582">
        <v>1</v>
      </c>
      <c r="R107" s="583">
        <v>0</v>
      </c>
      <c r="S107" s="581">
        <v>0</v>
      </c>
      <c r="T107" s="582">
        <v>0</v>
      </c>
      <c r="U107" s="582">
        <v>5</v>
      </c>
      <c r="V107" s="583">
        <v>0</v>
      </c>
      <c r="W107" s="584">
        <f t="shared" si="3"/>
        <v>23.0105</v>
      </c>
      <c r="X107" s="585">
        <f>IF(ISBLANK(C107),"",IF(RANK(Z107,$Z$107:$Z$108)&lt;2,"edasi "&amp;RANK(W107,$AB$103:$AB$110),RANK(W107,$AA$103:$AA$110)+4))</f>
        <v>5</v>
      </c>
      <c r="Z107" s="151">
        <f>IF(COUNTA(C107:V107)=0,100,W107+IF(RANK(W107,$W$107:$W$108)=1,100,0))</f>
        <v>23.0105</v>
      </c>
      <c r="AA107" s="149">
        <f>MIN(W107:W108)</f>
        <v>23.0105</v>
      </c>
      <c r="AB107" s="149">
        <f>MAX(W107:W108)</f>
        <v>24.020399999999999</v>
      </c>
    </row>
    <row r="108" spans="1:29" x14ac:dyDescent="0.2">
      <c r="A108" s="556">
        <v>6</v>
      </c>
      <c r="B108" s="674" t="s">
        <v>38</v>
      </c>
      <c r="C108" s="581">
        <v>3</v>
      </c>
      <c r="D108" s="582">
        <v>0</v>
      </c>
      <c r="E108" s="582">
        <v>0</v>
      </c>
      <c r="F108" s="583">
        <v>0</v>
      </c>
      <c r="G108" s="581">
        <v>1</v>
      </c>
      <c r="H108" s="582">
        <v>3</v>
      </c>
      <c r="I108" s="582">
        <v>1</v>
      </c>
      <c r="J108" s="583">
        <v>0</v>
      </c>
      <c r="K108" s="581">
        <v>0</v>
      </c>
      <c r="L108" s="582">
        <v>0</v>
      </c>
      <c r="M108" s="582">
        <v>0</v>
      </c>
      <c r="N108" s="583">
        <v>3</v>
      </c>
      <c r="O108" s="581">
        <v>0</v>
      </c>
      <c r="P108" s="582">
        <v>0</v>
      </c>
      <c r="Q108" s="582">
        <v>3</v>
      </c>
      <c r="R108" s="583">
        <v>0</v>
      </c>
      <c r="S108" s="581">
        <v>5</v>
      </c>
      <c r="T108" s="582">
        <v>0</v>
      </c>
      <c r="U108" s="582">
        <v>0</v>
      </c>
      <c r="V108" s="583">
        <v>5</v>
      </c>
      <c r="W108" s="584">
        <f t="shared" si="3"/>
        <v>24.020399999999999</v>
      </c>
      <c r="X108" s="585" t="str">
        <f>IF(ISBLANK(C108),"",IF(RANK(Z108,$Z$107:$Z$108)&lt;2,"edasi "&amp;RANK(W108,$AB$103:$AB$110),RANK(W108,$AA$103:$AA$110)+4))</f>
        <v>edasi 1</v>
      </c>
      <c r="Z108" s="152">
        <f>IF(COUNTA(C108:V108)=0,0,W108+IF(RANK(W108,$W$107:$W$108)=1,100,0))</f>
        <v>124.0204</v>
      </c>
      <c r="AA108" s="149"/>
      <c r="AB108" s="149"/>
    </row>
    <row r="109" spans="1:29" x14ac:dyDescent="0.2">
      <c r="A109" s="173">
        <v>2</v>
      </c>
      <c r="B109" s="589" t="s">
        <v>64</v>
      </c>
      <c r="C109" s="144">
        <v>3</v>
      </c>
      <c r="D109" s="145">
        <v>1</v>
      </c>
      <c r="E109" s="145">
        <v>1</v>
      </c>
      <c r="F109" s="146">
        <v>3</v>
      </c>
      <c r="G109" s="144">
        <v>0</v>
      </c>
      <c r="H109" s="145">
        <v>0</v>
      </c>
      <c r="I109" s="145">
        <v>0</v>
      </c>
      <c r="J109" s="146">
        <v>0</v>
      </c>
      <c r="K109" s="144">
        <v>1</v>
      </c>
      <c r="L109" s="145">
        <v>3</v>
      </c>
      <c r="M109" s="145">
        <v>0</v>
      </c>
      <c r="N109" s="146">
        <v>0</v>
      </c>
      <c r="O109" s="144">
        <v>5</v>
      </c>
      <c r="P109" s="145">
        <v>0</v>
      </c>
      <c r="Q109" s="145">
        <v>0</v>
      </c>
      <c r="R109" s="146">
        <v>0</v>
      </c>
      <c r="S109" s="144">
        <v>0</v>
      </c>
      <c r="T109" s="145">
        <v>0</v>
      </c>
      <c r="U109" s="145">
        <v>0</v>
      </c>
      <c r="V109" s="146">
        <v>3</v>
      </c>
      <c r="W109" s="584">
        <f t="shared" si="3"/>
        <v>20.010400000000001</v>
      </c>
      <c r="X109" s="147">
        <f>IF(ISBLANK(C109),"",IF(RANK(Z109,$Z$109:$Z$110)&lt;2,"edasi "&amp;RANK(W109,$AB$103:$AB$110),RANK(W109,$AA$103:$AA$110)+4))</f>
        <v>6</v>
      </c>
      <c r="Z109" s="151">
        <f>IF(COUNTA(C109:V109)=0,100,W109+IF(RANK(W109,$W$109:$W$110)=1,100,0))</f>
        <v>20.010400000000001</v>
      </c>
      <c r="AA109" s="149">
        <f>MIN(W109:W110)</f>
        <v>20.010400000000001</v>
      </c>
      <c r="AB109" s="149">
        <f>MAX(W109:W110)</f>
        <v>22.0105</v>
      </c>
    </row>
    <row r="110" spans="1:29" ht="13.5" thickBot="1" x14ac:dyDescent="0.25">
      <c r="A110" s="177">
        <v>7</v>
      </c>
      <c r="B110" s="590" t="s">
        <v>35</v>
      </c>
      <c r="C110" s="156">
        <v>0</v>
      </c>
      <c r="D110" s="157">
        <v>1</v>
      </c>
      <c r="E110" s="157">
        <v>3</v>
      </c>
      <c r="F110" s="158">
        <v>3</v>
      </c>
      <c r="G110" s="156">
        <v>0</v>
      </c>
      <c r="H110" s="157">
        <v>0</v>
      </c>
      <c r="I110" s="157">
        <v>3</v>
      </c>
      <c r="J110" s="158">
        <v>0</v>
      </c>
      <c r="K110" s="156">
        <v>1</v>
      </c>
      <c r="L110" s="157">
        <v>3</v>
      </c>
      <c r="M110" s="157">
        <v>0</v>
      </c>
      <c r="N110" s="158">
        <v>5</v>
      </c>
      <c r="O110" s="156">
        <v>3</v>
      </c>
      <c r="P110" s="157">
        <v>0</v>
      </c>
      <c r="Q110" s="157">
        <v>0</v>
      </c>
      <c r="R110" s="158">
        <v>0</v>
      </c>
      <c r="S110" s="156">
        <v>0</v>
      </c>
      <c r="T110" s="157">
        <v>0</v>
      </c>
      <c r="U110" s="157">
        <v>0</v>
      </c>
      <c r="V110" s="158">
        <v>0</v>
      </c>
      <c r="W110" s="591">
        <f t="shared" si="3"/>
        <v>22.0105</v>
      </c>
      <c r="X110" s="592" t="str">
        <f>IF(ISBLANK(C110),"",IF(RANK(Z110,$Z$109:$Z$110)&lt;2,"edasi "&amp;RANK(W110,$AB$103:$AB$110),RANK(W110,$AA$103:$AA$110)+4))</f>
        <v>edasi 2</v>
      </c>
      <c r="Z110" s="152">
        <f>IF(COUNTA(C110:V110)=0,0,W110+IF(RANK(W110,$W$109:$W$110)=1,100,0))</f>
        <v>122.01050000000001</v>
      </c>
      <c r="AA110" s="149"/>
      <c r="AB110" s="149"/>
    </row>
    <row r="111" spans="1:29" x14ac:dyDescent="0.2">
      <c r="A111" s="544"/>
      <c r="B111" s="246" t="s">
        <v>217</v>
      </c>
      <c r="C111" s="247"/>
      <c r="D111" s="248"/>
      <c r="E111" s="248"/>
      <c r="F111" s="249"/>
      <c r="G111" s="247"/>
      <c r="H111" s="248"/>
      <c r="I111" s="248"/>
      <c r="J111" s="249"/>
      <c r="K111" s="247"/>
      <c r="L111" s="248"/>
      <c r="M111" s="248"/>
      <c r="N111" s="249"/>
      <c r="O111" s="247"/>
      <c r="P111" s="248"/>
      <c r="Q111" s="248"/>
      <c r="R111" s="249"/>
      <c r="S111" s="247"/>
      <c r="T111" s="248"/>
      <c r="U111" s="248"/>
      <c r="V111" s="249"/>
      <c r="W111" s="673" t="str">
        <f t="shared" si="3"/>
        <v/>
      </c>
      <c r="X111" s="250"/>
    </row>
    <row r="112" spans="1:29" x14ac:dyDescent="0.2">
      <c r="A112" s="556">
        <v>1</v>
      </c>
      <c r="B112" s="674" t="s">
        <v>38</v>
      </c>
      <c r="C112" s="581">
        <v>3</v>
      </c>
      <c r="D112" s="582">
        <v>5</v>
      </c>
      <c r="E112" s="582">
        <v>0</v>
      </c>
      <c r="F112" s="583">
        <v>0</v>
      </c>
      <c r="G112" s="581">
        <v>0</v>
      </c>
      <c r="H112" s="582">
        <v>0</v>
      </c>
      <c r="I112" s="582">
        <v>3</v>
      </c>
      <c r="J112" s="583">
        <v>0</v>
      </c>
      <c r="K112" s="581">
        <v>1</v>
      </c>
      <c r="L112" s="582">
        <v>1</v>
      </c>
      <c r="M112" s="582">
        <v>0</v>
      </c>
      <c r="N112" s="583">
        <v>0</v>
      </c>
      <c r="O112" s="581">
        <v>0</v>
      </c>
      <c r="P112" s="582">
        <v>0</v>
      </c>
      <c r="Q112" s="582">
        <v>0</v>
      </c>
      <c r="R112" s="583">
        <v>0</v>
      </c>
      <c r="S112" s="581">
        <v>5</v>
      </c>
      <c r="T112" s="582">
        <v>0</v>
      </c>
      <c r="U112" s="582">
        <v>0</v>
      </c>
      <c r="V112" s="583">
        <v>3</v>
      </c>
      <c r="W112" s="584">
        <f t="shared" si="3"/>
        <v>21.020299999999999</v>
      </c>
      <c r="X112" s="585" t="str">
        <f>IF(COUNTA(C112:V112)=0,"",IF(W112=W113,"ümbervisk",IF(W112&gt;W113,"finaali "&amp;(IF(W112&lt;MAX(W114:W115),2,IF(W112=MAX(W114:W115),"",1))),"pronksi "&amp;(IF(W112&lt;MIN(W114:W115),2,IF(W112=MIN(W114:W115),"",1))))))</f>
        <v>finaali 1</v>
      </c>
    </row>
    <row r="113" spans="1:27" x14ac:dyDescent="0.2">
      <c r="A113" s="556">
        <v>4</v>
      </c>
      <c r="B113" s="586" t="s">
        <v>45</v>
      </c>
      <c r="C113" s="581">
        <v>0</v>
      </c>
      <c r="D113" s="582">
        <v>3</v>
      </c>
      <c r="E113" s="582">
        <v>0</v>
      </c>
      <c r="F113" s="583">
        <v>0</v>
      </c>
      <c r="G113" s="581">
        <v>0</v>
      </c>
      <c r="H113" s="582">
        <v>0</v>
      </c>
      <c r="I113" s="582">
        <v>0</v>
      </c>
      <c r="J113" s="583">
        <v>0</v>
      </c>
      <c r="K113" s="581">
        <v>0</v>
      </c>
      <c r="L113" s="582">
        <v>3</v>
      </c>
      <c r="M113" s="582">
        <v>1</v>
      </c>
      <c r="N113" s="583">
        <v>0</v>
      </c>
      <c r="O113" s="581">
        <v>0</v>
      </c>
      <c r="P113" s="582">
        <v>0</v>
      </c>
      <c r="Q113" s="582">
        <v>0</v>
      </c>
      <c r="R113" s="583">
        <v>0</v>
      </c>
      <c r="S113" s="581">
        <v>0</v>
      </c>
      <c r="T113" s="582">
        <v>0</v>
      </c>
      <c r="U113" s="582">
        <v>0</v>
      </c>
      <c r="V113" s="583">
        <v>0</v>
      </c>
      <c r="W113" s="584">
        <f t="shared" si="3"/>
        <v>7.0002000000000004</v>
      </c>
      <c r="X113" s="585" t="str">
        <f>IF(COUNTA(C113:V113)=0,"",IF(W112=W113,"ümbervisk",IF(W113&gt;W112,"finaali "&amp;(IF(W113&lt;MAX(W114:W115),2,IF(W113=MAX(W114:W115),"",1))),"pronksi "&amp;(IF(W113&lt;MIN(W114:W115),2,IF(W113=MIN(W114:W115),"",1))))))</f>
        <v xml:space="preserve">pronksi </v>
      </c>
    </row>
    <row r="114" spans="1:27" x14ac:dyDescent="0.2">
      <c r="A114" s="173">
        <v>2</v>
      </c>
      <c r="B114" s="589" t="s">
        <v>35</v>
      </c>
      <c r="C114" s="144">
        <v>0</v>
      </c>
      <c r="D114" s="145">
        <v>1</v>
      </c>
      <c r="E114" s="145">
        <v>0</v>
      </c>
      <c r="F114" s="146">
        <v>0</v>
      </c>
      <c r="G114" s="144">
        <v>3</v>
      </c>
      <c r="H114" s="145">
        <v>3</v>
      </c>
      <c r="I114" s="145">
        <v>0</v>
      </c>
      <c r="J114" s="146">
        <v>0</v>
      </c>
      <c r="K114" s="144">
        <v>0</v>
      </c>
      <c r="L114" s="145">
        <v>0</v>
      </c>
      <c r="M114" s="145">
        <v>0</v>
      </c>
      <c r="N114" s="146">
        <v>0</v>
      </c>
      <c r="O114" s="144">
        <v>0</v>
      </c>
      <c r="P114" s="145">
        <v>0</v>
      </c>
      <c r="Q114" s="145">
        <v>0</v>
      </c>
      <c r="R114" s="146">
        <v>0</v>
      </c>
      <c r="S114" s="144">
        <v>0</v>
      </c>
      <c r="T114" s="145">
        <v>0</v>
      </c>
      <c r="U114" s="145">
        <v>0</v>
      </c>
      <c r="V114" s="146">
        <v>0</v>
      </c>
      <c r="W114" s="584">
        <f t="shared" si="3"/>
        <v>7.0002000000000004</v>
      </c>
      <c r="X114" s="147" t="str">
        <f>IF(COUNTA(C114:V114)=0,"",IF(W114=W115,"ümbervisk",IF(W114&gt;W115,"finaali "&amp;(IF(W114&lt;MAX(W112:W113),2,IF(W114=MAX(W112:W113),"",1))),"pronksi "&amp;(IF(W114&lt;MIN(W112:W113),2,IF(W114=MIN(W112:W113),"",1))))))</f>
        <v xml:space="preserve">pronksi </v>
      </c>
    </row>
    <row r="115" spans="1:27" ht="13.5" thickBot="1" x14ac:dyDescent="0.25">
      <c r="A115" s="177">
        <v>3</v>
      </c>
      <c r="B115" s="590" t="s">
        <v>166</v>
      </c>
      <c r="C115" s="156">
        <v>3</v>
      </c>
      <c r="D115" s="157">
        <v>0</v>
      </c>
      <c r="E115" s="157">
        <v>3</v>
      </c>
      <c r="F115" s="158">
        <v>0</v>
      </c>
      <c r="G115" s="156">
        <v>0</v>
      </c>
      <c r="H115" s="157">
        <v>1</v>
      </c>
      <c r="I115" s="157">
        <v>0</v>
      </c>
      <c r="J115" s="158">
        <v>0</v>
      </c>
      <c r="K115" s="156">
        <v>1</v>
      </c>
      <c r="L115" s="157">
        <v>0</v>
      </c>
      <c r="M115" s="157">
        <v>1</v>
      </c>
      <c r="N115" s="158">
        <v>0</v>
      </c>
      <c r="O115" s="156">
        <v>0</v>
      </c>
      <c r="P115" s="157">
        <v>3</v>
      </c>
      <c r="Q115" s="157">
        <v>3</v>
      </c>
      <c r="R115" s="158">
        <v>0</v>
      </c>
      <c r="S115" s="156">
        <v>0</v>
      </c>
      <c r="T115" s="157">
        <v>0</v>
      </c>
      <c r="U115" s="157">
        <v>0</v>
      </c>
      <c r="V115" s="158">
        <v>0</v>
      </c>
      <c r="W115" s="591">
        <f t="shared" si="3"/>
        <v>15.000400000000001</v>
      </c>
      <c r="X115" s="592" t="str">
        <f>IF(COUNTA(C115:V115)=0,"",IF(W114=W115,"ümbervisk",IF(W115&gt;W114,"finaali "&amp;(IF(W115&lt;MAX(W112:W113),2,IF(W115=MAX(W112:W113),"",1))),"pronksi "&amp;(IF(W115&lt;MIN(W112:W113),2,IF(W115=MIN(W112:W113),"",1))))))</f>
        <v>finaali 2</v>
      </c>
    </row>
    <row r="116" spans="1:27" x14ac:dyDescent="0.2">
      <c r="A116" s="544"/>
      <c r="B116" s="597" t="s">
        <v>218</v>
      </c>
      <c r="C116" s="247"/>
      <c r="D116" s="248"/>
      <c r="E116" s="248"/>
      <c r="F116" s="249"/>
      <c r="G116" s="247"/>
      <c r="H116" s="248"/>
      <c r="I116" s="248"/>
      <c r="J116" s="249"/>
      <c r="K116" s="247"/>
      <c r="L116" s="248"/>
      <c r="M116" s="248"/>
      <c r="N116" s="249"/>
      <c r="O116" s="247"/>
      <c r="P116" s="248"/>
      <c r="Q116" s="248"/>
      <c r="R116" s="249"/>
      <c r="S116" s="247"/>
      <c r="T116" s="248"/>
      <c r="U116" s="248"/>
      <c r="V116" s="249"/>
      <c r="W116" s="673" t="str">
        <f t="shared" si="3"/>
        <v/>
      </c>
      <c r="X116" s="250"/>
    </row>
    <row r="117" spans="1:27" x14ac:dyDescent="0.2">
      <c r="A117" s="173"/>
      <c r="B117" s="195" t="s">
        <v>45</v>
      </c>
      <c r="C117" s="144">
        <v>0</v>
      </c>
      <c r="D117" s="145">
        <v>0</v>
      </c>
      <c r="E117" s="145">
        <v>0</v>
      </c>
      <c r="F117" s="146">
        <v>0</v>
      </c>
      <c r="G117" s="144">
        <v>0</v>
      </c>
      <c r="H117" s="145">
        <v>3</v>
      </c>
      <c r="I117" s="145">
        <v>0</v>
      </c>
      <c r="J117" s="146">
        <v>0</v>
      </c>
      <c r="K117" s="144">
        <v>1</v>
      </c>
      <c r="L117" s="145">
        <v>0</v>
      </c>
      <c r="M117" s="145">
        <v>1</v>
      </c>
      <c r="N117" s="146">
        <v>3</v>
      </c>
      <c r="O117" s="144">
        <v>0</v>
      </c>
      <c r="P117" s="145">
        <v>0</v>
      </c>
      <c r="Q117" s="145">
        <v>0</v>
      </c>
      <c r="R117" s="146">
        <v>0</v>
      </c>
      <c r="S117" s="144">
        <v>0</v>
      </c>
      <c r="T117" s="145">
        <v>0</v>
      </c>
      <c r="U117" s="145">
        <v>0</v>
      </c>
      <c r="V117" s="146">
        <v>0</v>
      </c>
      <c r="W117" s="584">
        <f t="shared" si="3"/>
        <v>8.0001999999999995</v>
      </c>
      <c r="X117" s="155">
        <f ca="1">IF( INDIRECT("RC[-1]",0)=MAX(( INDIRECT("R[-1]C[-1]",0)):( INDIRECT("R[1]C[-1]",0))),3,4)</f>
        <v>4</v>
      </c>
    </row>
    <row r="118" spans="1:27" ht="13.5" thickBot="1" x14ac:dyDescent="0.25">
      <c r="A118" s="177"/>
      <c r="B118" s="598" t="s">
        <v>35</v>
      </c>
      <c r="C118" s="156">
        <v>0</v>
      </c>
      <c r="D118" s="157">
        <v>0</v>
      </c>
      <c r="E118" s="157">
        <v>0</v>
      </c>
      <c r="F118" s="158">
        <v>3</v>
      </c>
      <c r="G118" s="156">
        <v>3</v>
      </c>
      <c r="H118" s="157">
        <v>3</v>
      </c>
      <c r="I118" s="157">
        <v>0</v>
      </c>
      <c r="J118" s="671">
        <v>3</v>
      </c>
      <c r="K118" s="156">
        <v>3</v>
      </c>
      <c r="L118" s="157">
        <v>3</v>
      </c>
      <c r="M118" s="157">
        <v>3</v>
      </c>
      <c r="N118" s="158">
        <v>0</v>
      </c>
      <c r="O118" s="156">
        <v>0</v>
      </c>
      <c r="P118" s="157">
        <v>3</v>
      </c>
      <c r="Q118" s="157">
        <v>0</v>
      </c>
      <c r="R118" s="158">
        <v>0</v>
      </c>
      <c r="S118" s="156">
        <v>0</v>
      </c>
      <c r="T118" s="157">
        <v>0</v>
      </c>
      <c r="U118" s="157">
        <v>5</v>
      </c>
      <c r="V118" s="158">
        <v>0</v>
      </c>
      <c r="W118" s="591">
        <f t="shared" si="3"/>
        <v>29.010800000000003</v>
      </c>
      <c r="X118" s="160">
        <f ca="1">IF( INDIRECT("RC[-1]",0)=MAX(( INDIRECT("R[-1]C[-1]",0)):( INDIRECT("R[1]C[-1]",0))),3,4)</f>
        <v>3</v>
      </c>
    </row>
    <row r="119" spans="1:27" x14ac:dyDescent="0.2">
      <c r="A119" s="544"/>
      <c r="B119" s="597" t="s">
        <v>219</v>
      </c>
      <c r="C119" s="247"/>
      <c r="D119" s="248"/>
      <c r="E119" s="248"/>
      <c r="F119" s="249"/>
      <c r="G119" s="247"/>
      <c r="H119" s="248"/>
      <c r="I119" s="248"/>
      <c r="J119" s="249"/>
      <c r="K119" s="247"/>
      <c r="L119" s="248"/>
      <c r="M119" s="248"/>
      <c r="N119" s="249"/>
      <c r="O119" s="247"/>
      <c r="P119" s="248"/>
      <c r="Q119" s="248"/>
      <c r="R119" s="249"/>
      <c r="S119" s="247"/>
      <c r="T119" s="248"/>
      <c r="U119" s="248"/>
      <c r="V119" s="249"/>
      <c r="W119" s="673" t="str">
        <f t="shared" si="3"/>
        <v/>
      </c>
      <c r="X119" s="250"/>
    </row>
    <row r="120" spans="1:27" x14ac:dyDescent="0.2">
      <c r="A120" s="173"/>
      <c r="B120" s="193" t="s">
        <v>38</v>
      </c>
      <c r="C120" s="144">
        <v>3</v>
      </c>
      <c r="D120" s="145">
        <v>3</v>
      </c>
      <c r="E120" s="145">
        <v>0</v>
      </c>
      <c r="F120" s="146">
        <v>0</v>
      </c>
      <c r="G120" s="144">
        <v>0</v>
      </c>
      <c r="H120" s="145">
        <v>3</v>
      </c>
      <c r="I120" s="145">
        <v>0</v>
      </c>
      <c r="J120" s="146">
        <v>0</v>
      </c>
      <c r="K120" s="144">
        <v>1</v>
      </c>
      <c r="L120" s="145">
        <v>0</v>
      </c>
      <c r="M120" s="145">
        <v>1</v>
      </c>
      <c r="N120" s="146">
        <v>0</v>
      </c>
      <c r="O120" s="144">
        <v>1</v>
      </c>
      <c r="P120" s="145">
        <v>0</v>
      </c>
      <c r="Q120" s="145">
        <v>0</v>
      </c>
      <c r="R120" s="146">
        <v>1</v>
      </c>
      <c r="S120" s="144">
        <v>5</v>
      </c>
      <c r="T120" s="145">
        <v>0</v>
      </c>
      <c r="U120" s="145">
        <v>0</v>
      </c>
      <c r="V120" s="146">
        <v>0</v>
      </c>
      <c r="W120" s="584">
        <f t="shared" si="3"/>
        <v>18.010300000000001</v>
      </c>
      <c r="X120" s="155">
        <f ca="1">IF( INDIRECT("RC[-1]",0)=MAX(( INDIRECT("R[-1]C[-1]",0)):( INDIRECT("R[1]C[-1]",0))),1,2)</f>
        <v>2</v>
      </c>
    </row>
    <row r="121" spans="1:27" ht="13.5" thickBot="1" x14ac:dyDescent="0.25">
      <c r="A121" s="177"/>
      <c r="B121" s="194" t="s">
        <v>166</v>
      </c>
      <c r="C121" s="156">
        <v>0</v>
      </c>
      <c r="D121" s="157">
        <v>3</v>
      </c>
      <c r="E121" s="157">
        <v>3</v>
      </c>
      <c r="F121" s="158">
        <v>0</v>
      </c>
      <c r="G121" s="156">
        <v>0</v>
      </c>
      <c r="H121" s="157">
        <v>0</v>
      </c>
      <c r="I121" s="157">
        <v>0</v>
      </c>
      <c r="J121" s="158">
        <v>1</v>
      </c>
      <c r="K121" s="156">
        <v>3</v>
      </c>
      <c r="L121" s="157">
        <v>3</v>
      </c>
      <c r="M121" s="157">
        <v>3</v>
      </c>
      <c r="N121" s="158">
        <v>0</v>
      </c>
      <c r="O121" s="156">
        <v>0</v>
      </c>
      <c r="P121" s="157">
        <v>0</v>
      </c>
      <c r="Q121" s="157">
        <v>3</v>
      </c>
      <c r="R121" s="158">
        <v>3</v>
      </c>
      <c r="S121" s="156">
        <v>0</v>
      </c>
      <c r="T121" s="157">
        <v>0</v>
      </c>
      <c r="U121" s="157">
        <v>0</v>
      </c>
      <c r="V121" s="158">
        <v>0</v>
      </c>
      <c r="W121" s="591">
        <f t="shared" si="3"/>
        <v>22.000699999999998</v>
      </c>
      <c r="X121" s="160">
        <f ca="1">IF( INDIRECT("RC[-1]",0)=MAX(( INDIRECT("R[-1]C[-1]",0)):( INDIRECT("R[1]C[-1]",0))),1,2)</f>
        <v>1</v>
      </c>
    </row>
    <row r="122" spans="1:27" x14ac:dyDescent="0.2">
      <c r="A122" s="172"/>
      <c r="B122" s="172"/>
      <c r="C122" s="172"/>
      <c r="D122" s="172"/>
      <c r="E122" s="172"/>
      <c r="F122" s="172"/>
      <c r="G122" s="172"/>
      <c r="H122" s="172"/>
      <c r="I122" s="172"/>
      <c r="J122" s="172"/>
      <c r="K122" s="172"/>
      <c r="L122" s="172"/>
      <c r="M122" s="172"/>
      <c r="N122" s="172"/>
      <c r="O122" s="611"/>
      <c r="P122" s="172"/>
      <c r="Q122" s="172"/>
      <c r="R122" s="172"/>
      <c r="S122" s="172"/>
      <c r="T122" s="612"/>
      <c r="U122" s="172"/>
      <c r="V122" s="172"/>
      <c r="W122" s="172"/>
      <c r="X122" s="172"/>
      <c r="Y122" s="172"/>
    </row>
    <row r="123" spans="1:27" x14ac:dyDescent="0.2">
      <c r="A123" s="178">
        <v>1</v>
      </c>
      <c r="B123" s="203" t="str">
        <f t="shared" ref="B123:B132" ca="1" si="11">IF(IFERROR(INDEX($B$9:$B$121,MATCH($A123,$X$9:$X$121,0)),"")=0,"",IFERROR(INDEX($B$9:$B$121,MATCH($A123,$X$9:$X$121,0)),""))</f>
        <v>Harry Lusbo</v>
      </c>
      <c r="C123" s="172"/>
      <c r="D123" s="172"/>
      <c r="E123" s="613"/>
      <c r="F123" s="614">
        <v>11</v>
      </c>
      <c r="G123" s="258" t="str">
        <f t="shared" ref="G123:G131" si="12">IF(IFERROR(INDEX($B$9:$B$121,MATCH($F123,$X$9:$X$121,0)),"")=0,"",IFERROR(INDEX($B$9:$B$121,MATCH($F123,$X$9:$X$121,0)),""))</f>
        <v>Silver Kingissepp</v>
      </c>
      <c r="H123" s="259"/>
      <c r="I123" s="259"/>
      <c r="J123" s="259"/>
      <c r="K123" s="259"/>
      <c r="L123" s="259"/>
      <c r="M123" s="260"/>
      <c r="P123" s="720"/>
      <c r="Q123" s="721" t="s">
        <v>776</v>
      </c>
      <c r="R123" s="719" t="s">
        <v>164</v>
      </c>
      <c r="S123" s="259"/>
      <c r="T123" s="259"/>
      <c r="U123" s="675"/>
      <c r="V123" s="675"/>
      <c r="W123" s="722"/>
      <c r="X123" s="723"/>
      <c r="Z123" s="259"/>
      <c r="AA123" s="260"/>
    </row>
    <row r="124" spans="1:27" x14ac:dyDescent="0.2">
      <c r="A124" s="178">
        <v>2</v>
      </c>
      <c r="B124" s="179" t="str">
        <f t="shared" ca="1" si="11"/>
        <v>Ivar Viljaste</v>
      </c>
      <c r="C124" s="172"/>
      <c r="D124" s="172"/>
      <c r="E124" s="613"/>
      <c r="F124" s="614">
        <v>12</v>
      </c>
      <c r="G124" s="258" t="str">
        <f t="shared" si="12"/>
        <v>Tiit Kattai</v>
      </c>
      <c r="H124" s="259"/>
      <c r="I124" s="259"/>
      <c r="J124" s="259"/>
      <c r="K124" s="259"/>
      <c r="L124" s="259"/>
      <c r="M124" s="260"/>
      <c r="P124" s="613"/>
      <c r="Q124" s="614">
        <v>22</v>
      </c>
      <c r="R124" s="258" t="str">
        <f>IF(IFERROR(INDEX($B$9:$B$121,MATCH($Q124,$X$9:$X$121,0)),"")=0,"",IFERROR(INDEX($B$9:$B$121,MATCH($Q124,$X$9:$X$121,0)),""))</f>
        <v>Jaan Sepp</v>
      </c>
      <c r="S124" s="259"/>
      <c r="T124" s="259"/>
      <c r="U124" s="675"/>
      <c r="V124" s="675"/>
      <c r="W124" s="722"/>
      <c r="X124" s="723"/>
      <c r="Z124" s="259"/>
      <c r="AA124" s="260"/>
    </row>
    <row r="125" spans="1:27" x14ac:dyDescent="0.2">
      <c r="A125" s="178">
        <v>3</v>
      </c>
      <c r="B125" s="180" t="str">
        <f t="shared" ca="1" si="11"/>
        <v>Kalju Olmre</v>
      </c>
      <c r="C125" s="172"/>
      <c r="D125" s="172"/>
      <c r="E125" s="613"/>
      <c r="F125" s="614">
        <v>13</v>
      </c>
      <c r="G125" s="258" t="str">
        <f t="shared" si="12"/>
        <v>Jaan Joonas</v>
      </c>
      <c r="H125" s="259"/>
      <c r="I125" s="259"/>
      <c r="J125" s="259"/>
      <c r="K125" s="259"/>
      <c r="L125" s="259"/>
      <c r="M125" s="260"/>
      <c r="P125" s="613"/>
      <c r="Q125" s="721" t="s">
        <v>777</v>
      </c>
      <c r="R125" s="719" t="s">
        <v>154</v>
      </c>
      <c r="S125" s="259"/>
      <c r="T125" s="259"/>
      <c r="U125" s="675"/>
      <c r="V125" s="675"/>
      <c r="W125" s="722"/>
      <c r="X125" s="723"/>
      <c r="Z125" s="259"/>
      <c r="AA125" s="260"/>
    </row>
    <row r="126" spans="1:27" x14ac:dyDescent="0.2">
      <c r="A126" s="178">
        <v>4</v>
      </c>
      <c r="B126" s="323" t="str">
        <f t="shared" ca="1" si="11"/>
        <v>Oskar Sepp</v>
      </c>
      <c r="C126" s="172"/>
      <c r="D126" s="172"/>
      <c r="E126" s="613"/>
      <c r="F126" s="614">
        <v>14</v>
      </c>
      <c r="G126" s="258" t="str">
        <f t="shared" si="12"/>
        <v>Aigar Lusbo</v>
      </c>
      <c r="H126" s="259"/>
      <c r="I126" s="259"/>
      <c r="J126" s="259"/>
      <c r="K126" s="259"/>
      <c r="L126" s="259"/>
      <c r="M126" s="260"/>
      <c r="P126" s="613"/>
      <c r="Q126" s="721" t="s">
        <v>777</v>
      </c>
      <c r="R126" s="719" t="s">
        <v>172</v>
      </c>
      <c r="S126" s="259"/>
      <c r="T126" s="259"/>
      <c r="U126" s="675"/>
      <c r="V126" s="675"/>
      <c r="W126" s="722"/>
      <c r="X126" s="723"/>
      <c r="Z126" s="259"/>
      <c r="AA126" s="260"/>
    </row>
    <row r="127" spans="1:27" x14ac:dyDescent="0.2">
      <c r="A127" s="178">
        <v>5</v>
      </c>
      <c r="B127" s="323" t="str">
        <f t="shared" si="11"/>
        <v>Marek Kolk</v>
      </c>
      <c r="C127" s="172"/>
      <c r="D127" s="172"/>
      <c r="E127" s="613"/>
      <c r="F127" s="614">
        <v>15</v>
      </c>
      <c r="G127" s="258" t="str">
        <f t="shared" si="12"/>
        <v>Kaido Kopel</v>
      </c>
      <c r="H127" s="259"/>
      <c r="I127" s="259"/>
      <c r="J127" s="259"/>
      <c r="K127" s="259"/>
      <c r="L127" s="259"/>
      <c r="M127" s="260"/>
      <c r="P127" s="613"/>
      <c r="Q127" s="614">
        <v>25</v>
      </c>
      <c r="R127" s="258" t="str">
        <f>IF(IFERROR(INDEX($B$9:$B$121,MATCH($Q127,$X$9:$X$121,0)),"")=0,"",IFERROR(INDEX($B$9:$B$121,MATCH($Q127,$X$9:$X$121,0)),""))</f>
        <v>Vladimir Ogneštšikov</v>
      </c>
      <c r="S127" s="259"/>
      <c r="T127" s="259"/>
      <c r="U127" s="675"/>
      <c r="V127" s="675"/>
      <c r="W127" s="722"/>
      <c r="X127" s="723"/>
      <c r="Z127" s="259"/>
      <c r="AA127" s="260"/>
    </row>
    <row r="128" spans="1:27" x14ac:dyDescent="0.2">
      <c r="A128" s="178">
        <v>6</v>
      </c>
      <c r="B128" s="323" t="str">
        <f t="shared" si="11"/>
        <v>Ülo Piik</v>
      </c>
      <c r="C128" s="172"/>
      <c r="D128" s="172"/>
      <c r="E128" s="613"/>
      <c r="F128" s="614">
        <v>16</v>
      </c>
      <c r="G128" s="258" t="str">
        <f t="shared" si="12"/>
        <v>Urmo Auväärt</v>
      </c>
      <c r="H128" s="259"/>
      <c r="I128" s="259"/>
      <c r="J128" s="259"/>
      <c r="K128" s="259"/>
      <c r="L128" s="259"/>
      <c r="M128" s="260"/>
      <c r="P128" s="613"/>
      <c r="Q128" s="614">
        <v>26</v>
      </c>
      <c r="R128" s="258" t="str">
        <f>IF(IFERROR(INDEX($B$9:$B$121,MATCH($Q128,$X$9:$X$121,0)),"")=0,"",IFERROR(INDEX($B$9:$B$121,MATCH($Q128,$X$9:$X$121,0)),""))</f>
        <v>Vahur Raudsepp</v>
      </c>
      <c r="S128" s="259"/>
      <c r="T128" s="259"/>
      <c r="U128" s="675"/>
      <c r="V128" s="675"/>
      <c r="W128" s="722"/>
      <c r="X128" s="723"/>
      <c r="Z128" s="259"/>
      <c r="AA128" s="260"/>
    </row>
    <row r="129" spans="1:27" x14ac:dyDescent="0.2">
      <c r="A129" s="178">
        <v>7</v>
      </c>
      <c r="B129" s="323" t="str">
        <f t="shared" si="11"/>
        <v>Aimar Poom</v>
      </c>
      <c r="C129" s="172"/>
      <c r="D129" s="172"/>
      <c r="E129" s="613"/>
      <c r="F129" s="614">
        <v>17</v>
      </c>
      <c r="G129" s="258" t="str">
        <f t="shared" si="12"/>
        <v>Marko Ode</v>
      </c>
      <c r="H129" s="259"/>
      <c r="I129" s="259"/>
      <c r="J129" s="259"/>
      <c r="K129" s="259"/>
      <c r="L129" s="259"/>
      <c r="M129" s="260"/>
      <c r="P129" s="172"/>
      <c r="Q129" s="172"/>
      <c r="R129" s="172"/>
      <c r="S129" s="172"/>
      <c r="T129" s="172"/>
      <c r="U129" s="172"/>
      <c r="V129" s="172"/>
      <c r="W129" s="172"/>
      <c r="X129" s="172"/>
      <c r="Z129" s="259"/>
      <c r="AA129" s="260"/>
    </row>
    <row r="130" spans="1:27" x14ac:dyDescent="0.2">
      <c r="A130" s="178">
        <v>8</v>
      </c>
      <c r="B130" s="323" t="str">
        <f t="shared" si="11"/>
        <v>Toomas Hoole</v>
      </c>
      <c r="C130" s="172"/>
      <c r="D130" s="172"/>
      <c r="E130" s="613"/>
      <c r="F130" s="614">
        <v>18</v>
      </c>
      <c r="G130" s="258" t="str">
        <f t="shared" si="12"/>
        <v>Valmar Pantšenko</v>
      </c>
      <c r="H130" s="259"/>
      <c r="I130" s="259"/>
      <c r="J130" s="259"/>
      <c r="K130" s="259"/>
      <c r="L130" s="259"/>
      <c r="M130" s="260"/>
      <c r="P130" s="172"/>
      <c r="Q130" s="172"/>
      <c r="R130" s="172"/>
      <c r="S130" s="172"/>
      <c r="T130" s="172"/>
      <c r="U130" s="172"/>
      <c r="V130" s="172"/>
      <c r="W130" s="172"/>
      <c r="X130" s="172"/>
      <c r="Z130" s="259"/>
      <c r="AA130" s="260"/>
    </row>
    <row r="131" spans="1:27" x14ac:dyDescent="0.2">
      <c r="A131" s="178">
        <v>9</v>
      </c>
      <c r="B131" s="323" t="str">
        <f t="shared" si="11"/>
        <v>Janek Tarto</v>
      </c>
      <c r="C131" s="172"/>
      <c r="D131" s="172"/>
      <c r="E131" s="613"/>
      <c r="F131" s="614">
        <v>19</v>
      </c>
      <c r="G131" s="258" t="str">
        <f t="shared" si="12"/>
        <v>Alari Keedus</v>
      </c>
      <c r="H131" s="259"/>
      <c r="I131" s="259"/>
      <c r="J131" s="259"/>
      <c r="K131" s="259"/>
      <c r="L131" s="259"/>
      <c r="M131" s="260"/>
      <c r="P131" s="172"/>
      <c r="Q131" s="172"/>
      <c r="R131" s="172"/>
      <c r="S131" s="172"/>
      <c r="T131" s="172"/>
      <c r="U131" s="172"/>
      <c r="V131" s="172"/>
      <c r="W131" s="172"/>
      <c r="X131" s="172"/>
      <c r="Z131" s="259"/>
      <c r="AA131" s="260"/>
    </row>
    <row r="132" spans="1:27" x14ac:dyDescent="0.2">
      <c r="A132" s="178">
        <v>10</v>
      </c>
      <c r="B132" s="323" t="str">
        <f t="shared" si="11"/>
        <v>Aarne Välja</v>
      </c>
      <c r="C132" s="172"/>
      <c r="D132" s="172"/>
      <c r="E132" s="720"/>
      <c r="F132" s="721" t="s">
        <v>776</v>
      </c>
      <c r="G132" s="719" t="s">
        <v>778</v>
      </c>
      <c r="H132" s="259"/>
      <c r="I132" s="259"/>
      <c r="J132" s="259"/>
      <c r="K132" s="259"/>
      <c r="L132" s="259"/>
      <c r="M132" s="260"/>
      <c r="P132" s="172"/>
      <c r="Q132" s="172"/>
      <c r="R132" s="172"/>
      <c r="S132" s="172"/>
      <c r="T132" s="172"/>
      <c r="U132" s="172"/>
      <c r="V132" s="172"/>
      <c r="W132" s="172"/>
      <c r="Z132" s="259"/>
      <c r="AA132" s="260"/>
    </row>
    <row r="133" spans="1:27" x14ac:dyDescent="0.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row>
    <row r="134" spans="1:27" x14ac:dyDescent="0.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row>
    <row r="135" spans="1:27" x14ac:dyDescent="0.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row>
    <row r="136" spans="1:27" x14ac:dyDescent="0.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row>
    <row r="137" spans="1:27" x14ac:dyDescent="0.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row>
    <row r="138" spans="1:27" x14ac:dyDescent="0.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row>
    <row r="139" spans="1:27" x14ac:dyDescent="0.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row>
  </sheetData>
  <conditionalFormatting sqref="B25:B32">
    <cfRule type="duplicateValues" dxfId="423" priority="41" stopIfTrue="1"/>
  </conditionalFormatting>
  <conditionalFormatting sqref="B22:B24">
    <cfRule type="duplicateValues" dxfId="422" priority="40" stopIfTrue="1"/>
  </conditionalFormatting>
  <conditionalFormatting sqref="B36:B41">
    <cfRule type="duplicateValues" dxfId="421" priority="38" stopIfTrue="1"/>
  </conditionalFormatting>
  <conditionalFormatting sqref="X36:X43 X60:X63">
    <cfRule type="duplicateValues" dxfId="420" priority="46"/>
    <cfRule type="top10" dxfId="419" priority="47" stopIfTrue="1" rank="100"/>
  </conditionalFormatting>
  <conditionalFormatting sqref="B42:B43 B60:B63">
    <cfRule type="duplicateValues" dxfId="418" priority="48" stopIfTrue="1"/>
  </conditionalFormatting>
  <conditionalFormatting sqref="B52:B57">
    <cfRule type="duplicateValues" dxfId="417" priority="34" stopIfTrue="1"/>
  </conditionalFormatting>
  <conditionalFormatting sqref="X52:X59">
    <cfRule type="duplicateValues" dxfId="416" priority="35"/>
    <cfRule type="top10" dxfId="415" priority="36" stopIfTrue="1" rank="100"/>
  </conditionalFormatting>
  <conditionalFormatting sqref="B58:B59">
    <cfRule type="duplicateValues" dxfId="414" priority="37" stopIfTrue="1"/>
  </conditionalFormatting>
  <conditionalFormatting sqref="B78:B83">
    <cfRule type="duplicateValues" dxfId="413" priority="30" stopIfTrue="1"/>
  </conditionalFormatting>
  <conditionalFormatting sqref="X78:X85 X94:X97">
    <cfRule type="duplicateValues" dxfId="412" priority="31"/>
    <cfRule type="top10" dxfId="411" priority="32" stopIfTrue="1" rank="100"/>
  </conditionalFormatting>
  <conditionalFormatting sqref="B84:B85 B94:B97">
    <cfRule type="duplicateValues" dxfId="410" priority="33" stopIfTrue="1"/>
  </conditionalFormatting>
  <conditionalFormatting sqref="B86:B91">
    <cfRule type="duplicateValues" dxfId="409" priority="26" stopIfTrue="1"/>
  </conditionalFormatting>
  <conditionalFormatting sqref="X86:X93">
    <cfRule type="duplicateValues" dxfId="408" priority="27"/>
    <cfRule type="top10" dxfId="407" priority="28" stopIfTrue="1" rank="100"/>
  </conditionalFormatting>
  <conditionalFormatting sqref="B92:B93">
    <cfRule type="duplicateValues" dxfId="406" priority="29" stopIfTrue="1"/>
  </conditionalFormatting>
  <conditionalFormatting sqref="B98:B99">
    <cfRule type="duplicateValues" dxfId="405" priority="22" stopIfTrue="1"/>
  </conditionalFormatting>
  <conditionalFormatting sqref="X98:X101">
    <cfRule type="duplicateValues" dxfId="404" priority="23"/>
    <cfRule type="top10" dxfId="403" priority="24" stopIfTrue="1" rank="100"/>
  </conditionalFormatting>
  <conditionalFormatting sqref="B100:B101">
    <cfRule type="duplicateValues" dxfId="402" priority="25" stopIfTrue="1"/>
  </conditionalFormatting>
  <conditionalFormatting sqref="B64:B65">
    <cfRule type="duplicateValues" dxfId="401" priority="21" stopIfTrue="1"/>
  </conditionalFormatting>
  <conditionalFormatting sqref="B44:B49">
    <cfRule type="duplicateValues" dxfId="400" priority="17" stopIfTrue="1"/>
  </conditionalFormatting>
  <conditionalFormatting sqref="X44:X51">
    <cfRule type="duplicateValues" dxfId="399" priority="18"/>
    <cfRule type="top10" dxfId="398" priority="19" stopIfTrue="1" rank="100"/>
  </conditionalFormatting>
  <conditionalFormatting sqref="B50:B51">
    <cfRule type="duplicateValues" dxfId="397" priority="20" stopIfTrue="1"/>
  </conditionalFormatting>
  <conditionalFormatting sqref="W36:W39">
    <cfRule type="top10" dxfId="396" priority="15" rank="1"/>
  </conditionalFormatting>
  <conditionalFormatting sqref="W40:W43">
    <cfRule type="top10" dxfId="395" priority="14" rank="1"/>
  </conditionalFormatting>
  <conditionalFormatting sqref="W44:W47">
    <cfRule type="top10" dxfId="394" priority="13" rank="1"/>
  </conditionalFormatting>
  <conditionalFormatting sqref="W48:W51">
    <cfRule type="top10" dxfId="393" priority="12" rank="1"/>
  </conditionalFormatting>
  <conditionalFormatting sqref="W52:W55">
    <cfRule type="top10" dxfId="392" priority="11" rank="1"/>
  </conditionalFormatting>
  <conditionalFormatting sqref="W56:W59">
    <cfRule type="top10" dxfId="391" priority="10" rank="1"/>
  </conditionalFormatting>
  <conditionalFormatting sqref="W60:W63">
    <cfRule type="top10" dxfId="390" priority="9" rank="1"/>
  </conditionalFormatting>
  <conditionalFormatting sqref="W64:W67">
    <cfRule type="top10" dxfId="389" priority="8" rank="1"/>
  </conditionalFormatting>
  <conditionalFormatting sqref="W78:W81">
    <cfRule type="top10" dxfId="388" priority="7" rank="1"/>
  </conditionalFormatting>
  <conditionalFormatting sqref="W82:W85">
    <cfRule type="top10" dxfId="387" priority="6" rank="1"/>
  </conditionalFormatting>
  <conditionalFormatting sqref="W86:W89">
    <cfRule type="top10" dxfId="386" priority="5" rank="1"/>
  </conditionalFormatting>
  <conditionalFormatting sqref="W90:W93">
    <cfRule type="top10" dxfId="385" priority="4" rank="1"/>
  </conditionalFormatting>
  <conditionalFormatting sqref="W94:W97">
    <cfRule type="top10" dxfId="384" priority="3" rank="1"/>
  </conditionalFormatting>
  <conditionalFormatting sqref="W98:W101">
    <cfRule type="top10" dxfId="383" priority="2" rank="1"/>
  </conditionalFormatting>
  <conditionalFormatting sqref="W103:W104">
    <cfRule type="top10" dxfId="382" priority="49" rank="1"/>
  </conditionalFormatting>
  <conditionalFormatting sqref="W105:W106">
    <cfRule type="top10" dxfId="381" priority="50" rank="1"/>
  </conditionalFormatting>
  <conditionalFormatting sqref="W107:W108">
    <cfRule type="top10" dxfId="380" priority="51" rank="1"/>
  </conditionalFormatting>
  <conditionalFormatting sqref="W112:W113">
    <cfRule type="top10" dxfId="379" priority="52" rank="1"/>
  </conditionalFormatting>
  <conditionalFormatting sqref="W114:W115">
    <cfRule type="top10" dxfId="378" priority="53" rank="1"/>
  </conditionalFormatting>
  <conditionalFormatting sqref="W117:W118">
    <cfRule type="top10" dxfId="377" priority="54" rank="1"/>
  </conditionalFormatting>
  <conditionalFormatting sqref="W120:W121">
    <cfRule type="top10" dxfId="376" priority="55" rank="1"/>
  </conditionalFormatting>
  <conditionalFormatting sqref="X103:X110">
    <cfRule type="duplicateValues" dxfId="375" priority="56"/>
    <cfRule type="top10" dxfId="374" priority="57" stopIfTrue="1" rank="4"/>
  </conditionalFormatting>
  <conditionalFormatting sqref="W109:W110">
    <cfRule type="top10" dxfId="373" priority="58" rank="1"/>
  </conditionalFormatting>
  <conditionalFormatting sqref="X64:X67">
    <cfRule type="duplicateValues" dxfId="372" priority="64"/>
    <cfRule type="top10" dxfId="371" priority="65" stopIfTrue="1" rank="100"/>
  </conditionalFormatting>
  <conditionalFormatting sqref="B66:B67">
    <cfRule type="duplicateValues" dxfId="370" priority="66" stopIfTrue="1"/>
  </conditionalFormatting>
  <conditionalFormatting sqref="X9:X34">
    <cfRule type="duplicateValues" dxfId="369" priority="13174"/>
    <cfRule type="top10" dxfId="368" priority="13175" stopIfTrue="1" rank="100"/>
  </conditionalFormatting>
  <conditionalFormatting sqref="B33:B34 B10:B12 B14">
    <cfRule type="duplicateValues" dxfId="367" priority="13176" stopIfTrue="1"/>
  </conditionalFormatting>
  <conditionalFormatting sqref="X69:X76">
    <cfRule type="duplicateValues" dxfId="366" priority="13189"/>
    <cfRule type="top10" dxfId="365" priority="13190" stopIfTrue="1" rank="100"/>
  </conditionalFormatting>
  <conditionalFormatting sqref="Y69:Y76">
    <cfRule type="duplicateValues" dxfId="364" priority="13191"/>
  </conditionalFormatting>
  <conditionalFormatting sqref="W9:W121">
    <cfRule type="top10" dxfId="363" priority="13193" rank="1"/>
  </conditionalFormatting>
  <pageMargins left="0.78740157480314965" right="0.27559055118110237" top="0.51181102362204722" bottom="0.31496062992125984" header="0.31496062992125984" footer="0"/>
  <pageSetup paperSize="9" fitToHeight="0" orientation="portrait" r:id="rId1"/>
  <headerFooter alignWithMargins="0">
    <oddHeader>&amp;R&amp;"Arial,Regular"&amp;9Page &amp;P of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A1:AA64"/>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142" customWidth="1"/>
    <col min="2" max="2" width="18.28515625" style="142" customWidth="1"/>
    <col min="3" max="22" width="2.85546875" style="142" customWidth="1"/>
    <col min="23" max="23" width="3" style="142" bestFit="1" customWidth="1"/>
    <col min="24" max="24" width="10.5703125" style="142" customWidth="1"/>
    <col min="25" max="26" width="4" style="142" hidden="1" customWidth="1"/>
    <col min="27" max="27" width="4.5703125" style="142" hidden="1" customWidth="1"/>
    <col min="28" max="256" width="9.140625" style="142"/>
    <col min="257" max="257" width="3" style="142" customWidth="1"/>
    <col min="258" max="258" width="18.7109375" style="142" customWidth="1"/>
    <col min="259" max="278" width="2.85546875" style="142" customWidth="1"/>
    <col min="279" max="279" width="3" style="142" bestFit="1" customWidth="1"/>
    <col min="280" max="280" width="10.5703125" style="142" customWidth="1"/>
    <col min="281" max="283" width="0" style="142" hidden="1" customWidth="1"/>
    <col min="284" max="512" width="9.140625" style="142"/>
    <col min="513" max="513" width="3" style="142" customWidth="1"/>
    <col min="514" max="514" width="18.7109375" style="142" customWidth="1"/>
    <col min="515" max="534" width="2.85546875" style="142" customWidth="1"/>
    <col min="535" max="535" width="3" style="142" bestFit="1" customWidth="1"/>
    <col min="536" max="536" width="10.5703125" style="142" customWidth="1"/>
    <col min="537" max="539" width="0" style="142" hidden="1" customWidth="1"/>
    <col min="540" max="768" width="9.140625" style="142"/>
    <col min="769" max="769" width="3" style="142" customWidth="1"/>
    <col min="770" max="770" width="18.7109375" style="142" customWidth="1"/>
    <col min="771" max="790" width="2.85546875" style="142" customWidth="1"/>
    <col min="791" max="791" width="3" style="142" bestFit="1" customWidth="1"/>
    <col min="792" max="792" width="10.5703125" style="142" customWidth="1"/>
    <col min="793" max="795" width="0" style="142" hidden="1" customWidth="1"/>
    <col min="796" max="1024" width="9.140625" style="142"/>
    <col min="1025" max="1025" width="3" style="142" customWidth="1"/>
    <col min="1026" max="1026" width="18.7109375" style="142" customWidth="1"/>
    <col min="1027" max="1046" width="2.85546875" style="142" customWidth="1"/>
    <col min="1047" max="1047" width="3" style="142" bestFit="1" customWidth="1"/>
    <col min="1048" max="1048" width="10.5703125" style="142" customWidth="1"/>
    <col min="1049" max="1051" width="0" style="142" hidden="1" customWidth="1"/>
    <col min="1052" max="1280" width="9.140625" style="142"/>
    <col min="1281" max="1281" width="3" style="142" customWidth="1"/>
    <col min="1282" max="1282" width="18.7109375" style="142" customWidth="1"/>
    <col min="1283" max="1302" width="2.85546875" style="142" customWidth="1"/>
    <col min="1303" max="1303" width="3" style="142" bestFit="1" customWidth="1"/>
    <col min="1304" max="1304" width="10.5703125" style="142" customWidth="1"/>
    <col min="1305" max="1307" width="0" style="142" hidden="1" customWidth="1"/>
    <col min="1308" max="1536" width="9.140625" style="142"/>
    <col min="1537" max="1537" width="3" style="142" customWidth="1"/>
    <col min="1538" max="1538" width="18.7109375" style="142" customWidth="1"/>
    <col min="1539" max="1558" width="2.85546875" style="142" customWidth="1"/>
    <col min="1559" max="1559" width="3" style="142" bestFit="1" customWidth="1"/>
    <col min="1560" max="1560" width="10.5703125" style="142" customWidth="1"/>
    <col min="1561" max="1563" width="0" style="142" hidden="1" customWidth="1"/>
    <col min="1564" max="1792" width="9.140625" style="142"/>
    <col min="1793" max="1793" width="3" style="142" customWidth="1"/>
    <col min="1794" max="1794" width="18.7109375" style="142" customWidth="1"/>
    <col min="1795" max="1814" width="2.85546875" style="142" customWidth="1"/>
    <col min="1815" max="1815" width="3" style="142" bestFit="1" customWidth="1"/>
    <col min="1816" max="1816" width="10.5703125" style="142" customWidth="1"/>
    <col min="1817" max="1819" width="0" style="142" hidden="1" customWidth="1"/>
    <col min="1820" max="2048" width="9.140625" style="142"/>
    <col min="2049" max="2049" width="3" style="142" customWidth="1"/>
    <col min="2050" max="2050" width="18.7109375" style="142" customWidth="1"/>
    <col min="2051" max="2070" width="2.85546875" style="142" customWidth="1"/>
    <col min="2071" max="2071" width="3" style="142" bestFit="1" customWidth="1"/>
    <col min="2072" max="2072" width="10.5703125" style="142" customWidth="1"/>
    <col min="2073" max="2075" width="0" style="142" hidden="1" customWidth="1"/>
    <col min="2076" max="2304" width="9.140625" style="142"/>
    <col min="2305" max="2305" width="3" style="142" customWidth="1"/>
    <col min="2306" max="2306" width="18.7109375" style="142" customWidth="1"/>
    <col min="2307" max="2326" width="2.85546875" style="142" customWidth="1"/>
    <col min="2327" max="2327" width="3" style="142" bestFit="1" customWidth="1"/>
    <col min="2328" max="2328" width="10.5703125" style="142" customWidth="1"/>
    <col min="2329" max="2331" width="0" style="142" hidden="1" customWidth="1"/>
    <col min="2332" max="2560" width="9.140625" style="142"/>
    <col min="2561" max="2561" width="3" style="142" customWidth="1"/>
    <col min="2562" max="2562" width="18.7109375" style="142" customWidth="1"/>
    <col min="2563" max="2582" width="2.85546875" style="142" customWidth="1"/>
    <col min="2583" max="2583" width="3" style="142" bestFit="1" customWidth="1"/>
    <col min="2584" max="2584" width="10.5703125" style="142" customWidth="1"/>
    <col min="2585" max="2587" width="0" style="142" hidden="1" customWidth="1"/>
    <col min="2588" max="2816" width="9.140625" style="142"/>
    <col min="2817" max="2817" width="3" style="142" customWidth="1"/>
    <col min="2818" max="2818" width="18.7109375" style="142" customWidth="1"/>
    <col min="2819" max="2838" width="2.85546875" style="142" customWidth="1"/>
    <col min="2839" max="2839" width="3" style="142" bestFit="1" customWidth="1"/>
    <col min="2840" max="2840" width="10.5703125" style="142" customWidth="1"/>
    <col min="2841" max="2843" width="0" style="142" hidden="1" customWidth="1"/>
    <col min="2844" max="3072" width="9.140625" style="142"/>
    <col min="3073" max="3073" width="3" style="142" customWidth="1"/>
    <col min="3074" max="3074" width="18.7109375" style="142" customWidth="1"/>
    <col min="3075" max="3094" width="2.85546875" style="142" customWidth="1"/>
    <col min="3095" max="3095" width="3" style="142" bestFit="1" customWidth="1"/>
    <col min="3096" max="3096" width="10.5703125" style="142" customWidth="1"/>
    <col min="3097" max="3099" width="0" style="142" hidden="1" customWidth="1"/>
    <col min="3100" max="3328" width="9.140625" style="142"/>
    <col min="3329" max="3329" width="3" style="142" customWidth="1"/>
    <col min="3330" max="3330" width="18.7109375" style="142" customWidth="1"/>
    <col min="3331" max="3350" width="2.85546875" style="142" customWidth="1"/>
    <col min="3351" max="3351" width="3" style="142" bestFit="1" customWidth="1"/>
    <col min="3352" max="3352" width="10.5703125" style="142" customWidth="1"/>
    <col min="3353" max="3355" width="0" style="142" hidden="1" customWidth="1"/>
    <col min="3356" max="3584" width="9.140625" style="142"/>
    <col min="3585" max="3585" width="3" style="142" customWidth="1"/>
    <col min="3586" max="3586" width="18.7109375" style="142" customWidth="1"/>
    <col min="3587" max="3606" width="2.85546875" style="142" customWidth="1"/>
    <col min="3607" max="3607" width="3" style="142" bestFit="1" customWidth="1"/>
    <col min="3608" max="3608" width="10.5703125" style="142" customWidth="1"/>
    <col min="3609" max="3611" width="0" style="142" hidden="1" customWidth="1"/>
    <col min="3612" max="3840" width="9.140625" style="142"/>
    <col min="3841" max="3841" width="3" style="142" customWidth="1"/>
    <col min="3842" max="3842" width="18.7109375" style="142" customWidth="1"/>
    <col min="3843" max="3862" width="2.85546875" style="142" customWidth="1"/>
    <col min="3863" max="3863" width="3" style="142" bestFit="1" customWidth="1"/>
    <col min="3864" max="3864" width="10.5703125" style="142" customWidth="1"/>
    <col min="3865" max="3867" width="0" style="142" hidden="1" customWidth="1"/>
    <col min="3868" max="4096" width="9.140625" style="142"/>
    <col min="4097" max="4097" width="3" style="142" customWidth="1"/>
    <col min="4098" max="4098" width="18.7109375" style="142" customWidth="1"/>
    <col min="4099" max="4118" width="2.85546875" style="142" customWidth="1"/>
    <col min="4119" max="4119" width="3" style="142" bestFit="1" customWidth="1"/>
    <col min="4120" max="4120" width="10.5703125" style="142" customWidth="1"/>
    <col min="4121" max="4123" width="0" style="142" hidden="1" customWidth="1"/>
    <col min="4124" max="4352" width="9.140625" style="142"/>
    <col min="4353" max="4353" width="3" style="142" customWidth="1"/>
    <col min="4354" max="4354" width="18.7109375" style="142" customWidth="1"/>
    <col min="4355" max="4374" width="2.85546875" style="142" customWidth="1"/>
    <col min="4375" max="4375" width="3" style="142" bestFit="1" customWidth="1"/>
    <col min="4376" max="4376" width="10.5703125" style="142" customWidth="1"/>
    <col min="4377" max="4379" width="0" style="142" hidden="1" customWidth="1"/>
    <col min="4380" max="4608" width="9.140625" style="142"/>
    <col min="4609" max="4609" width="3" style="142" customWidth="1"/>
    <col min="4610" max="4610" width="18.7109375" style="142" customWidth="1"/>
    <col min="4611" max="4630" width="2.85546875" style="142" customWidth="1"/>
    <col min="4631" max="4631" width="3" style="142" bestFit="1" customWidth="1"/>
    <col min="4632" max="4632" width="10.5703125" style="142" customWidth="1"/>
    <col min="4633" max="4635" width="0" style="142" hidden="1" customWidth="1"/>
    <col min="4636" max="4864" width="9.140625" style="142"/>
    <col min="4865" max="4865" width="3" style="142" customWidth="1"/>
    <col min="4866" max="4866" width="18.7109375" style="142" customWidth="1"/>
    <col min="4867" max="4886" width="2.85546875" style="142" customWidth="1"/>
    <col min="4887" max="4887" width="3" style="142" bestFit="1" customWidth="1"/>
    <col min="4888" max="4888" width="10.5703125" style="142" customWidth="1"/>
    <col min="4889" max="4891" width="0" style="142" hidden="1" customWidth="1"/>
    <col min="4892" max="5120" width="9.140625" style="142"/>
    <col min="5121" max="5121" width="3" style="142" customWidth="1"/>
    <col min="5122" max="5122" width="18.7109375" style="142" customWidth="1"/>
    <col min="5123" max="5142" width="2.85546875" style="142" customWidth="1"/>
    <col min="5143" max="5143" width="3" style="142" bestFit="1" customWidth="1"/>
    <col min="5144" max="5144" width="10.5703125" style="142" customWidth="1"/>
    <col min="5145" max="5147" width="0" style="142" hidden="1" customWidth="1"/>
    <col min="5148" max="5376" width="9.140625" style="142"/>
    <col min="5377" max="5377" width="3" style="142" customWidth="1"/>
    <col min="5378" max="5378" width="18.7109375" style="142" customWidth="1"/>
    <col min="5379" max="5398" width="2.85546875" style="142" customWidth="1"/>
    <col min="5399" max="5399" width="3" style="142" bestFit="1" customWidth="1"/>
    <col min="5400" max="5400" width="10.5703125" style="142" customWidth="1"/>
    <col min="5401" max="5403" width="0" style="142" hidden="1" customWidth="1"/>
    <col min="5404" max="5632" width="9.140625" style="142"/>
    <col min="5633" max="5633" width="3" style="142" customWidth="1"/>
    <col min="5634" max="5634" width="18.7109375" style="142" customWidth="1"/>
    <col min="5635" max="5654" width="2.85546875" style="142" customWidth="1"/>
    <col min="5655" max="5655" width="3" style="142" bestFit="1" customWidth="1"/>
    <col min="5656" max="5656" width="10.5703125" style="142" customWidth="1"/>
    <col min="5657" max="5659" width="0" style="142" hidden="1" customWidth="1"/>
    <col min="5660" max="5888" width="9.140625" style="142"/>
    <col min="5889" max="5889" width="3" style="142" customWidth="1"/>
    <col min="5890" max="5890" width="18.7109375" style="142" customWidth="1"/>
    <col min="5891" max="5910" width="2.85546875" style="142" customWidth="1"/>
    <col min="5911" max="5911" width="3" style="142" bestFit="1" customWidth="1"/>
    <col min="5912" max="5912" width="10.5703125" style="142" customWidth="1"/>
    <col min="5913" max="5915" width="0" style="142" hidden="1" customWidth="1"/>
    <col min="5916" max="6144" width="9.140625" style="142"/>
    <col min="6145" max="6145" width="3" style="142" customWidth="1"/>
    <col min="6146" max="6146" width="18.7109375" style="142" customWidth="1"/>
    <col min="6147" max="6166" width="2.85546875" style="142" customWidth="1"/>
    <col min="6167" max="6167" width="3" style="142" bestFit="1" customWidth="1"/>
    <col min="6168" max="6168" width="10.5703125" style="142" customWidth="1"/>
    <col min="6169" max="6171" width="0" style="142" hidden="1" customWidth="1"/>
    <col min="6172" max="6400" width="9.140625" style="142"/>
    <col min="6401" max="6401" width="3" style="142" customWidth="1"/>
    <col min="6402" max="6402" width="18.7109375" style="142" customWidth="1"/>
    <col min="6403" max="6422" width="2.85546875" style="142" customWidth="1"/>
    <col min="6423" max="6423" width="3" style="142" bestFit="1" customWidth="1"/>
    <col min="6424" max="6424" width="10.5703125" style="142" customWidth="1"/>
    <col min="6425" max="6427" width="0" style="142" hidden="1" customWidth="1"/>
    <col min="6428" max="6656" width="9.140625" style="142"/>
    <col min="6657" max="6657" width="3" style="142" customWidth="1"/>
    <col min="6658" max="6658" width="18.7109375" style="142" customWidth="1"/>
    <col min="6659" max="6678" width="2.85546875" style="142" customWidth="1"/>
    <col min="6679" max="6679" width="3" style="142" bestFit="1" customWidth="1"/>
    <col min="6680" max="6680" width="10.5703125" style="142" customWidth="1"/>
    <col min="6681" max="6683" width="0" style="142" hidden="1" customWidth="1"/>
    <col min="6684" max="6912" width="9.140625" style="142"/>
    <col min="6913" max="6913" width="3" style="142" customWidth="1"/>
    <col min="6914" max="6914" width="18.7109375" style="142" customWidth="1"/>
    <col min="6915" max="6934" width="2.85546875" style="142" customWidth="1"/>
    <col min="6935" max="6935" width="3" style="142" bestFit="1" customWidth="1"/>
    <col min="6936" max="6936" width="10.5703125" style="142" customWidth="1"/>
    <col min="6937" max="6939" width="0" style="142" hidden="1" customWidth="1"/>
    <col min="6940" max="7168" width="9.140625" style="142"/>
    <col min="7169" max="7169" width="3" style="142" customWidth="1"/>
    <col min="7170" max="7170" width="18.7109375" style="142" customWidth="1"/>
    <col min="7171" max="7190" width="2.85546875" style="142" customWidth="1"/>
    <col min="7191" max="7191" width="3" style="142" bestFit="1" customWidth="1"/>
    <col min="7192" max="7192" width="10.5703125" style="142" customWidth="1"/>
    <col min="7193" max="7195" width="0" style="142" hidden="1" customWidth="1"/>
    <col min="7196" max="7424" width="9.140625" style="142"/>
    <col min="7425" max="7425" width="3" style="142" customWidth="1"/>
    <col min="7426" max="7426" width="18.7109375" style="142" customWidth="1"/>
    <col min="7427" max="7446" width="2.85546875" style="142" customWidth="1"/>
    <col min="7447" max="7447" width="3" style="142" bestFit="1" customWidth="1"/>
    <col min="7448" max="7448" width="10.5703125" style="142" customWidth="1"/>
    <col min="7449" max="7451" width="0" style="142" hidden="1" customWidth="1"/>
    <col min="7452" max="7680" width="9.140625" style="142"/>
    <col min="7681" max="7681" width="3" style="142" customWidth="1"/>
    <col min="7682" max="7682" width="18.7109375" style="142" customWidth="1"/>
    <col min="7683" max="7702" width="2.85546875" style="142" customWidth="1"/>
    <col min="7703" max="7703" width="3" style="142" bestFit="1" customWidth="1"/>
    <col min="7704" max="7704" width="10.5703125" style="142" customWidth="1"/>
    <col min="7705" max="7707" width="0" style="142" hidden="1" customWidth="1"/>
    <col min="7708" max="7936" width="9.140625" style="142"/>
    <col min="7937" max="7937" width="3" style="142" customWidth="1"/>
    <col min="7938" max="7938" width="18.7109375" style="142" customWidth="1"/>
    <col min="7939" max="7958" width="2.85546875" style="142" customWidth="1"/>
    <col min="7959" max="7959" width="3" style="142" bestFit="1" customWidth="1"/>
    <col min="7960" max="7960" width="10.5703125" style="142" customWidth="1"/>
    <col min="7961" max="7963" width="0" style="142" hidden="1" customWidth="1"/>
    <col min="7964" max="8192" width="9.140625" style="142"/>
    <col min="8193" max="8193" width="3" style="142" customWidth="1"/>
    <col min="8194" max="8194" width="18.7109375" style="142" customWidth="1"/>
    <col min="8195" max="8214" width="2.85546875" style="142" customWidth="1"/>
    <col min="8215" max="8215" width="3" style="142" bestFit="1" customWidth="1"/>
    <col min="8216" max="8216" width="10.5703125" style="142" customWidth="1"/>
    <col min="8217" max="8219" width="0" style="142" hidden="1" customWidth="1"/>
    <col min="8220" max="8448" width="9.140625" style="142"/>
    <col min="8449" max="8449" width="3" style="142" customWidth="1"/>
    <col min="8450" max="8450" width="18.7109375" style="142" customWidth="1"/>
    <col min="8451" max="8470" width="2.85546875" style="142" customWidth="1"/>
    <col min="8471" max="8471" width="3" style="142" bestFit="1" customWidth="1"/>
    <col min="8472" max="8472" width="10.5703125" style="142" customWidth="1"/>
    <col min="8473" max="8475" width="0" style="142" hidden="1" customWidth="1"/>
    <col min="8476" max="8704" width="9.140625" style="142"/>
    <col min="8705" max="8705" width="3" style="142" customWidth="1"/>
    <col min="8706" max="8706" width="18.7109375" style="142" customWidth="1"/>
    <col min="8707" max="8726" width="2.85546875" style="142" customWidth="1"/>
    <col min="8727" max="8727" width="3" style="142" bestFit="1" customWidth="1"/>
    <col min="8728" max="8728" width="10.5703125" style="142" customWidth="1"/>
    <col min="8729" max="8731" width="0" style="142" hidden="1" customWidth="1"/>
    <col min="8732" max="8960" width="9.140625" style="142"/>
    <col min="8961" max="8961" width="3" style="142" customWidth="1"/>
    <col min="8962" max="8962" width="18.7109375" style="142" customWidth="1"/>
    <col min="8963" max="8982" width="2.85546875" style="142" customWidth="1"/>
    <col min="8983" max="8983" width="3" style="142" bestFit="1" customWidth="1"/>
    <col min="8984" max="8984" width="10.5703125" style="142" customWidth="1"/>
    <col min="8985" max="8987" width="0" style="142" hidden="1" customWidth="1"/>
    <col min="8988" max="9216" width="9.140625" style="142"/>
    <col min="9217" max="9217" width="3" style="142" customWidth="1"/>
    <col min="9218" max="9218" width="18.7109375" style="142" customWidth="1"/>
    <col min="9219" max="9238" width="2.85546875" style="142" customWidth="1"/>
    <col min="9239" max="9239" width="3" style="142" bestFit="1" customWidth="1"/>
    <col min="9240" max="9240" width="10.5703125" style="142" customWidth="1"/>
    <col min="9241" max="9243" width="0" style="142" hidden="1" customWidth="1"/>
    <col min="9244" max="9472" width="9.140625" style="142"/>
    <col min="9473" max="9473" width="3" style="142" customWidth="1"/>
    <col min="9474" max="9474" width="18.7109375" style="142" customWidth="1"/>
    <col min="9475" max="9494" width="2.85546875" style="142" customWidth="1"/>
    <col min="9495" max="9495" width="3" style="142" bestFit="1" customWidth="1"/>
    <col min="9496" max="9496" width="10.5703125" style="142" customWidth="1"/>
    <col min="9497" max="9499" width="0" style="142" hidden="1" customWidth="1"/>
    <col min="9500" max="9728" width="9.140625" style="142"/>
    <col min="9729" max="9729" width="3" style="142" customWidth="1"/>
    <col min="9730" max="9730" width="18.7109375" style="142" customWidth="1"/>
    <col min="9731" max="9750" width="2.85546875" style="142" customWidth="1"/>
    <col min="9751" max="9751" width="3" style="142" bestFit="1" customWidth="1"/>
    <col min="9752" max="9752" width="10.5703125" style="142" customWidth="1"/>
    <col min="9753" max="9755" width="0" style="142" hidden="1" customWidth="1"/>
    <col min="9756" max="9984" width="9.140625" style="142"/>
    <col min="9985" max="9985" width="3" style="142" customWidth="1"/>
    <col min="9986" max="9986" width="18.7109375" style="142" customWidth="1"/>
    <col min="9987" max="10006" width="2.85546875" style="142" customWidth="1"/>
    <col min="10007" max="10007" width="3" style="142" bestFit="1" customWidth="1"/>
    <col min="10008" max="10008" width="10.5703125" style="142" customWidth="1"/>
    <col min="10009" max="10011" width="0" style="142" hidden="1" customWidth="1"/>
    <col min="10012" max="10240" width="9.140625" style="142"/>
    <col min="10241" max="10241" width="3" style="142" customWidth="1"/>
    <col min="10242" max="10242" width="18.7109375" style="142" customWidth="1"/>
    <col min="10243" max="10262" width="2.85546875" style="142" customWidth="1"/>
    <col min="10263" max="10263" width="3" style="142" bestFit="1" customWidth="1"/>
    <col min="10264" max="10264" width="10.5703125" style="142" customWidth="1"/>
    <col min="10265" max="10267" width="0" style="142" hidden="1" customWidth="1"/>
    <col min="10268" max="10496" width="9.140625" style="142"/>
    <col min="10497" max="10497" width="3" style="142" customWidth="1"/>
    <col min="10498" max="10498" width="18.7109375" style="142" customWidth="1"/>
    <col min="10499" max="10518" width="2.85546875" style="142" customWidth="1"/>
    <col min="10519" max="10519" width="3" style="142" bestFit="1" customWidth="1"/>
    <col min="10520" max="10520" width="10.5703125" style="142" customWidth="1"/>
    <col min="10521" max="10523" width="0" style="142" hidden="1" customWidth="1"/>
    <col min="10524" max="10752" width="9.140625" style="142"/>
    <col min="10753" max="10753" width="3" style="142" customWidth="1"/>
    <col min="10754" max="10754" width="18.7109375" style="142" customWidth="1"/>
    <col min="10755" max="10774" width="2.85546875" style="142" customWidth="1"/>
    <col min="10775" max="10775" width="3" style="142" bestFit="1" customWidth="1"/>
    <col min="10776" max="10776" width="10.5703125" style="142" customWidth="1"/>
    <col min="10777" max="10779" width="0" style="142" hidden="1" customWidth="1"/>
    <col min="10780" max="11008" width="9.140625" style="142"/>
    <col min="11009" max="11009" width="3" style="142" customWidth="1"/>
    <col min="11010" max="11010" width="18.7109375" style="142" customWidth="1"/>
    <col min="11011" max="11030" width="2.85546875" style="142" customWidth="1"/>
    <col min="11031" max="11031" width="3" style="142" bestFit="1" customWidth="1"/>
    <col min="11032" max="11032" width="10.5703125" style="142" customWidth="1"/>
    <col min="11033" max="11035" width="0" style="142" hidden="1" customWidth="1"/>
    <col min="11036" max="11264" width="9.140625" style="142"/>
    <col min="11265" max="11265" width="3" style="142" customWidth="1"/>
    <col min="11266" max="11266" width="18.7109375" style="142" customWidth="1"/>
    <col min="11267" max="11286" width="2.85546875" style="142" customWidth="1"/>
    <col min="11287" max="11287" width="3" style="142" bestFit="1" customWidth="1"/>
    <col min="11288" max="11288" width="10.5703125" style="142" customWidth="1"/>
    <col min="11289" max="11291" width="0" style="142" hidden="1" customWidth="1"/>
    <col min="11292" max="11520" width="9.140625" style="142"/>
    <col min="11521" max="11521" width="3" style="142" customWidth="1"/>
    <col min="11522" max="11522" width="18.7109375" style="142" customWidth="1"/>
    <col min="11523" max="11542" width="2.85546875" style="142" customWidth="1"/>
    <col min="11543" max="11543" width="3" style="142" bestFit="1" customWidth="1"/>
    <col min="11544" max="11544" width="10.5703125" style="142" customWidth="1"/>
    <col min="11545" max="11547" width="0" style="142" hidden="1" customWidth="1"/>
    <col min="11548" max="11776" width="9.140625" style="142"/>
    <col min="11777" max="11777" width="3" style="142" customWidth="1"/>
    <col min="11778" max="11778" width="18.7109375" style="142" customWidth="1"/>
    <col min="11779" max="11798" width="2.85546875" style="142" customWidth="1"/>
    <col min="11799" max="11799" width="3" style="142" bestFit="1" customWidth="1"/>
    <col min="11800" max="11800" width="10.5703125" style="142" customWidth="1"/>
    <col min="11801" max="11803" width="0" style="142" hidden="1" customWidth="1"/>
    <col min="11804" max="12032" width="9.140625" style="142"/>
    <col min="12033" max="12033" width="3" style="142" customWidth="1"/>
    <col min="12034" max="12034" width="18.7109375" style="142" customWidth="1"/>
    <col min="12035" max="12054" width="2.85546875" style="142" customWidth="1"/>
    <col min="12055" max="12055" width="3" style="142" bestFit="1" customWidth="1"/>
    <col min="12056" max="12056" width="10.5703125" style="142" customWidth="1"/>
    <col min="12057" max="12059" width="0" style="142" hidden="1" customWidth="1"/>
    <col min="12060" max="12288" width="9.140625" style="142"/>
    <col min="12289" max="12289" width="3" style="142" customWidth="1"/>
    <col min="12290" max="12290" width="18.7109375" style="142" customWidth="1"/>
    <col min="12291" max="12310" width="2.85546875" style="142" customWidth="1"/>
    <col min="12311" max="12311" width="3" style="142" bestFit="1" customWidth="1"/>
    <col min="12312" max="12312" width="10.5703125" style="142" customWidth="1"/>
    <col min="12313" max="12315" width="0" style="142" hidden="1" customWidth="1"/>
    <col min="12316" max="12544" width="9.140625" style="142"/>
    <col min="12545" max="12545" width="3" style="142" customWidth="1"/>
    <col min="12546" max="12546" width="18.7109375" style="142" customWidth="1"/>
    <col min="12547" max="12566" width="2.85546875" style="142" customWidth="1"/>
    <col min="12567" max="12567" width="3" style="142" bestFit="1" customWidth="1"/>
    <col min="12568" max="12568" width="10.5703125" style="142" customWidth="1"/>
    <col min="12569" max="12571" width="0" style="142" hidden="1" customWidth="1"/>
    <col min="12572" max="12800" width="9.140625" style="142"/>
    <col min="12801" max="12801" width="3" style="142" customWidth="1"/>
    <col min="12802" max="12802" width="18.7109375" style="142" customWidth="1"/>
    <col min="12803" max="12822" width="2.85546875" style="142" customWidth="1"/>
    <col min="12823" max="12823" width="3" style="142" bestFit="1" customWidth="1"/>
    <col min="12824" max="12824" width="10.5703125" style="142" customWidth="1"/>
    <col min="12825" max="12827" width="0" style="142" hidden="1" customWidth="1"/>
    <col min="12828" max="13056" width="9.140625" style="142"/>
    <col min="13057" max="13057" width="3" style="142" customWidth="1"/>
    <col min="13058" max="13058" width="18.7109375" style="142" customWidth="1"/>
    <col min="13059" max="13078" width="2.85546875" style="142" customWidth="1"/>
    <col min="13079" max="13079" width="3" style="142" bestFit="1" customWidth="1"/>
    <col min="13080" max="13080" width="10.5703125" style="142" customWidth="1"/>
    <col min="13081" max="13083" width="0" style="142" hidden="1" customWidth="1"/>
    <col min="13084" max="13312" width="9.140625" style="142"/>
    <col min="13313" max="13313" width="3" style="142" customWidth="1"/>
    <col min="13314" max="13314" width="18.7109375" style="142" customWidth="1"/>
    <col min="13315" max="13334" width="2.85546875" style="142" customWidth="1"/>
    <col min="13335" max="13335" width="3" style="142" bestFit="1" customWidth="1"/>
    <col min="13336" max="13336" width="10.5703125" style="142" customWidth="1"/>
    <col min="13337" max="13339" width="0" style="142" hidden="1" customWidth="1"/>
    <col min="13340" max="13568" width="9.140625" style="142"/>
    <col min="13569" max="13569" width="3" style="142" customWidth="1"/>
    <col min="13570" max="13570" width="18.7109375" style="142" customWidth="1"/>
    <col min="13571" max="13590" width="2.85546875" style="142" customWidth="1"/>
    <col min="13591" max="13591" width="3" style="142" bestFit="1" customWidth="1"/>
    <col min="13592" max="13592" width="10.5703125" style="142" customWidth="1"/>
    <col min="13593" max="13595" width="0" style="142" hidden="1" customWidth="1"/>
    <col min="13596" max="13824" width="9.140625" style="142"/>
    <col min="13825" max="13825" width="3" style="142" customWidth="1"/>
    <col min="13826" max="13826" width="18.7109375" style="142" customWidth="1"/>
    <col min="13827" max="13846" width="2.85546875" style="142" customWidth="1"/>
    <col min="13847" max="13847" width="3" style="142" bestFit="1" customWidth="1"/>
    <col min="13848" max="13848" width="10.5703125" style="142" customWidth="1"/>
    <col min="13849" max="13851" width="0" style="142" hidden="1" customWidth="1"/>
    <col min="13852" max="14080" width="9.140625" style="142"/>
    <col min="14081" max="14081" width="3" style="142" customWidth="1"/>
    <col min="14082" max="14082" width="18.7109375" style="142" customWidth="1"/>
    <col min="14083" max="14102" width="2.85546875" style="142" customWidth="1"/>
    <col min="14103" max="14103" width="3" style="142" bestFit="1" customWidth="1"/>
    <col min="14104" max="14104" width="10.5703125" style="142" customWidth="1"/>
    <col min="14105" max="14107" width="0" style="142" hidden="1" customWidth="1"/>
    <col min="14108" max="14336" width="9.140625" style="142"/>
    <col min="14337" max="14337" width="3" style="142" customWidth="1"/>
    <col min="14338" max="14338" width="18.7109375" style="142" customWidth="1"/>
    <col min="14339" max="14358" width="2.85546875" style="142" customWidth="1"/>
    <col min="14359" max="14359" width="3" style="142" bestFit="1" customWidth="1"/>
    <col min="14360" max="14360" width="10.5703125" style="142" customWidth="1"/>
    <col min="14361" max="14363" width="0" style="142" hidden="1" customWidth="1"/>
    <col min="14364" max="14592" width="9.140625" style="142"/>
    <col min="14593" max="14593" width="3" style="142" customWidth="1"/>
    <col min="14594" max="14594" width="18.7109375" style="142" customWidth="1"/>
    <col min="14595" max="14614" width="2.85546875" style="142" customWidth="1"/>
    <col min="14615" max="14615" width="3" style="142" bestFit="1" customWidth="1"/>
    <col min="14616" max="14616" width="10.5703125" style="142" customWidth="1"/>
    <col min="14617" max="14619" width="0" style="142" hidden="1" customWidth="1"/>
    <col min="14620" max="14848" width="9.140625" style="142"/>
    <col min="14849" max="14849" width="3" style="142" customWidth="1"/>
    <col min="14850" max="14850" width="18.7109375" style="142" customWidth="1"/>
    <col min="14851" max="14870" width="2.85546875" style="142" customWidth="1"/>
    <col min="14871" max="14871" width="3" style="142" bestFit="1" customWidth="1"/>
    <col min="14872" max="14872" width="10.5703125" style="142" customWidth="1"/>
    <col min="14873" max="14875" width="0" style="142" hidden="1" customWidth="1"/>
    <col min="14876" max="15104" width="9.140625" style="142"/>
    <col min="15105" max="15105" width="3" style="142" customWidth="1"/>
    <col min="15106" max="15106" width="18.7109375" style="142" customWidth="1"/>
    <col min="15107" max="15126" width="2.85546875" style="142" customWidth="1"/>
    <col min="15127" max="15127" width="3" style="142" bestFit="1" customWidth="1"/>
    <col min="15128" max="15128" width="10.5703125" style="142" customWidth="1"/>
    <col min="15129" max="15131" width="0" style="142" hidden="1" customWidth="1"/>
    <col min="15132" max="15360" width="9.140625" style="142"/>
    <col min="15361" max="15361" width="3" style="142" customWidth="1"/>
    <col min="15362" max="15362" width="18.7109375" style="142" customWidth="1"/>
    <col min="15363" max="15382" width="2.85546875" style="142" customWidth="1"/>
    <col min="15383" max="15383" width="3" style="142" bestFit="1" customWidth="1"/>
    <col min="15384" max="15384" width="10.5703125" style="142" customWidth="1"/>
    <col min="15385" max="15387" width="0" style="142" hidden="1" customWidth="1"/>
    <col min="15388" max="15616" width="9.140625" style="142"/>
    <col min="15617" max="15617" width="3" style="142" customWidth="1"/>
    <col min="15618" max="15618" width="18.7109375" style="142" customWidth="1"/>
    <col min="15619" max="15638" width="2.85546875" style="142" customWidth="1"/>
    <col min="15639" max="15639" width="3" style="142" bestFit="1" customWidth="1"/>
    <col min="15640" max="15640" width="10.5703125" style="142" customWidth="1"/>
    <col min="15641" max="15643" width="0" style="142" hidden="1" customWidth="1"/>
    <col min="15644" max="15872" width="9.140625" style="142"/>
    <col min="15873" max="15873" width="3" style="142" customWidth="1"/>
    <col min="15874" max="15874" width="18.7109375" style="142" customWidth="1"/>
    <col min="15875" max="15894" width="2.85546875" style="142" customWidth="1"/>
    <col min="15895" max="15895" width="3" style="142" bestFit="1" customWidth="1"/>
    <col min="15896" max="15896" width="10.5703125" style="142" customWidth="1"/>
    <col min="15897" max="15899" width="0" style="142" hidden="1" customWidth="1"/>
    <col min="15900" max="16128" width="9.140625" style="142"/>
    <col min="16129" max="16129" width="3" style="142" customWidth="1"/>
    <col min="16130" max="16130" width="18.7109375" style="142" customWidth="1"/>
    <col min="16131" max="16150" width="2.85546875" style="142" customWidth="1"/>
    <col min="16151" max="16151" width="3" style="142" bestFit="1" customWidth="1"/>
    <col min="16152" max="16152" width="10.5703125" style="142" customWidth="1"/>
    <col min="16153" max="16155" width="0" style="142" hidden="1" customWidth="1"/>
    <col min="16156" max="16384" width="9.140625" style="142"/>
  </cols>
  <sheetData>
    <row r="1" spans="1:24" s="135" customFormat="1" x14ac:dyDescent="0.2">
      <c r="A1" s="117" t="str">
        <f>UPPER((Kalend!E13)&amp;" - "&amp;(Kalend!C13)&amp;" - "&amp;(Kalend!D13))</f>
        <v>5M - 17. EESTI MV - TULISTAMINE</v>
      </c>
      <c r="B1" s="206"/>
      <c r="C1" s="206"/>
      <c r="D1" s="206"/>
      <c r="E1" s="206"/>
      <c r="I1" s="507" t="s">
        <v>168</v>
      </c>
      <c r="Q1" s="85" t="str">
        <f>HYPERLINK("#Üldreiting!I1","Reiting")</f>
        <v>Reiting</v>
      </c>
      <c r="R1" s="206"/>
      <c r="S1" s="206"/>
      <c r="T1" s="206"/>
      <c r="U1" s="206"/>
    </row>
    <row r="2" spans="1:24" s="135" customFormat="1" x14ac:dyDescent="0.2">
      <c r="A2" s="116" t="str">
        <f>"Toimumisaeg: "&amp;(Kalend!A13)&amp;" kell "&amp;(Kalend!B13)</f>
        <v>Toimumisaeg: P, 11.06.2017 kell 10:00</v>
      </c>
      <c r="B2" s="206"/>
      <c r="C2" s="206"/>
      <c r="D2" s="206"/>
      <c r="E2" s="206"/>
      <c r="O2" s="206"/>
      <c r="P2" s="206"/>
      <c r="Q2" s="206"/>
      <c r="R2" s="206"/>
      <c r="S2" s="206"/>
      <c r="T2" s="206"/>
    </row>
    <row r="3" spans="1:24" s="135" customFormat="1" x14ac:dyDescent="0.2">
      <c r="A3" s="116" t="str">
        <f>"Toimumiskoht: "&amp;(Kalend!H13)</f>
        <v>Toimumiskoht: Kohtla-Järve, Järveküla tee 44</v>
      </c>
      <c r="B3" s="206"/>
      <c r="C3" s="206"/>
      <c r="D3" s="206"/>
      <c r="E3" s="206"/>
      <c r="O3" s="206"/>
      <c r="P3" s="206"/>
      <c r="Q3" s="206"/>
      <c r="R3" s="206"/>
      <c r="S3" s="206"/>
      <c r="T3" s="206"/>
    </row>
    <row r="4" spans="1:24" s="135" customFormat="1" x14ac:dyDescent="0.2">
      <c r="A4" s="116" t="str">
        <f>"Korraldaja: "&amp;(Kalend!I13)</f>
        <v>Korraldaja: Kohtla-Järve SHK, Ivar Viljaste</v>
      </c>
      <c r="B4" s="206"/>
      <c r="C4" s="206"/>
      <c r="D4" s="206"/>
      <c r="E4" s="206"/>
      <c r="O4" s="206"/>
      <c r="P4" s="206"/>
      <c r="Q4" s="206"/>
      <c r="R4" s="206"/>
      <c r="S4" s="206"/>
      <c r="T4" s="206"/>
    </row>
    <row r="5" spans="1:24" s="135" customFormat="1" ht="13.5" thickBot="1" x14ac:dyDescent="0.25">
      <c r="A5" s="206"/>
      <c r="B5" s="206"/>
      <c r="C5" s="206"/>
      <c r="D5" s="206"/>
      <c r="E5" s="206"/>
      <c r="F5" s="206"/>
      <c r="G5" s="206"/>
      <c r="H5" s="206"/>
      <c r="I5" s="206"/>
      <c r="J5" s="206"/>
      <c r="K5" s="206"/>
    </row>
    <row r="6" spans="1:24" ht="63.75" customHeight="1" thickBot="1" x14ac:dyDescent="0.25">
      <c r="A6" s="232"/>
      <c r="B6" s="233"/>
      <c r="C6" s="234"/>
      <c r="D6" s="234"/>
      <c r="E6" s="234"/>
      <c r="F6" s="234"/>
      <c r="G6" s="235"/>
      <c r="H6" s="234"/>
      <c r="I6" s="234"/>
      <c r="J6" s="236"/>
      <c r="K6" s="234"/>
      <c r="L6" s="234"/>
      <c r="M6" s="234"/>
      <c r="N6" s="234"/>
      <c r="O6" s="235"/>
      <c r="P6" s="234"/>
      <c r="Q6" s="234"/>
      <c r="R6" s="236"/>
      <c r="S6" s="234"/>
      <c r="T6" s="234"/>
      <c r="U6" s="234"/>
      <c r="V6" s="234"/>
      <c r="W6" s="237"/>
      <c r="X6" s="237"/>
    </row>
    <row r="7" spans="1:24" s="143" customFormat="1" ht="13.5" thickBot="1" x14ac:dyDescent="0.25">
      <c r="A7" s="238"/>
      <c r="B7" s="239"/>
      <c r="C7" s="240">
        <v>6</v>
      </c>
      <c r="D7" s="241">
        <v>7</v>
      </c>
      <c r="E7" s="241">
        <v>8</v>
      </c>
      <c r="F7" s="242">
        <v>9</v>
      </c>
      <c r="G7" s="240">
        <v>6</v>
      </c>
      <c r="H7" s="241">
        <v>7</v>
      </c>
      <c r="I7" s="241">
        <v>8</v>
      </c>
      <c r="J7" s="242">
        <v>9</v>
      </c>
      <c r="K7" s="240">
        <v>6</v>
      </c>
      <c r="L7" s="241">
        <v>7</v>
      </c>
      <c r="M7" s="241">
        <v>8</v>
      </c>
      <c r="N7" s="242">
        <v>9</v>
      </c>
      <c r="O7" s="240">
        <v>6</v>
      </c>
      <c r="P7" s="241">
        <v>7</v>
      </c>
      <c r="Q7" s="241">
        <v>8</v>
      </c>
      <c r="R7" s="242">
        <v>9</v>
      </c>
      <c r="S7" s="240">
        <v>6</v>
      </c>
      <c r="T7" s="241">
        <v>7</v>
      </c>
      <c r="U7" s="241">
        <v>8</v>
      </c>
      <c r="V7" s="242">
        <v>9</v>
      </c>
      <c r="W7" s="243" t="s">
        <v>155</v>
      </c>
      <c r="X7" s="244" t="s">
        <v>222</v>
      </c>
    </row>
    <row r="8" spans="1:24" x14ac:dyDescent="0.2">
      <c r="A8" s="245"/>
      <c r="B8" s="246" t="s">
        <v>221</v>
      </c>
      <c r="C8" s="247"/>
      <c r="D8" s="248"/>
      <c r="E8" s="248"/>
      <c r="F8" s="249"/>
      <c r="G8" s="247"/>
      <c r="H8" s="248"/>
      <c r="I8" s="248"/>
      <c r="J8" s="249"/>
      <c r="K8" s="247"/>
      <c r="L8" s="248"/>
      <c r="M8" s="248"/>
      <c r="N8" s="249"/>
      <c r="O8" s="247"/>
      <c r="P8" s="248"/>
      <c r="Q8" s="248"/>
      <c r="R8" s="249"/>
      <c r="S8" s="247"/>
      <c r="T8" s="248"/>
      <c r="U8" s="248"/>
      <c r="V8" s="249"/>
      <c r="W8" s="245"/>
      <c r="X8" s="250"/>
    </row>
    <row r="9" spans="1:24" x14ac:dyDescent="0.2">
      <c r="A9" s="171">
        <v>1</v>
      </c>
      <c r="B9" s="200"/>
      <c r="C9" s="162"/>
      <c r="D9" s="163"/>
      <c r="E9" s="163"/>
      <c r="F9" s="164"/>
      <c r="G9" s="162"/>
      <c r="H9" s="163"/>
      <c r="I9" s="163"/>
      <c r="J9" s="164"/>
      <c r="K9" s="162"/>
      <c r="L9" s="163"/>
      <c r="M9" s="163"/>
      <c r="N9" s="164"/>
      <c r="O9" s="162"/>
      <c r="P9" s="163"/>
      <c r="Q9" s="163"/>
      <c r="R9" s="164"/>
      <c r="S9" s="162"/>
      <c r="T9" s="163"/>
      <c r="U9" s="163"/>
      <c r="V9" s="164"/>
      <c r="W9" s="165" t="str">
        <f>IF(COUNTA(C9:V9)=0,"",SUM(C9:V9)+COUNTIF(C9:V9,5)/100+COUNTIF(C9:V9,3)/10000)</f>
        <v/>
      </c>
      <c r="X9" s="165" t="str">
        <f>IF(COUNTA(C9:V9)=0,"",IF(RANK(W9,$W$9:$W$26)&lt;9,"edasi "&amp;RANK(W9,$W$9:$W$26),RANK(W9,$W$9:$W$26)))</f>
        <v/>
      </c>
    </row>
    <row r="10" spans="1:24" x14ac:dyDescent="0.2">
      <c r="A10" s="171">
        <v>2</v>
      </c>
      <c r="B10" s="197"/>
      <c r="C10" s="162"/>
      <c r="D10" s="163"/>
      <c r="E10" s="163"/>
      <c r="F10" s="164"/>
      <c r="G10" s="162"/>
      <c r="H10" s="163"/>
      <c r="I10" s="163"/>
      <c r="J10" s="164"/>
      <c r="K10" s="162"/>
      <c r="L10" s="163"/>
      <c r="M10" s="163"/>
      <c r="N10" s="164"/>
      <c r="O10" s="162"/>
      <c r="P10" s="163"/>
      <c r="Q10" s="163"/>
      <c r="R10" s="164"/>
      <c r="S10" s="162"/>
      <c r="T10" s="163"/>
      <c r="U10" s="163"/>
      <c r="V10" s="164"/>
      <c r="W10" s="165" t="str">
        <f t="shared" ref="W10:W26" si="0">IF(COUNTA(C10:V10)=0,"",SUM(C10:V10)+COUNTIF(C10:V10,5)/100+COUNTIF(C10:V10,3)/10000)</f>
        <v/>
      </c>
      <c r="X10" s="165" t="str">
        <f t="shared" ref="X10:X26" si="1">IF(COUNTA(C10:V10)=0,"",IF(RANK(W10,$W$9:$W$26)&lt;9,"edasi "&amp;RANK(W10,$W$9:$W$26),RANK(W10,$W$9:$W$26)))</f>
        <v/>
      </c>
    </row>
    <row r="11" spans="1:24" x14ac:dyDescent="0.2">
      <c r="A11" s="169">
        <v>3</v>
      </c>
      <c r="B11" s="195"/>
      <c r="C11" s="166"/>
      <c r="D11" s="167"/>
      <c r="E11" s="167"/>
      <c r="F11" s="168"/>
      <c r="G11" s="166"/>
      <c r="H11" s="167"/>
      <c r="I11" s="167"/>
      <c r="J11" s="168"/>
      <c r="K11" s="166"/>
      <c r="L11" s="167"/>
      <c r="M11" s="167"/>
      <c r="N11" s="168"/>
      <c r="O11" s="166"/>
      <c r="P11" s="167"/>
      <c r="Q11" s="167"/>
      <c r="R11" s="168"/>
      <c r="S11" s="166"/>
      <c r="T11" s="167"/>
      <c r="U11" s="167"/>
      <c r="V11" s="168"/>
      <c r="W11" s="150" t="str">
        <f t="shared" si="0"/>
        <v/>
      </c>
      <c r="X11" s="150" t="str">
        <f t="shared" si="1"/>
        <v/>
      </c>
    </row>
    <row r="12" spans="1:24" x14ac:dyDescent="0.2">
      <c r="A12" s="169">
        <v>4</v>
      </c>
      <c r="B12" s="201"/>
      <c r="C12" s="166"/>
      <c r="D12" s="167"/>
      <c r="E12" s="167"/>
      <c r="F12" s="168"/>
      <c r="G12" s="166"/>
      <c r="H12" s="167"/>
      <c r="I12" s="167"/>
      <c r="J12" s="168"/>
      <c r="K12" s="166"/>
      <c r="L12" s="167"/>
      <c r="M12" s="167"/>
      <c r="N12" s="168"/>
      <c r="O12" s="166"/>
      <c r="P12" s="167"/>
      <c r="Q12" s="167"/>
      <c r="R12" s="168"/>
      <c r="S12" s="166"/>
      <c r="T12" s="167"/>
      <c r="U12" s="167"/>
      <c r="V12" s="168"/>
      <c r="W12" s="150" t="str">
        <f t="shared" si="0"/>
        <v/>
      </c>
      <c r="X12" s="150" t="str">
        <f t="shared" si="1"/>
        <v/>
      </c>
    </row>
    <row r="13" spans="1:24" x14ac:dyDescent="0.2">
      <c r="A13" s="171">
        <v>5</v>
      </c>
      <c r="B13" s="197"/>
      <c r="C13" s="162"/>
      <c r="D13" s="163"/>
      <c r="E13" s="163"/>
      <c r="F13" s="164"/>
      <c r="G13" s="162"/>
      <c r="H13" s="163"/>
      <c r="I13" s="163"/>
      <c r="J13" s="164"/>
      <c r="K13" s="162"/>
      <c r="L13" s="163"/>
      <c r="M13" s="163"/>
      <c r="N13" s="164"/>
      <c r="O13" s="162"/>
      <c r="P13" s="163"/>
      <c r="Q13" s="163"/>
      <c r="R13" s="164"/>
      <c r="S13" s="162"/>
      <c r="T13" s="163"/>
      <c r="U13" s="163"/>
      <c r="V13" s="164"/>
      <c r="W13" s="165" t="str">
        <f t="shared" si="0"/>
        <v/>
      </c>
      <c r="X13" s="165" t="str">
        <f t="shared" si="1"/>
        <v/>
      </c>
    </row>
    <row r="14" spans="1:24" x14ac:dyDescent="0.2">
      <c r="A14" s="171">
        <v>6</v>
      </c>
      <c r="B14" s="200"/>
      <c r="C14" s="162"/>
      <c r="D14" s="163"/>
      <c r="E14" s="163"/>
      <c r="F14" s="164"/>
      <c r="G14" s="162"/>
      <c r="H14" s="163"/>
      <c r="I14" s="163"/>
      <c r="J14" s="164"/>
      <c r="K14" s="162"/>
      <c r="L14" s="163"/>
      <c r="M14" s="163"/>
      <c r="N14" s="164"/>
      <c r="O14" s="162"/>
      <c r="P14" s="163"/>
      <c r="Q14" s="163"/>
      <c r="R14" s="164"/>
      <c r="S14" s="162"/>
      <c r="T14" s="163"/>
      <c r="U14" s="163"/>
      <c r="V14" s="164"/>
      <c r="W14" s="165" t="str">
        <f t="shared" si="0"/>
        <v/>
      </c>
      <c r="X14" s="165" t="str">
        <f t="shared" si="1"/>
        <v/>
      </c>
    </row>
    <row r="15" spans="1:24" x14ac:dyDescent="0.2">
      <c r="A15" s="169">
        <v>7</v>
      </c>
      <c r="B15" s="199"/>
      <c r="C15" s="166"/>
      <c r="D15" s="167"/>
      <c r="E15" s="167"/>
      <c r="F15" s="168"/>
      <c r="G15" s="166"/>
      <c r="H15" s="167"/>
      <c r="I15" s="167"/>
      <c r="J15" s="168"/>
      <c r="K15" s="166"/>
      <c r="L15" s="167"/>
      <c r="M15" s="167"/>
      <c r="N15" s="168"/>
      <c r="O15" s="166"/>
      <c r="P15" s="167"/>
      <c r="Q15" s="167"/>
      <c r="R15" s="168"/>
      <c r="S15" s="166"/>
      <c r="T15" s="167"/>
      <c r="U15" s="167"/>
      <c r="V15" s="168"/>
      <c r="W15" s="150" t="str">
        <f t="shared" si="0"/>
        <v/>
      </c>
      <c r="X15" s="150" t="str">
        <f t="shared" si="1"/>
        <v/>
      </c>
    </row>
    <row r="16" spans="1:24" x14ac:dyDescent="0.2">
      <c r="A16" s="169">
        <v>8</v>
      </c>
      <c r="B16" s="198"/>
      <c r="C16" s="166"/>
      <c r="D16" s="167"/>
      <c r="E16" s="167"/>
      <c r="F16" s="168"/>
      <c r="G16" s="166"/>
      <c r="H16" s="167"/>
      <c r="I16" s="167"/>
      <c r="J16" s="168"/>
      <c r="K16" s="166"/>
      <c r="L16" s="167"/>
      <c r="M16" s="167"/>
      <c r="N16" s="168"/>
      <c r="O16" s="166"/>
      <c r="P16" s="167"/>
      <c r="Q16" s="167"/>
      <c r="R16" s="168"/>
      <c r="S16" s="166"/>
      <c r="T16" s="167"/>
      <c r="U16" s="167"/>
      <c r="V16" s="168"/>
      <c r="W16" s="150" t="str">
        <f t="shared" si="0"/>
        <v/>
      </c>
      <c r="X16" s="150" t="str">
        <f t="shared" si="1"/>
        <v/>
      </c>
    </row>
    <row r="17" spans="1:27" x14ac:dyDescent="0.2">
      <c r="A17" s="171">
        <v>9</v>
      </c>
      <c r="B17" s="197"/>
      <c r="C17" s="162"/>
      <c r="D17" s="163"/>
      <c r="E17" s="163"/>
      <c r="F17" s="164"/>
      <c r="G17" s="162"/>
      <c r="H17" s="163"/>
      <c r="I17" s="163"/>
      <c r="J17" s="164"/>
      <c r="K17" s="162"/>
      <c r="L17" s="163"/>
      <c r="M17" s="163"/>
      <c r="N17" s="164"/>
      <c r="O17" s="162"/>
      <c r="P17" s="163"/>
      <c r="Q17" s="163"/>
      <c r="R17" s="164"/>
      <c r="S17" s="162"/>
      <c r="T17" s="163"/>
      <c r="U17" s="163"/>
      <c r="V17" s="164"/>
      <c r="W17" s="165" t="str">
        <f t="shared" si="0"/>
        <v/>
      </c>
      <c r="X17" s="165" t="str">
        <f t="shared" si="1"/>
        <v/>
      </c>
    </row>
    <row r="18" spans="1:27" x14ac:dyDescent="0.2">
      <c r="A18" s="171">
        <v>10</v>
      </c>
      <c r="B18" s="197"/>
      <c r="C18" s="162"/>
      <c r="D18" s="163"/>
      <c r="E18" s="163"/>
      <c r="F18" s="164"/>
      <c r="G18" s="162"/>
      <c r="H18" s="163"/>
      <c r="I18" s="163"/>
      <c r="J18" s="164"/>
      <c r="K18" s="162"/>
      <c r="L18" s="163"/>
      <c r="M18" s="163"/>
      <c r="N18" s="164"/>
      <c r="O18" s="162"/>
      <c r="P18" s="163"/>
      <c r="Q18" s="163"/>
      <c r="R18" s="164"/>
      <c r="S18" s="162"/>
      <c r="T18" s="163"/>
      <c r="U18" s="163"/>
      <c r="V18" s="164"/>
      <c r="W18" s="165" t="str">
        <f t="shared" si="0"/>
        <v/>
      </c>
      <c r="X18" s="165" t="str">
        <f t="shared" si="1"/>
        <v/>
      </c>
    </row>
    <row r="19" spans="1:27" x14ac:dyDescent="0.2">
      <c r="A19" s="169">
        <v>11</v>
      </c>
      <c r="B19" s="201"/>
      <c r="C19" s="166"/>
      <c r="D19" s="167"/>
      <c r="E19" s="167"/>
      <c r="F19" s="168"/>
      <c r="G19" s="166"/>
      <c r="H19" s="167"/>
      <c r="I19" s="167"/>
      <c r="J19" s="168"/>
      <c r="K19" s="166"/>
      <c r="L19" s="167"/>
      <c r="M19" s="167"/>
      <c r="N19" s="168"/>
      <c r="O19" s="166"/>
      <c r="P19" s="167"/>
      <c r="Q19" s="167"/>
      <c r="R19" s="168"/>
      <c r="S19" s="166"/>
      <c r="T19" s="167"/>
      <c r="U19" s="167"/>
      <c r="V19" s="168"/>
      <c r="W19" s="150" t="str">
        <f t="shared" si="0"/>
        <v/>
      </c>
      <c r="X19" s="150" t="str">
        <f t="shared" si="1"/>
        <v/>
      </c>
    </row>
    <row r="20" spans="1:27" x14ac:dyDescent="0.2">
      <c r="A20" s="169">
        <v>12</v>
      </c>
      <c r="B20" s="198"/>
      <c r="C20" s="166"/>
      <c r="D20" s="167"/>
      <c r="E20" s="167"/>
      <c r="F20" s="168"/>
      <c r="G20" s="166"/>
      <c r="H20" s="167"/>
      <c r="I20" s="167"/>
      <c r="J20" s="168"/>
      <c r="K20" s="166"/>
      <c r="L20" s="167"/>
      <c r="M20" s="167"/>
      <c r="N20" s="168"/>
      <c r="O20" s="166"/>
      <c r="P20" s="167"/>
      <c r="Q20" s="167"/>
      <c r="R20" s="168"/>
      <c r="S20" s="166"/>
      <c r="T20" s="167"/>
      <c r="U20" s="167"/>
      <c r="V20" s="168"/>
      <c r="W20" s="150" t="str">
        <f t="shared" si="0"/>
        <v/>
      </c>
      <c r="X20" s="150" t="str">
        <f t="shared" si="1"/>
        <v/>
      </c>
      <c r="Y20" s="153"/>
      <c r="Z20" s="154"/>
      <c r="AA20" s="154"/>
    </row>
    <row r="21" spans="1:27" x14ac:dyDescent="0.2">
      <c r="A21" s="171">
        <v>13</v>
      </c>
      <c r="B21" s="197"/>
      <c r="C21" s="162"/>
      <c r="D21" s="163"/>
      <c r="E21" s="163"/>
      <c r="F21" s="164"/>
      <c r="G21" s="162"/>
      <c r="H21" s="163"/>
      <c r="I21" s="163"/>
      <c r="J21" s="164"/>
      <c r="K21" s="162"/>
      <c r="L21" s="163"/>
      <c r="M21" s="163"/>
      <c r="N21" s="164"/>
      <c r="O21" s="162"/>
      <c r="P21" s="163"/>
      <c r="Q21" s="163"/>
      <c r="R21" s="164"/>
      <c r="S21" s="162"/>
      <c r="T21" s="163"/>
      <c r="U21" s="163"/>
      <c r="V21" s="164"/>
      <c r="W21" s="165" t="str">
        <f t="shared" si="0"/>
        <v/>
      </c>
      <c r="X21" s="165" t="str">
        <f t="shared" si="1"/>
        <v/>
      </c>
    </row>
    <row r="22" spans="1:27" x14ac:dyDescent="0.2">
      <c r="A22" s="171">
        <v>14</v>
      </c>
      <c r="B22" s="197"/>
      <c r="C22" s="162"/>
      <c r="D22" s="163"/>
      <c r="E22" s="163"/>
      <c r="F22" s="164"/>
      <c r="G22" s="162"/>
      <c r="H22" s="163"/>
      <c r="I22" s="163"/>
      <c r="J22" s="164"/>
      <c r="K22" s="162"/>
      <c r="L22" s="163"/>
      <c r="M22" s="163"/>
      <c r="N22" s="164"/>
      <c r="O22" s="162"/>
      <c r="P22" s="163"/>
      <c r="Q22" s="163"/>
      <c r="R22" s="164"/>
      <c r="S22" s="162"/>
      <c r="T22" s="163"/>
      <c r="U22" s="163"/>
      <c r="V22" s="164"/>
      <c r="W22" s="165" t="str">
        <f t="shared" si="0"/>
        <v/>
      </c>
      <c r="X22" s="165" t="str">
        <f t="shared" si="1"/>
        <v/>
      </c>
    </row>
    <row r="23" spans="1:27" x14ac:dyDescent="0.2">
      <c r="A23" s="169">
        <v>15</v>
      </c>
      <c r="B23" s="195"/>
      <c r="C23" s="166"/>
      <c r="D23" s="167"/>
      <c r="E23" s="167"/>
      <c r="F23" s="168"/>
      <c r="G23" s="166"/>
      <c r="H23" s="167"/>
      <c r="I23" s="167"/>
      <c r="J23" s="168"/>
      <c r="K23" s="166"/>
      <c r="L23" s="167"/>
      <c r="M23" s="167"/>
      <c r="N23" s="168"/>
      <c r="O23" s="166"/>
      <c r="P23" s="167"/>
      <c r="Q23" s="167"/>
      <c r="R23" s="168"/>
      <c r="S23" s="166"/>
      <c r="T23" s="167"/>
      <c r="U23" s="167"/>
      <c r="V23" s="168"/>
      <c r="W23" s="150" t="str">
        <f t="shared" si="0"/>
        <v/>
      </c>
      <c r="X23" s="150" t="str">
        <f t="shared" si="1"/>
        <v/>
      </c>
    </row>
    <row r="24" spans="1:27" x14ac:dyDescent="0.2">
      <c r="A24" s="183">
        <v>16</v>
      </c>
      <c r="B24" s="184"/>
      <c r="C24" s="185"/>
      <c r="D24" s="186"/>
      <c r="E24" s="186"/>
      <c r="F24" s="187"/>
      <c r="G24" s="185"/>
      <c r="H24" s="186"/>
      <c r="I24" s="186"/>
      <c r="J24" s="187"/>
      <c r="K24" s="185"/>
      <c r="L24" s="186"/>
      <c r="M24" s="186"/>
      <c r="N24" s="187"/>
      <c r="O24" s="185"/>
      <c r="P24" s="186"/>
      <c r="Q24" s="186"/>
      <c r="R24" s="187"/>
      <c r="S24" s="185"/>
      <c r="T24" s="186"/>
      <c r="U24" s="186"/>
      <c r="V24" s="187"/>
      <c r="W24" s="150" t="str">
        <f t="shared" si="0"/>
        <v/>
      </c>
      <c r="X24" s="150" t="str">
        <f t="shared" si="1"/>
        <v/>
      </c>
    </row>
    <row r="25" spans="1:27" x14ac:dyDescent="0.2">
      <c r="A25" s="171">
        <v>17</v>
      </c>
      <c r="B25" s="197"/>
      <c r="C25" s="162"/>
      <c r="D25" s="163"/>
      <c r="E25" s="163"/>
      <c r="F25" s="164"/>
      <c r="G25" s="162"/>
      <c r="H25" s="163"/>
      <c r="I25" s="163"/>
      <c r="J25" s="164"/>
      <c r="K25" s="162"/>
      <c r="L25" s="163"/>
      <c r="M25" s="163"/>
      <c r="N25" s="164"/>
      <c r="O25" s="162"/>
      <c r="P25" s="163"/>
      <c r="Q25" s="163"/>
      <c r="R25" s="164"/>
      <c r="S25" s="162"/>
      <c r="T25" s="163"/>
      <c r="U25" s="163"/>
      <c r="V25" s="164"/>
      <c r="W25" s="165" t="str">
        <f t="shared" si="0"/>
        <v/>
      </c>
      <c r="X25" s="165" t="str">
        <f t="shared" si="1"/>
        <v/>
      </c>
    </row>
    <row r="26" spans="1:27" ht="13.5" thickBot="1" x14ac:dyDescent="0.25">
      <c r="A26" s="188">
        <v>18</v>
      </c>
      <c r="B26" s="202"/>
      <c r="C26" s="189"/>
      <c r="D26" s="190"/>
      <c r="E26" s="190"/>
      <c r="F26" s="191"/>
      <c r="G26" s="189"/>
      <c r="H26" s="190"/>
      <c r="I26" s="190"/>
      <c r="J26" s="191"/>
      <c r="K26" s="189"/>
      <c r="L26" s="190"/>
      <c r="M26" s="190"/>
      <c r="N26" s="191"/>
      <c r="O26" s="189"/>
      <c r="P26" s="190"/>
      <c r="Q26" s="190"/>
      <c r="R26" s="191"/>
      <c r="S26" s="189"/>
      <c r="T26" s="190"/>
      <c r="U26" s="190"/>
      <c r="V26" s="191"/>
      <c r="W26" s="192" t="str">
        <f t="shared" si="0"/>
        <v/>
      </c>
      <c r="X26" s="192" t="str">
        <f t="shared" si="1"/>
        <v/>
      </c>
    </row>
    <row r="27" spans="1:27" x14ac:dyDescent="0.2">
      <c r="A27" s="173"/>
      <c r="B27" s="170" t="s">
        <v>214</v>
      </c>
      <c r="C27" s="144"/>
      <c r="D27" s="145"/>
      <c r="E27" s="145"/>
      <c r="F27" s="146"/>
      <c r="G27" s="144"/>
      <c r="H27" s="145"/>
      <c r="I27" s="145"/>
      <c r="J27" s="146"/>
      <c r="K27" s="144"/>
      <c r="L27" s="145"/>
      <c r="M27" s="145"/>
      <c r="N27" s="146"/>
      <c r="O27" s="144"/>
      <c r="P27" s="145"/>
      <c r="Q27" s="145"/>
      <c r="R27" s="146"/>
      <c r="S27" s="144"/>
      <c r="T27" s="145"/>
      <c r="U27" s="145"/>
      <c r="V27" s="146"/>
      <c r="W27" s="147"/>
      <c r="X27" s="147"/>
      <c r="Y27" s="148"/>
      <c r="Z27" s="149" t="s">
        <v>215</v>
      </c>
      <c r="AA27" s="149" t="s">
        <v>216</v>
      </c>
    </row>
    <row r="28" spans="1:27" x14ac:dyDescent="0.2">
      <c r="A28" s="251">
        <v>1</v>
      </c>
      <c r="B28" s="252"/>
      <c r="C28" s="253"/>
      <c r="D28" s="254"/>
      <c r="E28" s="254"/>
      <c r="F28" s="255"/>
      <c r="G28" s="253"/>
      <c r="H28" s="254"/>
      <c r="I28" s="254"/>
      <c r="J28" s="255"/>
      <c r="K28" s="253"/>
      <c r="L28" s="254"/>
      <c r="M28" s="254"/>
      <c r="N28" s="255"/>
      <c r="O28" s="253"/>
      <c r="P28" s="254"/>
      <c r="Q28" s="254"/>
      <c r="R28" s="255"/>
      <c r="S28" s="253"/>
      <c r="T28" s="254"/>
      <c r="U28" s="254"/>
      <c r="V28" s="255"/>
      <c r="W28" s="165">
        <f t="shared" ref="W28:W35" si="2">SUM(C28:V28)</f>
        <v>0</v>
      </c>
      <c r="X28" s="256" t="str">
        <f>IF(ISBLANK(C28),"",IF(W28=W29,"edasi "&amp;RANK(W28,$AA$28:$AA$35),(IF(RANK(Y28,$Y$28:$Y$29)&lt;2,"edasi "&amp;RANK(W28,$AA$28:$AA$35),RANK(W28,$Z$28:$Z$35)+4))))</f>
        <v/>
      </c>
      <c r="Y28" s="151">
        <f>IF(COUNTA(C28:V28)=0,100,W28+IF(RANK(W28,$W$28:$W$29)=1,100,0))</f>
        <v>100</v>
      </c>
      <c r="Z28" s="149">
        <f>MIN(W28:W29)</f>
        <v>0</v>
      </c>
      <c r="AA28" s="149">
        <f>MAX(W28:W29)</f>
        <v>0</v>
      </c>
    </row>
    <row r="29" spans="1:27" x14ac:dyDescent="0.2">
      <c r="A29" s="251">
        <v>8</v>
      </c>
      <c r="B29" s="200"/>
      <c r="C29" s="253"/>
      <c r="D29" s="254"/>
      <c r="E29" s="254"/>
      <c r="F29" s="255"/>
      <c r="G29" s="253"/>
      <c r="H29" s="254"/>
      <c r="I29" s="254"/>
      <c r="J29" s="255"/>
      <c r="K29" s="253"/>
      <c r="L29" s="254"/>
      <c r="M29" s="254"/>
      <c r="N29" s="255"/>
      <c r="O29" s="253"/>
      <c r="P29" s="254"/>
      <c r="Q29" s="254"/>
      <c r="R29" s="255"/>
      <c r="S29" s="253"/>
      <c r="T29" s="254"/>
      <c r="U29" s="254"/>
      <c r="V29" s="255"/>
      <c r="W29" s="165">
        <f t="shared" si="2"/>
        <v>0</v>
      </c>
      <c r="X29" s="256" t="str">
        <f>IF(ISBLANK(C29),"",IF(RANK(Y29,$Y$28:$Y$29)&lt;2,"edasi "&amp;RANK(W29,$AA$28:$AA$35),RANK(W29,$Z$28:$Z$35)+4))</f>
        <v/>
      </c>
      <c r="Y29" s="152">
        <f>IF(COUNTA(C29:V29)=0,0,W29+IF(RANK(W29,$W$28:$W$29)=1,100,0))</f>
        <v>0</v>
      </c>
      <c r="Z29" s="149"/>
      <c r="AA29" s="149"/>
    </row>
    <row r="30" spans="1:27" x14ac:dyDescent="0.2">
      <c r="A30" s="173">
        <v>4</v>
      </c>
      <c r="B30" s="193"/>
      <c r="C30" s="144"/>
      <c r="D30" s="145"/>
      <c r="E30" s="145"/>
      <c r="F30" s="146"/>
      <c r="G30" s="144"/>
      <c r="H30" s="145"/>
      <c r="I30" s="145"/>
      <c r="J30" s="146"/>
      <c r="K30" s="144"/>
      <c r="L30" s="145"/>
      <c r="M30" s="145"/>
      <c r="N30" s="146"/>
      <c r="O30" s="144"/>
      <c r="P30" s="145"/>
      <c r="Q30" s="145"/>
      <c r="R30" s="146"/>
      <c r="S30" s="144"/>
      <c r="T30" s="145"/>
      <c r="U30" s="145"/>
      <c r="V30" s="146"/>
      <c r="W30" s="150">
        <f t="shared" si="2"/>
        <v>0</v>
      </c>
      <c r="X30" s="147" t="str">
        <f>IF(ISBLANK(C30),"",IF(RANK(Y30,$Y$30:$Y$31)&lt;2,"edasi "&amp;RANK(W30,$AA$28:$AA$35),RANK(W30,$Z$28:$Z$35)+4))</f>
        <v/>
      </c>
      <c r="Y30" s="151">
        <f>IF(COUNTA(C30:V30)=0,100,W30+IF(RANK(W30,$W$30:$W$31)=1,100,0))</f>
        <v>100</v>
      </c>
      <c r="Z30" s="149">
        <f>MIN(W30:W31)</f>
        <v>0</v>
      </c>
      <c r="AA30" s="149">
        <f>MAX(W30:W31)</f>
        <v>0</v>
      </c>
    </row>
    <row r="31" spans="1:27" x14ac:dyDescent="0.2">
      <c r="A31" s="173">
        <v>5</v>
      </c>
      <c r="B31" s="196"/>
      <c r="C31" s="144"/>
      <c r="D31" s="145"/>
      <c r="E31" s="145"/>
      <c r="F31" s="146"/>
      <c r="G31" s="144"/>
      <c r="H31" s="145"/>
      <c r="I31" s="145"/>
      <c r="J31" s="146"/>
      <c r="K31" s="144"/>
      <c r="L31" s="145"/>
      <c r="M31" s="145"/>
      <c r="N31" s="146"/>
      <c r="O31" s="144"/>
      <c r="P31" s="145"/>
      <c r="Q31" s="145"/>
      <c r="R31" s="146"/>
      <c r="S31" s="144"/>
      <c r="T31" s="145"/>
      <c r="U31" s="145"/>
      <c r="V31" s="146"/>
      <c r="W31" s="150">
        <f t="shared" si="2"/>
        <v>0</v>
      </c>
      <c r="X31" s="147" t="str">
        <f>IF(ISBLANK(C31),"",IF(RANK(Y31,$Y$30:$Y$31)&lt;2,"edasi "&amp;RANK(W31,$AA$28:$AA$35),RANK(W31,$Z$28:$Z$35)+4))</f>
        <v/>
      </c>
      <c r="Y31" s="152">
        <f>IF(COUNTA(C31:V31)=0,0,W31+IF(RANK(W31,$W$30:$W$31)=1,100,0))</f>
        <v>0</v>
      </c>
      <c r="Z31" s="149"/>
      <c r="AA31" s="149"/>
    </row>
    <row r="32" spans="1:27" x14ac:dyDescent="0.2">
      <c r="A32" s="251">
        <v>3</v>
      </c>
      <c r="B32" s="257"/>
      <c r="C32" s="253"/>
      <c r="D32" s="254"/>
      <c r="E32" s="254"/>
      <c r="F32" s="255"/>
      <c r="G32" s="253"/>
      <c r="H32" s="254"/>
      <c r="I32" s="254"/>
      <c r="J32" s="255"/>
      <c r="K32" s="253"/>
      <c r="L32" s="254"/>
      <c r="M32" s="254"/>
      <c r="N32" s="255"/>
      <c r="O32" s="253"/>
      <c r="P32" s="254"/>
      <c r="Q32" s="254"/>
      <c r="R32" s="255"/>
      <c r="S32" s="253"/>
      <c r="T32" s="254"/>
      <c r="U32" s="254"/>
      <c r="V32" s="255"/>
      <c r="W32" s="165">
        <f t="shared" si="2"/>
        <v>0</v>
      </c>
      <c r="X32" s="256" t="str">
        <f>IF(ISBLANK(C32),"",IF(RANK(Y32,$Y$32:$Y$33)&lt;2,"edasi "&amp;RANK(W32,$AA$28:$AA$35),RANK(W32,$Z$28:$Z$35)+4))</f>
        <v/>
      </c>
      <c r="Y32" s="151">
        <f>IF(COUNTA(C32:V32)=0,100,W32+IF(RANK(W32,$W$32:$W$33)=1,100,0))</f>
        <v>100</v>
      </c>
      <c r="Z32" s="149">
        <f>MIN(W32:W33)</f>
        <v>0</v>
      </c>
      <c r="AA32" s="149">
        <f>MAX(W32:W33)</f>
        <v>0</v>
      </c>
    </row>
    <row r="33" spans="1:27" x14ac:dyDescent="0.2">
      <c r="A33" s="251">
        <v>6</v>
      </c>
      <c r="B33" s="257"/>
      <c r="C33" s="253"/>
      <c r="D33" s="254"/>
      <c r="E33" s="254"/>
      <c r="F33" s="255"/>
      <c r="G33" s="253"/>
      <c r="H33" s="254"/>
      <c r="I33" s="254"/>
      <c r="J33" s="255"/>
      <c r="K33" s="253"/>
      <c r="L33" s="254"/>
      <c r="M33" s="254"/>
      <c r="N33" s="255"/>
      <c r="O33" s="253"/>
      <c r="P33" s="254"/>
      <c r="Q33" s="254"/>
      <c r="R33" s="255"/>
      <c r="S33" s="253"/>
      <c r="T33" s="254"/>
      <c r="U33" s="254"/>
      <c r="V33" s="255"/>
      <c r="W33" s="165">
        <f t="shared" si="2"/>
        <v>0</v>
      </c>
      <c r="X33" s="256" t="str">
        <f>IF(ISBLANK(C33),"",IF(RANK(Y33,$Y$32:$Y$33)&lt;2,"edasi "&amp;RANK(W33,$AA$28:$AA$35),RANK(W33,$Z$28:$Z$35)+4))</f>
        <v/>
      </c>
      <c r="Y33" s="152">
        <f>IF(COUNTA(C33:V33)=0,0,W33+IF(RANK(W33,$W$32:$W$33)=1,100,0))</f>
        <v>0</v>
      </c>
      <c r="Z33" s="149"/>
      <c r="AA33" s="149"/>
    </row>
    <row r="34" spans="1:27" x14ac:dyDescent="0.2">
      <c r="A34" s="173">
        <v>2</v>
      </c>
      <c r="B34" s="193"/>
      <c r="C34" s="144"/>
      <c r="D34" s="145"/>
      <c r="E34" s="145"/>
      <c r="F34" s="146"/>
      <c r="G34" s="144"/>
      <c r="H34" s="145"/>
      <c r="I34" s="145"/>
      <c r="J34" s="146"/>
      <c r="K34" s="144"/>
      <c r="L34" s="145"/>
      <c r="M34" s="145"/>
      <c r="N34" s="146"/>
      <c r="O34" s="144"/>
      <c r="P34" s="145"/>
      <c r="Q34" s="145"/>
      <c r="R34" s="146"/>
      <c r="S34" s="144"/>
      <c r="T34" s="145"/>
      <c r="U34" s="145"/>
      <c r="V34" s="146"/>
      <c r="W34" s="150">
        <f t="shared" si="2"/>
        <v>0</v>
      </c>
      <c r="X34" s="147" t="str">
        <f>IF(ISBLANK(C34),"",IF(RANK(Y34,$Y$34:$Y$35)&lt;2,"edasi "&amp;RANK(W34,$AA$28:$AA$35),RANK(W34,$Z$28:$Z$35)+4))</f>
        <v/>
      </c>
      <c r="Y34" s="151">
        <f>IF(COUNTA(C34:V34)=0,100,W34+IF(RANK(W34,$W$34:$W$35)=1,100,0))</f>
        <v>100</v>
      </c>
      <c r="Z34" s="149">
        <f>MIN(W34:W35)</f>
        <v>0</v>
      </c>
      <c r="AA34" s="149">
        <f>MAX(W34:W35)</f>
        <v>0</v>
      </c>
    </row>
    <row r="35" spans="1:27" x14ac:dyDescent="0.2">
      <c r="A35" s="173">
        <v>7</v>
      </c>
      <c r="B35" s="193"/>
      <c r="C35" s="144"/>
      <c r="D35" s="145"/>
      <c r="E35" s="145"/>
      <c r="F35" s="146"/>
      <c r="G35" s="144"/>
      <c r="H35" s="145"/>
      <c r="I35" s="145"/>
      <c r="J35" s="146"/>
      <c r="K35" s="144"/>
      <c r="L35" s="145"/>
      <c r="M35" s="145"/>
      <c r="N35" s="146"/>
      <c r="O35" s="144"/>
      <c r="P35" s="145"/>
      <c r="Q35" s="145"/>
      <c r="R35" s="146"/>
      <c r="S35" s="144"/>
      <c r="T35" s="145"/>
      <c r="U35" s="145"/>
      <c r="V35" s="146"/>
      <c r="W35" s="150">
        <f t="shared" si="2"/>
        <v>0</v>
      </c>
      <c r="X35" s="147" t="str">
        <f>IF(ISBLANK(C35),"",IF(RANK(Y35,$Y$34:$Y$35)&lt;2,"edasi "&amp;RANK(W35,$AA$28:$AA$35),RANK(W35,$Z$28:$Z$35)+4))</f>
        <v/>
      </c>
      <c r="Y35" s="152">
        <f>IF(COUNTA(C35:V35)=0,0,W35+IF(RANK(W35,$W$34:$W$35)=1,100,0))</f>
        <v>0</v>
      </c>
      <c r="Z35" s="149"/>
      <c r="AA35" s="149"/>
    </row>
    <row r="36" spans="1:27" x14ac:dyDescent="0.2">
      <c r="A36" s="173"/>
      <c r="B36" s="174" t="s">
        <v>217</v>
      </c>
      <c r="C36" s="144"/>
      <c r="D36" s="145"/>
      <c r="E36" s="145"/>
      <c r="F36" s="146"/>
      <c r="G36" s="144"/>
      <c r="H36" s="145"/>
      <c r="I36" s="145"/>
      <c r="J36" s="146"/>
      <c r="K36" s="144"/>
      <c r="L36" s="145"/>
      <c r="M36" s="145"/>
      <c r="N36" s="146"/>
      <c r="O36" s="144"/>
      <c r="P36" s="145"/>
      <c r="Q36" s="145"/>
      <c r="R36" s="146"/>
      <c r="S36" s="144"/>
      <c r="T36" s="145"/>
      <c r="U36" s="145"/>
      <c r="V36" s="146"/>
      <c r="W36" s="147"/>
      <c r="X36" s="147"/>
    </row>
    <row r="37" spans="1:27" x14ac:dyDescent="0.2">
      <c r="A37" s="251">
        <v>1</v>
      </c>
      <c r="B37" s="257"/>
      <c r="C37" s="253"/>
      <c r="D37" s="254"/>
      <c r="E37" s="254"/>
      <c r="F37" s="255"/>
      <c r="G37" s="253"/>
      <c r="H37" s="254"/>
      <c r="I37" s="254"/>
      <c r="J37" s="255"/>
      <c r="K37" s="253"/>
      <c r="L37" s="254"/>
      <c r="M37" s="254"/>
      <c r="N37" s="255"/>
      <c r="O37" s="253"/>
      <c r="P37" s="254"/>
      <c r="Q37" s="254"/>
      <c r="R37" s="255"/>
      <c r="S37" s="253"/>
      <c r="T37" s="254"/>
      <c r="U37" s="254"/>
      <c r="V37" s="255"/>
      <c r="W37" s="165">
        <f>SUM(C37:V37)</f>
        <v>0</v>
      </c>
      <c r="X37" s="256" t="str">
        <f>IF(COUNTA(C37:V37)=0,"",IF(W37=W38,"ümbervisk",IF(W37&gt;W38,"finaali "&amp;(IF(W37&lt;MAX(W39:W40),2,IF(W37=MAX(W39:W40),"",1))),"pronksi "&amp;(IF(W37&lt;MIN(W39:W40),2,IF(W37=MIN(W39:W40),"",1))))))</f>
        <v/>
      </c>
    </row>
    <row r="38" spans="1:27" x14ac:dyDescent="0.2">
      <c r="A38" s="251">
        <v>4</v>
      </c>
      <c r="B38" s="200"/>
      <c r="C38" s="253"/>
      <c r="D38" s="254"/>
      <c r="E38" s="254"/>
      <c r="F38" s="255"/>
      <c r="G38" s="253"/>
      <c r="H38" s="254"/>
      <c r="I38" s="254"/>
      <c r="J38" s="255"/>
      <c r="K38" s="253"/>
      <c r="L38" s="254"/>
      <c r="M38" s="254"/>
      <c r="N38" s="255"/>
      <c r="O38" s="253"/>
      <c r="P38" s="254"/>
      <c r="Q38" s="254"/>
      <c r="R38" s="255"/>
      <c r="S38" s="253"/>
      <c r="T38" s="254"/>
      <c r="U38" s="254"/>
      <c r="V38" s="255"/>
      <c r="W38" s="165">
        <f>SUM(C38:V38)</f>
        <v>0</v>
      </c>
      <c r="X38" s="256" t="str">
        <f>IF(COUNTA(C38:V38)=0,"",IF(W37=W38,"ümbervisk",IF(W38&gt;W37,"finaali "&amp;(IF(W38&lt;MAX(W39:W40),2,IF(W38=MAX(W39:W40),"",1))),"pronksi "&amp;(IF(W38&lt;MIN(W39:W40),2,IF(W38=MIN(W39:W40),"",1))))))</f>
        <v/>
      </c>
    </row>
    <row r="39" spans="1:27" x14ac:dyDescent="0.2">
      <c r="A39" s="173">
        <v>2</v>
      </c>
      <c r="B39" s="193"/>
      <c r="C39" s="144"/>
      <c r="D39" s="145"/>
      <c r="E39" s="145"/>
      <c r="F39" s="146"/>
      <c r="G39" s="144"/>
      <c r="H39" s="145"/>
      <c r="I39" s="145"/>
      <c r="J39" s="146"/>
      <c r="K39" s="144"/>
      <c r="L39" s="145"/>
      <c r="M39" s="145"/>
      <c r="N39" s="146"/>
      <c r="O39" s="144"/>
      <c r="P39" s="145"/>
      <c r="Q39" s="145"/>
      <c r="R39" s="146"/>
      <c r="S39" s="144"/>
      <c r="T39" s="145"/>
      <c r="U39" s="145"/>
      <c r="V39" s="146"/>
      <c r="W39" s="150">
        <f>SUM(C39:V39)</f>
        <v>0</v>
      </c>
      <c r="X39" s="147" t="str">
        <f>IF(COUNTA(C39:V39)=0,"",IF(W39=W40,"ümbervisk",IF(W39&gt;W40,"finaali "&amp;(IF(W39&lt;MAX(W37:W38),2,IF(W39=MAX(W37:W38),"",1))),"pronksi "&amp;(IF(W39&lt;MIN(W37:W38),2,IF(W39=MIN(W37:W38),"",1))))))</f>
        <v/>
      </c>
    </row>
    <row r="40" spans="1:27" x14ac:dyDescent="0.2">
      <c r="A40" s="173">
        <v>3</v>
      </c>
      <c r="B40" s="193"/>
      <c r="C40" s="144"/>
      <c r="D40" s="145"/>
      <c r="E40" s="145"/>
      <c r="F40" s="146"/>
      <c r="G40" s="144"/>
      <c r="H40" s="145"/>
      <c r="I40" s="145"/>
      <c r="J40" s="146"/>
      <c r="K40" s="144"/>
      <c r="L40" s="145"/>
      <c r="M40" s="145"/>
      <c r="N40" s="146"/>
      <c r="O40" s="144"/>
      <c r="P40" s="145"/>
      <c r="Q40" s="145"/>
      <c r="R40" s="146"/>
      <c r="S40" s="144"/>
      <c r="T40" s="145"/>
      <c r="U40" s="145"/>
      <c r="V40" s="146"/>
      <c r="W40" s="150">
        <f>SUM(C40:V40)</f>
        <v>0</v>
      </c>
      <c r="X40" s="147" t="str">
        <f>IF(COUNTA(C40:V40)=0,"",IF(W39=W40,"ümbervisk",IF(W40&gt;W39,"finaali "&amp;(IF(W40&lt;MAX(W37:W38),2,IF(W40=MAX(W37:W38),"",1))),"pronksi "&amp;(IF(W40&lt;MIN(W37:W38),2,IF(W40=MIN(W37:W38),"",1))))))</f>
        <v/>
      </c>
    </row>
    <row r="41" spans="1:27" x14ac:dyDescent="0.2">
      <c r="A41" s="173"/>
      <c r="B41" s="175" t="s">
        <v>218</v>
      </c>
      <c r="C41" s="144"/>
      <c r="D41" s="145"/>
      <c r="E41" s="145"/>
      <c r="F41" s="146"/>
      <c r="G41" s="144"/>
      <c r="H41" s="145"/>
      <c r="I41" s="145"/>
      <c r="J41" s="146"/>
      <c r="K41" s="144"/>
      <c r="L41" s="145"/>
      <c r="M41" s="145"/>
      <c r="N41" s="146"/>
      <c r="O41" s="144"/>
      <c r="P41" s="145"/>
      <c r="Q41" s="145"/>
      <c r="R41" s="146"/>
      <c r="S41" s="144"/>
      <c r="T41" s="145"/>
      <c r="U41" s="145"/>
      <c r="V41" s="146"/>
      <c r="W41" s="150"/>
      <c r="X41" s="147"/>
    </row>
    <row r="42" spans="1:27" x14ac:dyDescent="0.2">
      <c r="A42" s="173"/>
      <c r="B42" s="195"/>
      <c r="C42" s="144"/>
      <c r="D42" s="145"/>
      <c r="E42" s="145"/>
      <c r="F42" s="146"/>
      <c r="G42" s="144"/>
      <c r="H42" s="145"/>
      <c r="I42" s="145"/>
      <c r="J42" s="146"/>
      <c r="K42" s="144"/>
      <c r="L42" s="145"/>
      <c r="M42" s="145"/>
      <c r="N42" s="146"/>
      <c r="O42" s="144"/>
      <c r="P42" s="145"/>
      <c r="Q42" s="145"/>
      <c r="R42" s="146"/>
      <c r="S42" s="144"/>
      <c r="T42" s="145"/>
      <c r="U42" s="145"/>
      <c r="V42" s="146"/>
      <c r="W42" s="150">
        <f>SUM(C42:V42)</f>
        <v>0</v>
      </c>
      <c r="X42" s="155">
        <f ca="1">IF( INDIRECT("RC[-1]",0)=MAX(( INDIRECT("R[-1]C[-1]",0)):( INDIRECT("R[1]C[-1]",0))),3,4)</f>
        <v>3</v>
      </c>
    </row>
    <row r="43" spans="1:27" x14ac:dyDescent="0.2">
      <c r="A43" s="173"/>
      <c r="B43" s="193"/>
      <c r="C43" s="144"/>
      <c r="D43" s="145"/>
      <c r="E43" s="145"/>
      <c r="F43" s="146"/>
      <c r="G43" s="144"/>
      <c r="H43" s="145"/>
      <c r="I43" s="145"/>
      <c r="J43" s="176"/>
      <c r="K43" s="144"/>
      <c r="L43" s="145"/>
      <c r="M43" s="145"/>
      <c r="N43" s="146"/>
      <c r="O43" s="144"/>
      <c r="P43" s="145"/>
      <c r="Q43" s="145"/>
      <c r="R43" s="146"/>
      <c r="S43" s="144"/>
      <c r="T43" s="145"/>
      <c r="U43" s="145"/>
      <c r="V43" s="146"/>
      <c r="W43" s="150">
        <f>SUM(C43:V43)</f>
        <v>0</v>
      </c>
      <c r="X43" s="155">
        <f ca="1">IF( INDIRECT("RC[-1]",0)=MAX(( INDIRECT("R[-1]C[-1]",0)):( INDIRECT("R[1]C[-1]",0))),3,4)</f>
        <v>3</v>
      </c>
    </row>
    <row r="44" spans="1:27" x14ac:dyDescent="0.2">
      <c r="A44" s="173"/>
      <c r="B44" s="175" t="s">
        <v>219</v>
      </c>
      <c r="C44" s="144"/>
      <c r="D44" s="145"/>
      <c r="E44" s="145"/>
      <c r="F44" s="146"/>
      <c r="G44" s="144"/>
      <c r="H44" s="145"/>
      <c r="I44" s="145"/>
      <c r="J44" s="146"/>
      <c r="K44" s="144"/>
      <c r="L44" s="145"/>
      <c r="M44" s="145"/>
      <c r="N44" s="146"/>
      <c r="O44" s="144"/>
      <c r="P44" s="145"/>
      <c r="Q44" s="145"/>
      <c r="R44" s="146"/>
      <c r="S44" s="144"/>
      <c r="T44" s="145"/>
      <c r="U44" s="145"/>
      <c r="V44" s="146"/>
      <c r="W44" s="150"/>
      <c r="X44" s="147"/>
    </row>
    <row r="45" spans="1:27" x14ac:dyDescent="0.2">
      <c r="A45" s="173"/>
      <c r="B45" s="193"/>
      <c r="C45" s="144"/>
      <c r="D45" s="145"/>
      <c r="E45" s="145"/>
      <c r="F45" s="146"/>
      <c r="G45" s="144"/>
      <c r="H45" s="145"/>
      <c r="I45" s="145"/>
      <c r="J45" s="146"/>
      <c r="K45" s="144"/>
      <c r="L45" s="145"/>
      <c r="M45" s="145"/>
      <c r="N45" s="146"/>
      <c r="O45" s="144"/>
      <c r="P45" s="145"/>
      <c r="Q45" s="145"/>
      <c r="R45" s="146"/>
      <c r="S45" s="144"/>
      <c r="T45" s="145"/>
      <c r="U45" s="145"/>
      <c r="V45" s="146"/>
      <c r="W45" s="150">
        <f>SUM(C45:V45)</f>
        <v>0</v>
      </c>
      <c r="X45" s="155">
        <f ca="1">IF( INDIRECT("RC[-1]",0)=MAX(( INDIRECT("R[-1]C[-1]",0)):( INDIRECT("R[1]C[-1]",0))),1,2)</f>
        <v>1</v>
      </c>
    </row>
    <row r="46" spans="1:27" ht="13.5" thickBot="1" x14ac:dyDescent="0.25">
      <c r="A46" s="177"/>
      <c r="B46" s="194"/>
      <c r="C46" s="156"/>
      <c r="D46" s="157"/>
      <c r="E46" s="157"/>
      <c r="F46" s="158"/>
      <c r="G46" s="156"/>
      <c r="H46" s="157"/>
      <c r="I46" s="157"/>
      <c r="J46" s="158"/>
      <c r="K46" s="156"/>
      <c r="L46" s="157"/>
      <c r="M46" s="157"/>
      <c r="N46" s="158"/>
      <c r="O46" s="156"/>
      <c r="P46" s="157"/>
      <c r="Q46" s="157"/>
      <c r="R46" s="158"/>
      <c r="S46" s="156"/>
      <c r="T46" s="157"/>
      <c r="U46" s="157"/>
      <c r="V46" s="158"/>
      <c r="W46" s="159">
        <f>SUM(C46:V46)</f>
        <v>0</v>
      </c>
      <c r="X46" s="160">
        <f ca="1">IF( INDIRECT("RC[-1]",0)=MAX(( INDIRECT("R[-1]C[-1]",0)):( INDIRECT("R[1]C[-1]",0))),1,2)</f>
        <v>1</v>
      </c>
    </row>
    <row r="47" spans="1:27" x14ac:dyDescent="0.2">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row>
    <row r="48" spans="1:27" x14ac:dyDescent="0.2">
      <c r="A48" s="178">
        <v>1</v>
      </c>
      <c r="B48" s="203"/>
      <c r="C48" s="172"/>
      <c r="D48" s="172"/>
      <c r="E48" s="172"/>
      <c r="F48" s="172"/>
      <c r="G48" s="178"/>
      <c r="H48" s="258"/>
      <c r="I48" s="259"/>
      <c r="J48" s="259"/>
      <c r="K48" s="259"/>
      <c r="L48" s="259"/>
      <c r="M48" s="259"/>
      <c r="N48" s="260"/>
      <c r="O48" s="172"/>
      <c r="P48" s="172"/>
      <c r="Q48" s="172"/>
      <c r="R48" s="172"/>
      <c r="S48" s="172"/>
      <c r="T48" s="172"/>
      <c r="U48" s="172"/>
      <c r="V48" s="172"/>
      <c r="W48" s="172"/>
      <c r="X48" s="172"/>
    </row>
    <row r="49" spans="1:24" x14ac:dyDescent="0.2">
      <c r="A49" s="178">
        <v>2</v>
      </c>
      <c r="B49" s="179"/>
      <c r="C49" s="172"/>
      <c r="D49" s="172"/>
      <c r="E49" s="172"/>
      <c r="F49" s="172"/>
      <c r="G49" s="178"/>
      <c r="H49" s="261"/>
      <c r="I49" s="259"/>
      <c r="J49" s="259"/>
      <c r="K49" s="259"/>
      <c r="L49" s="259"/>
      <c r="M49" s="259"/>
      <c r="N49" s="260"/>
      <c r="O49" s="172"/>
      <c r="P49" s="172"/>
      <c r="Q49" s="172"/>
      <c r="R49" s="172"/>
      <c r="S49" s="172"/>
      <c r="T49" s="172"/>
      <c r="U49" s="172"/>
      <c r="V49" s="172"/>
      <c r="W49" s="172"/>
      <c r="X49" s="172"/>
    </row>
    <row r="50" spans="1:24" x14ac:dyDescent="0.2">
      <c r="A50" s="178">
        <v>3</v>
      </c>
      <c r="B50" s="180"/>
      <c r="C50" s="172"/>
      <c r="D50" s="172"/>
      <c r="E50" s="172"/>
      <c r="F50" s="172"/>
      <c r="G50" s="178"/>
      <c r="H50" s="261"/>
      <c r="I50" s="259"/>
      <c r="J50" s="259"/>
      <c r="K50" s="259"/>
      <c r="L50" s="259"/>
      <c r="M50" s="259"/>
      <c r="N50" s="260"/>
      <c r="O50" s="172"/>
      <c r="P50" s="172"/>
      <c r="Q50" s="172"/>
      <c r="R50" s="172"/>
      <c r="S50" s="172"/>
      <c r="T50" s="172"/>
      <c r="U50" s="172"/>
      <c r="V50" s="172"/>
      <c r="W50" s="172"/>
      <c r="X50" s="172"/>
    </row>
    <row r="51" spans="1:24" x14ac:dyDescent="0.2">
      <c r="A51" s="178">
        <v>4</v>
      </c>
      <c r="B51" s="181"/>
      <c r="C51" s="172"/>
      <c r="D51" s="172"/>
      <c r="E51" s="172"/>
      <c r="F51" s="172"/>
      <c r="G51" s="178"/>
      <c r="H51" s="258"/>
      <c r="I51" s="259"/>
      <c r="J51" s="259"/>
      <c r="K51" s="259"/>
      <c r="L51" s="259"/>
      <c r="M51" s="259"/>
      <c r="N51" s="260"/>
      <c r="O51" s="172"/>
      <c r="P51" s="172"/>
      <c r="Q51" s="172"/>
      <c r="R51" s="172"/>
      <c r="S51" s="172"/>
      <c r="T51" s="172"/>
      <c r="U51" s="172"/>
      <c r="V51" s="172"/>
      <c r="W51" s="172"/>
      <c r="X51" s="172"/>
    </row>
    <row r="52" spans="1:24" x14ac:dyDescent="0.2">
      <c r="A52" s="178">
        <v>5</v>
      </c>
      <c r="B52" s="182"/>
      <c r="C52" s="172"/>
      <c r="D52" s="172"/>
      <c r="E52" s="172"/>
      <c r="F52" s="172"/>
      <c r="G52" s="178"/>
      <c r="H52" s="262"/>
      <c r="I52" s="259"/>
      <c r="J52" s="259"/>
      <c r="K52" s="259"/>
      <c r="L52" s="259"/>
      <c r="M52" s="259"/>
      <c r="N52" s="260"/>
      <c r="O52" s="172"/>
      <c r="P52" s="172"/>
      <c r="Q52" s="172"/>
      <c r="R52" s="172"/>
      <c r="S52" s="172"/>
      <c r="T52" s="172"/>
      <c r="U52" s="172"/>
      <c r="V52" s="172"/>
      <c r="W52" s="172"/>
      <c r="X52" s="172"/>
    </row>
    <row r="53" spans="1:24" x14ac:dyDescent="0.2">
      <c r="A53" s="178">
        <v>6</v>
      </c>
      <c r="B53" s="161"/>
      <c r="C53" s="172"/>
      <c r="D53" s="172"/>
      <c r="E53" s="172"/>
      <c r="F53" s="172"/>
      <c r="G53" s="178"/>
      <c r="H53" s="258"/>
      <c r="I53" s="259"/>
      <c r="J53" s="259"/>
      <c r="K53" s="259"/>
      <c r="L53" s="259"/>
      <c r="M53" s="259"/>
      <c r="N53" s="260"/>
      <c r="O53" s="172"/>
      <c r="P53" s="172"/>
      <c r="Q53" s="172"/>
      <c r="R53" s="172"/>
      <c r="S53" s="172"/>
      <c r="T53" s="172"/>
      <c r="U53" s="172"/>
      <c r="V53" s="172"/>
      <c r="W53" s="172"/>
      <c r="X53" s="172"/>
    </row>
    <row r="54" spans="1:24" x14ac:dyDescent="0.2">
      <c r="A54" s="178">
        <v>7</v>
      </c>
      <c r="B54" s="181"/>
      <c r="C54" s="172"/>
      <c r="D54" s="172"/>
      <c r="E54" s="172"/>
      <c r="F54" s="172"/>
      <c r="G54" s="178"/>
      <c r="H54" s="258"/>
      <c r="I54" s="259"/>
      <c r="J54" s="259"/>
      <c r="K54" s="259"/>
      <c r="L54" s="259"/>
      <c r="M54" s="259"/>
      <c r="N54" s="260"/>
      <c r="O54" s="172"/>
      <c r="P54" s="172"/>
      <c r="Q54" s="172"/>
      <c r="R54" s="172"/>
      <c r="S54" s="172"/>
      <c r="T54" s="172"/>
      <c r="U54" s="172"/>
      <c r="V54" s="172"/>
      <c r="W54" s="172"/>
      <c r="X54" s="172"/>
    </row>
    <row r="55" spans="1:24" x14ac:dyDescent="0.2">
      <c r="A55" s="178">
        <v>8</v>
      </c>
      <c r="B55" s="161"/>
      <c r="C55" s="172"/>
      <c r="D55" s="172"/>
      <c r="E55" s="172"/>
      <c r="F55" s="172"/>
      <c r="G55" s="178"/>
      <c r="H55" s="262"/>
      <c r="I55" s="259"/>
      <c r="J55" s="259"/>
      <c r="K55" s="259"/>
      <c r="L55" s="259"/>
      <c r="M55" s="259"/>
      <c r="N55" s="260"/>
      <c r="O55" s="172"/>
      <c r="P55" s="172"/>
      <c r="Q55" s="172"/>
      <c r="R55" s="172"/>
      <c r="S55" s="172"/>
      <c r="T55" s="172"/>
      <c r="U55" s="172"/>
      <c r="V55" s="172"/>
      <c r="W55" s="172"/>
      <c r="X55" s="172"/>
    </row>
    <row r="56" spans="1:24" x14ac:dyDescent="0.2">
      <c r="A56" s="178">
        <v>9</v>
      </c>
      <c r="B56" s="161"/>
      <c r="C56" s="172"/>
      <c r="D56" s="172"/>
      <c r="E56" s="172"/>
      <c r="F56" s="172"/>
      <c r="G56" s="172"/>
      <c r="H56" s="172"/>
      <c r="I56" s="172"/>
      <c r="J56" s="172"/>
      <c r="K56" s="172"/>
      <c r="L56" s="172"/>
      <c r="M56" s="172"/>
      <c r="N56" s="172"/>
      <c r="O56" s="172"/>
      <c r="P56" s="172"/>
      <c r="Q56" s="172"/>
      <c r="R56" s="172"/>
      <c r="S56" s="172"/>
      <c r="T56" s="172"/>
      <c r="U56" s="172"/>
      <c r="V56" s="172"/>
      <c r="W56" s="172"/>
      <c r="X56" s="172"/>
    </row>
    <row r="57" spans="1:24" x14ac:dyDescent="0.2">
      <c r="A57" s="178">
        <v>10</v>
      </c>
      <c r="B57" s="181"/>
      <c r="C57" s="172"/>
      <c r="D57" s="172"/>
      <c r="E57" s="172"/>
      <c r="F57" s="172"/>
      <c r="G57" s="172"/>
      <c r="H57" s="172"/>
      <c r="I57" s="172"/>
      <c r="J57" s="172"/>
      <c r="K57" s="172"/>
      <c r="L57" s="172"/>
      <c r="M57" s="172"/>
      <c r="N57" s="172"/>
      <c r="O57" s="172"/>
      <c r="P57" s="172"/>
      <c r="Q57" s="172"/>
      <c r="R57" s="172"/>
      <c r="S57" s="172"/>
      <c r="T57" s="172"/>
      <c r="U57" s="172"/>
      <c r="V57" s="172"/>
      <c r="W57" s="172"/>
      <c r="X57" s="172"/>
    </row>
    <row r="58" spans="1:24" x14ac:dyDescent="0.2">
      <c r="C58" s="172"/>
      <c r="D58" s="172"/>
      <c r="E58" s="172"/>
      <c r="F58" s="172"/>
      <c r="G58" s="172"/>
      <c r="H58" s="172"/>
      <c r="I58" s="172"/>
      <c r="J58" s="172"/>
      <c r="K58" s="172"/>
      <c r="L58" s="172"/>
      <c r="M58" s="172"/>
      <c r="N58" s="172"/>
      <c r="O58" s="172"/>
      <c r="P58" s="172"/>
      <c r="Q58" s="172"/>
      <c r="R58" s="172"/>
      <c r="S58" s="172"/>
      <c r="T58" s="172"/>
      <c r="U58" s="172"/>
      <c r="V58" s="172"/>
      <c r="W58" s="172"/>
      <c r="X58" s="172"/>
    </row>
    <row r="59" spans="1:24" x14ac:dyDescent="0.2">
      <c r="C59" s="172"/>
      <c r="D59" s="172"/>
      <c r="E59" s="172"/>
      <c r="F59" s="172"/>
      <c r="G59" s="172"/>
      <c r="H59" s="172"/>
      <c r="I59" s="172"/>
      <c r="J59" s="172"/>
      <c r="K59" s="172"/>
      <c r="L59" s="172"/>
      <c r="M59" s="172"/>
      <c r="N59" s="172"/>
      <c r="O59" s="172"/>
      <c r="P59" s="172"/>
      <c r="Q59" s="172"/>
      <c r="R59" s="172"/>
      <c r="S59" s="172"/>
      <c r="T59" s="172"/>
      <c r="U59" s="172"/>
      <c r="V59" s="172"/>
      <c r="W59" s="172"/>
      <c r="X59" s="172"/>
    </row>
    <row r="60" spans="1:24" x14ac:dyDescent="0.2">
      <c r="C60" s="172"/>
      <c r="D60" s="172"/>
      <c r="E60" s="172"/>
      <c r="F60" s="172"/>
      <c r="G60" s="172"/>
      <c r="H60" s="172"/>
      <c r="I60" s="172"/>
      <c r="J60" s="172"/>
      <c r="K60" s="172"/>
      <c r="L60" s="172"/>
      <c r="M60" s="172"/>
      <c r="N60" s="172"/>
      <c r="O60" s="172"/>
      <c r="P60" s="172"/>
      <c r="Q60" s="172"/>
      <c r="R60" s="172"/>
      <c r="S60" s="172"/>
      <c r="T60" s="172"/>
      <c r="U60" s="172"/>
      <c r="V60" s="172"/>
      <c r="W60" s="172"/>
      <c r="X60" s="172"/>
    </row>
    <row r="61" spans="1:24" x14ac:dyDescent="0.2">
      <c r="C61" s="172"/>
      <c r="D61" s="172"/>
      <c r="E61" s="172"/>
      <c r="F61" s="172"/>
      <c r="G61" s="172"/>
      <c r="H61" s="172"/>
      <c r="I61" s="172"/>
      <c r="J61" s="172"/>
      <c r="K61" s="172"/>
      <c r="L61" s="172"/>
      <c r="M61" s="172"/>
      <c r="N61" s="172"/>
      <c r="O61" s="172"/>
      <c r="P61" s="172"/>
      <c r="Q61" s="172"/>
      <c r="R61" s="172"/>
      <c r="S61" s="172"/>
      <c r="T61" s="172"/>
      <c r="U61" s="172"/>
      <c r="V61" s="172"/>
      <c r="W61" s="172"/>
      <c r="X61" s="172"/>
    </row>
    <row r="62" spans="1:24" x14ac:dyDescent="0.2">
      <c r="C62" s="172"/>
      <c r="D62" s="172"/>
      <c r="E62" s="172"/>
      <c r="F62" s="172"/>
      <c r="G62" s="172"/>
      <c r="H62" s="172"/>
      <c r="I62" s="172"/>
      <c r="J62" s="172"/>
      <c r="K62" s="172"/>
      <c r="L62" s="172"/>
      <c r="M62" s="172"/>
      <c r="N62" s="172"/>
      <c r="O62" s="172"/>
      <c r="P62" s="172"/>
      <c r="Q62" s="172"/>
      <c r="R62" s="172"/>
      <c r="S62" s="172"/>
      <c r="T62" s="172"/>
      <c r="U62" s="172"/>
      <c r="V62" s="172"/>
      <c r="W62" s="172"/>
      <c r="X62" s="172"/>
    </row>
    <row r="63" spans="1:24" x14ac:dyDescent="0.2">
      <c r="C63" s="172"/>
      <c r="D63" s="172"/>
      <c r="E63" s="172"/>
      <c r="F63" s="172"/>
      <c r="G63" s="172"/>
      <c r="H63" s="172"/>
      <c r="I63" s="172"/>
      <c r="J63" s="172"/>
      <c r="K63" s="172"/>
      <c r="L63" s="172"/>
      <c r="M63" s="172"/>
      <c r="N63" s="172"/>
      <c r="O63" s="172"/>
      <c r="P63" s="172"/>
      <c r="Q63" s="172"/>
      <c r="R63" s="172"/>
      <c r="S63" s="172"/>
      <c r="T63" s="172"/>
      <c r="U63" s="172"/>
      <c r="V63" s="172"/>
      <c r="W63" s="172"/>
      <c r="X63" s="172"/>
    </row>
    <row r="64" spans="1:24" x14ac:dyDescent="0.2">
      <c r="C64" s="172"/>
      <c r="D64" s="172"/>
      <c r="E64" s="172"/>
      <c r="F64" s="172"/>
      <c r="G64" s="172"/>
      <c r="H64" s="172"/>
      <c r="I64" s="172"/>
      <c r="J64" s="172"/>
      <c r="K64" s="172"/>
      <c r="L64" s="172"/>
      <c r="M64" s="172"/>
      <c r="N64" s="172"/>
      <c r="O64" s="172"/>
      <c r="P64" s="172"/>
      <c r="Q64" s="172"/>
      <c r="R64" s="172"/>
      <c r="S64" s="172"/>
      <c r="T64" s="172"/>
      <c r="U64" s="172"/>
      <c r="V64" s="172"/>
      <c r="W64" s="172"/>
      <c r="X64" s="172"/>
    </row>
  </sheetData>
  <conditionalFormatting sqref="W45:W46">
    <cfRule type="top10" dxfId="362" priority="5" rank="1"/>
  </conditionalFormatting>
  <conditionalFormatting sqref="W28:W29">
    <cfRule type="top10" dxfId="361" priority="12" rank="1"/>
  </conditionalFormatting>
  <conditionalFormatting sqref="W30:W31">
    <cfRule type="top10" dxfId="360" priority="11" rank="1"/>
  </conditionalFormatting>
  <conditionalFormatting sqref="W32:W33">
    <cfRule type="top10" dxfId="359" priority="10" rank="1"/>
  </conditionalFormatting>
  <conditionalFormatting sqref="W34:W35">
    <cfRule type="top10" dxfId="358" priority="9" rank="1"/>
  </conditionalFormatting>
  <conditionalFormatting sqref="W37:W38">
    <cfRule type="top10" dxfId="357" priority="8" rank="1"/>
  </conditionalFormatting>
  <conditionalFormatting sqref="W39:W40">
    <cfRule type="top10" dxfId="356" priority="7" rank="1"/>
  </conditionalFormatting>
  <conditionalFormatting sqref="W42:W43">
    <cfRule type="top10" dxfId="355" priority="6" rank="1"/>
  </conditionalFormatting>
  <conditionalFormatting sqref="X9:X26">
    <cfRule type="duplicateValues" dxfId="354" priority="3"/>
    <cfRule type="top10" dxfId="353" priority="4" stopIfTrue="1" rank="100"/>
  </conditionalFormatting>
  <conditionalFormatting sqref="B9:B26">
    <cfRule type="duplicateValues" dxfId="352" priority="2" stopIfTrue="1"/>
  </conditionalFormatting>
  <conditionalFormatting sqref="B48:B57 H48:H55">
    <cfRule type="duplicateValues" dxfId="351" priority="1" stopIfTrue="1"/>
  </conditionalFormatting>
  <conditionalFormatting sqref="X37:X40">
    <cfRule type="duplicateValues" dxfId="350" priority="13"/>
  </conditionalFormatting>
  <conditionalFormatting sqref="X28:X35">
    <cfRule type="duplicateValues" dxfId="349" priority="14"/>
    <cfRule type="top10" dxfId="348" priority="15" stopIfTrue="1" rank="4"/>
  </conditionalFormatting>
  <conditionalFormatting sqref="W9:W46">
    <cfRule type="top10" dxfId="347" priority="16" rank="1"/>
  </conditionalFormatting>
  <pageMargins left="0.78740157480314965" right="0.39370078740157483" top="0.43307086614173229" bottom="0.39370078740157483" header="0.31496062992125984" footer="0"/>
  <pageSetup paperSize="9" fitToHeight="0" orientation="portrait" r:id="rId1"/>
  <headerFooter alignWithMargins="0">
    <oddHeader>&amp;R&amp;"Arial,Regular"&amp;9Page &amp;P of &amp;N</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C144"/>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142" customWidth="1"/>
    <col min="2" max="2" width="18.85546875" style="142" customWidth="1"/>
    <col min="3" max="22" width="2.7109375" style="142" customWidth="1"/>
    <col min="23" max="23" width="3" style="142" bestFit="1" customWidth="1"/>
    <col min="24" max="24" width="11.5703125" style="142" bestFit="1" customWidth="1"/>
    <col min="25" max="25" width="3" style="142" customWidth="1"/>
    <col min="26" max="27" width="4" style="142" hidden="1" customWidth="1"/>
    <col min="28" max="28" width="4.5703125" style="142" hidden="1" customWidth="1"/>
    <col min="29" max="29" width="9.140625" style="142"/>
    <col min="30" max="35" width="2.7109375" style="142" customWidth="1"/>
    <col min="36" max="225" width="9.140625" style="142"/>
    <col min="226" max="226" width="3" style="142" customWidth="1"/>
    <col min="227" max="227" width="18.7109375" style="142" customWidth="1"/>
    <col min="228" max="247" width="2.85546875" style="142" customWidth="1"/>
    <col min="248" max="248" width="3" style="142" bestFit="1" customWidth="1"/>
    <col min="249" max="249" width="10.5703125" style="142" customWidth="1"/>
    <col min="250" max="252" width="0" style="142" hidden="1" customWidth="1"/>
    <col min="253" max="481" width="9.140625" style="142"/>
    <col min="482" max="482" width="3" style="142" customWidth="1"/>
    <col min="483" max="483" width="18.7109375" style="142" customWidth="1"/>
    <col min="484" max="503" width="2.85546875" style="142" customWidth="1"/>
    <col min="504" max="504" width="3" style="142" bestFit="1" customWidth="1"/>
    <col min="505" max="505" width="10.5703125" style="142" customWidth="1"/>
    <col min="506" max="508" width="0" style="142" hidden="1" customWidth="1"/>
    <col min="509" max="737" width="9.140625" style="142"/>
    <col min="738" max="738" width="3" style="142" customWidth="1"/>
    <col min="739" max="739" width="18.7109375" style="142" customWidth="1"/>
    <col min="740" max="759" width="2.85546875" style="142" customWidth="1"/>
    <col min="760" max="760" width="3" style="142" bestFit="1" customWidth="1"/>
    <col min="761" max="761" width="10.5703125" style="142" customWidth="1"/>
    <col min="762" max="764" width="0" style="142" hidden="1" customWidth="1"/>
    <col min="765" max="993" width="9.140625" style="142"/>
    <col min="994" max="994" width="3" style="142" customWidth="1"/>
    <col min="995" max="995" width="18.7109375" style="142" customWidth="1"/>
    <col min="996" max="1015" width="2.85546875" style="142" customWidth="1"/>
    <col min="1016" max="1016" width="3" style="142" bestFit="1" customWidth="1"/>
    <col min="1017" max="1017" width="10.5703125" style="142" customWidth="1"/>
    <col min="1018" max="1020" width="0" style="142" hidden="1" customWidth="1"/>
    <col min="1021" max="1249" width="9.140625" style="142"/>
    <col min="1250" max="1250" width="3" style="142" customWidth="1"/>
    <col min="1251" max="1251" width="18.7109375" style="142" customWidth="1"/>
    <col min="1252" max="1271" width="2.85546875" style="142" customWidth="1"/>
    <col min="1272" max="1272" width="3" style="142" bestFit="1" customWidth="1"/>
    <col min="1273" max="1273" width="10.5703125" style="142" customWidth="1"/>
    <col min="1274" max="1276" width="0" style="142" hidden="1" customWidth="1"/>
    <col min="1277" max="1505" width="9.140625" style="142"/>
    <col min="1506" max="1506" width="3" style="142" customWidth="1"/>
    <col min="1507" max="1507" width="18.7109375" style="142" customWidth="1"/>
    <col min="1508" max="1527" width="2.85546875" style="142" customWidth="1"/>
    <col min="1528" max="1528" width="3" style="142" bestFit="1" customWidth="1"/>
    <col min="1529" max="1529" width="10.5703125" style="142" customWidth="1"/>
    <col min="1530" max="1532" width="0" style="142" hidden="1" customWidth="1"/>
    <col min="1533" max="1761" width="9.140625" style="142"/>
    <col min="1762" max="1762" width="3" style="142" customWidth="1"/>
    <col min="1763" max="1763" width="18.7109375" style="142" customWidth="1"/>
    <col min="1764" max="1783" width="2.85546875" style="142" customWidth="1"/>
    <col min="1784" max="1784" width="3" style="142" bestFit="1" customWidth="1"/>
    <col min="1785" max="1785" width="10.5703125" style="142" customWidth="1"/>
    <col min="1786" max="1788" width="0" style="142" hidden="1" customWidth="1"/>
    <col min="1789" max="2017" width="9.140625" style="142"/>
    <col min="2018" max="2018" width="3" style="142" customWidth="1"/>
    <col min="2019" max="2019" width="18.7109375" style="142" customWidth="1"/>
    <col min="2020" max="2039" width="2.85546875" style="142" customWidth="1"/>
    <col min="2040" max="2040" width="3" style="142" bestFit="1" customWidth="1"/>
    <col min="2041" max="2041" width="10.5703125" style="142" customWidth="1"/>
    <col min="2042" max="2044" width="0" style="142" hidden="1" customWidth="1"/>
    <col min="2045" max="2273" width="9.140625" style="142"/>
    <col min="2274" max="2274" width="3" style="142" customWidth="1"/>
    <col min="2275" max="2275" width="18.7109375" style="142" customWidth="1"/>
    <col min="2276" max="2295" width="2.85546875" style="142" customWidth="1"/>
    <col min="2296" max="2296" width="3" style="142" bestFit="1" customWidth="1"/>
    <col min="2297" max="2297" width="10.5703125" style="142" customWidth="1"/>
    <col min="2298" max="2300" width="0" style="142" hidden="1" customWidth="1"/>
    <col min="2301" max="2529" width="9.140625" style="142"/>
    <col min="2530" max="2530" width="3" style="142" customWidth="1"/>
    <col min="2531" max="2531" width="18.7109375" style="142" customWidth="1"/>
    <col min="2532" max="2551" width="2.85546875" style="142" customWidth="1"/>
    <col min="2552" max="2552" width="3" style="142" bestFit="1" customWidth="1"/>
    <col min="2553" max="2553" width="10.5703125" style="142" customWidth="1"/>
    <col min="2554" max="2556" width="0" style="142" hidden="1" customWidth="1"/>
    <col min="2557" max="2785" width="9.140625" style="142"/>
    <col min="2786" max="2786" width="3" style="142" customWidth="1"/>
    <col min="2787" max="2787" width="18.7109375" style="142" customWidth="1"/>
    <col min="2788" max="2807" width="2.85546875" style="142" customWidth="1"/>
    <col min="2808" max="2808" width="3" style="142" bestFit="1" customWidth="1"/>
    <col min="2809" max="2809" width="10.5703125" style="142" customWidth="1"/>
    <col min="2810" max="2812" width="0" style="142" hidden="1" customWidth="1"/>
    <col min="2813" max="3041" width="9.140625" style="142"/>
    <col min="3042" max="3042" width="3" style="142" customWidth="1"/>
    <col min="3043" max="3043" width="18.7109375" style="142" customWidth="1"/>
    <col min="3044" max="3063" width="2.85546875" style="142" customWidth="1"/>
    <col min="3064" max="3064" width="3" style="142" bestFit="1" customWidth="1"/>
    <col min="3065" max="3065" width="10.5703125" style="142" customWidth="1"/>
    <col min="3066" max="3068" width="0" style="142" hidden="1" customWidth="1"/>
    <col min="3069" max="3297" width="9.140625" style="142"/>
    <col min="3298" max="3298" width="3" style="142" customWidth="1"/>
    <col min="3299" max="3299" width="18.7109375" style="142" customWidth="1"/>
    <col min="3300" max="3319" width="2.85546875" style="142" customWidth="1"/>
    <col min="3320" max="3320" width="3" style="142" bestFit="1" customWidth="1"/>
    <col min="3321" max="3321" width="10.5703125" style="142" customWidth="1"/>
    <col min="3322" max="3324" width="0" style="142" hidden="1" customWidth="1"/>
    <col min="3325" max="3553" width="9.140625" style="142"/>
    <col min="3554" max="3554" width="3" style="142" customWidth="1"/>
    <col min="3555" max="3555" width="18.7109375" style="142" customWidth="1"/>
    <col min="3556" max="3575" width="2.85546875" style="142" customWidth="1"/>
    <col min="3576" max="3576" width="3" style="142" bestFit="1" customWidth="1"/>
    <col min="3577" max="3577" width="10.5703125" style="142" customWidth="1"/>
    <col min="3578" max="3580" width="0" style="142" hidden="1" customWidth="1"/>
    <col min="3581" max="3809" width="9.140625" style="142"/>
    <col min="3810" max="3810" width="3" style="142" customWidth="1"/>
    <col min="3811" max="3811" width="18.7109375" style="142" customWidth="1"/>
    <col min="3812" max="3831" width="2.85546875" style="142" customWidth="1"/>
    <col min="3832" max="3832" width="3" style="142" bestFit="1" customWidth="1"/>
    <col min="3833" max="3833" width="10.5703125" style="142" customWidth="1"/>
    <col min="3834" max="3836" width="0" style="142" hidden="1" customWidth="1"/>
    <col min="3837" max="4065" width="9.140625" style="142"/>
    <col min="4066" max="4066" width="3" style="142" customWidth="1"/>
    <col min="4067" max="4067" width="18.7109375" style="142" customWidth="1"/>
    <col min="4068" max="4087" width="2.85546875" style="142" customWidth="1"/>
    <col min="4088" max="4088" width="3" style="142" bestFit="1" customWidth="1"/>
    <col min="4089" max="4089" width="10.5703125" style="142" customWidth="1"/>
    <col min="4090" max="4092" width="0" style="142" hidden="1" customWidth="1"/>
    <col min="4093" max="4321" width="9.140625" style="142"/>
    <col min="4322" max="4322" width="3" style="142" customWidth="1"/>
    <col min="4323" max="4323" width="18.7109375" style="142" customWidth="1"/>
    <col min="4324" max="4343" width="2.85546875" style="142" customWidth="1"/>
    <col min="4344" max="4344" width="3" style="142" bestFit="1" customWidth="1"/>
    <col min="4345" max="4345" width="10.5703125" style="142" customWidth="1"/>
    <col min="4346" max="4348" width="0" style="142" hidden="1" customWidth="1"/>
    <col min="4349" max="4577" width="9.140625" style="142"/>
    <col min="4578" max="4578" width="3" style="142" customWidth="1"/>
    <col min="4579" max="4579" width="18.7109375" style="142" customWidth="1"/>
    <col min="4580" max="4599" width="2.85546875" style="142" customWidth="1"/>
    <col min="4600" max="4600" width="3" style="142" bestFit="1" customWidth="1"/>
    <col min="4601" max="4601" width="10.5703125" style="142" customWidth="1"/>
    <col min="4602" max="4604" width="0" style="142" hidden="1" customWidth="1"/>
    <col min="4605" max="4833" width="9.140625" style="142"/>
    <col min="4834" max="4834" width="3" style="142" customWidth="1"/>
    <col min="4835" max="4835" width="18.7109375" style="142" customWidth="1"/>
    <col min="4836" max="4855" width="2.85546875" style="142" customWidth="1"/>
    <col min="4856" max="4856" width="3" style="142" bestFit="1" customWidth="1"/>
    <col min="4857" max="4857" width="10.5703125" style="142" customWidth="1"/>
    <col min="4858" max="4860" width="0" style="142" hidden="1" customWidth="1"/>
    <col min="4861" max="5089" width="9.140625" style="142"/>
    <col min="5090" max="5090" width="3" style="142" customWidth="1"/>
    <col min="5091" max="5091" width="18.7109375" style="142" customWidth="1"/>
    <col min="5092" max="5111" width="2.85546875" style="142" customWidth="1"/>
    <col min="5112" max="5112" width="3" style="142" bestFit="1" customWidth="1"/>
    <col min="5113" max="5113" width="10.5703125" style="142" customWidth="1"/>
    <col min="5114" max="5116" width="0" style="142" hidden="1" customWidth="1"/>
    <col min="5117" max="5345" width="9.140625" style="142"/>
    <col min="5346" max="5346" width="3" style="142" customWidth="1"/>
    <col min="5347" max="5347" width="18.7109375" style="142" customWidth="1"/>
    <col min="5348" max="5367" width="2.85546875" style="142" customWidth="1"/>
    <col min="5368" max="5368" width="3" style="142" bestFit="1" customWidth="1"/>
    <col min="5369" max="5369" width="10.5703125" style="142" customWidth="1"/>
    <col min="5370" max="5372" width="0" style="142" hidden="1" customWidth="1"/>
    <col min="5373" max="5601" width="9.140625" style="142"/>
    <col min="5602" max="5602" width="3" style="142" customWidth="1"/>
    <col min="5603" max="5603" width="18.7109375" style="142" customWidth="1"/>
    <col min="5604" max="5623" width="2.85546875" style="142" customWidth="1"/>
    <col min="5624" max="5624" width="3" style="142" bestFit="1" customWidth="1"/>
    <col min="5625" max="5625" width="10.5703125" style="142" customWidth="1"/>
    <col min="5626" max="5628" width="0" style="142" hidden="1" customWidth="1"/>
    <col min="5629" max="5857" width="9.140625" style="142"/>
    <col min="5858" max="5858" width="3" style="142" customWidth="1"/>
    <col min="5859" max="5859" width="18.7109375" style="142" customWidth="1"/>
    <col min="5860" max="5879" width="2.85546875" style="142" customWidth="1"/>
    <col min="5880" max="5880" width="3" style="142" bestFit="1" customWidth="1"/>
    <col min="5881" max="5881" width="10.5703125" style="142" customWidth="1"/>
    <col min="5882" max="5884" width="0" style="142" hidden="1" customWidth="1"/>
    <col min="5885" max="6113" width="9.140625" style="142"/>
    <col min="6114" max="6114" width="3" style="142" customWidth="1"/>
    <col min="6115" max="6115" width="18.7109375" style="142" customWidth="1"/>
    <col min="6116" max="6135" width="2.85546875" style="142" customWidth="1"/>
    <col min="6136" max="6136" width="3" style="142" bestFit="1" customWidth="1"/>
    <col min="6137" max="6137" width="10.5703125" style="142" customWidth="1"/>
    <col min="6138" max="6140" width="0" style="142" hidden="1" customWidth="1"/>
    <col min="6141" max="6369" width="9.140625" style="142"/>
    <col min="6370" max="6370" width="3" style="142" customWidth="1"/>
    <col min="6371" max="6371" width="18.7109375" style="142" customWidth="1"/>
    <col min="6372" max="6391" width="2.85546875" style="142" customWidth="1"/>
    <col min="6392" max="6392" width="3" style="142" bestFit="1" customWidth="1"/>
    <col min="6393" max="6393" width="10.5703125" style="142" customWidth="1"/>
    <col min="6394" max="6396" width="0" style="142" hidden="1" customWidth="1"/>
    <col min="6397" max="6625" width="9.140625" style="142"/>
    <col min="6626" max="6626" width="3" style="142" customWidth="1"/>
    <col min="6627" max="6627" width="18.7109375" style="142" customWidth="1"/>
    <col min="6628" max="6647" width="2.85546875" style="142" customWidth="1"/>
    <col min="6648" max="6648" width="3" style="142" bestFit="1" customWidth="1"/>
    <col min="6649" max="6649" width="10.5703125" style="142" customWidth="1"/>
    <col min="6650" max="6652" width="0" style="142" hidden="1" customWidth="1"/>
    <col min="6653" max="6881" width="9.140625" style="142"/>
    <col min="6882" max="6882" width="3" style="142" customWidth="1"/>
    <col min="6883" max="6883" width="18.7109375" style="142" customWidth="1"/>
    <col min="6884" max="6903" width="2.85546875" style="142" customWidth="1"/>
    <col min="6904" max="6904" width="3" style="142" bestFit="1" customWidth="1"/>
    <col min="6905" max="6905" width="10.5703125" style="142" customWidth="1"/>
    <col min="6906" max="6908" width="0" style="142" hidden="1" customWidth="1"/>
    <col min="6909" max="7137" width="9.140625" style="142"/>
    <col min="7138" max="7138" width="3" style="142" customWidth="1"/>
    <col min="7139" max="7139" width="18.7109375" style="142" customWidth="1"/>
    <col min="7140" max="7159" width="2.85546875" style="142" customWidth="1"/>
    <col min="7160" max="7160" width="3" style="142" bestFit="1" customWidth="1"/>
    <col min="7161" max="7161" width="10.5703125" style="142" customWidth="1"/>
    <col min="7162" max="7164" width="0" style="142" hidden="1" customWidth="1"/>
    <col min="7165" max="7393" width="9.140625" style="142"/>
    <col min="7394" max="7394" width="3" style="142" customWidth="1"/>
    <col min="7395" max="7395" width="18.7109375" style="142" customWidth="1"/>
    <col min="7396" max="7415" width="2.85546875" style="142" customWidth="1"/>
    <col min="7416" max="7416" width="3" style="142" bestFit="1" customWidth="1"/>
    <col min="7417" max="7417" width="10.5703125" style="142" customWidth="1"/>
    <col min="7418" max="7420" width="0" style="142" hidden="1" customWidth="1"/>
    <col min="7421" max="7649" width="9.140625" style="142"/>
    <col min="7650" max="7650" width="3" style="142" customWidth="1"/>
    <col min="7651" max="7651" width="18.7109375" style="142" customWidth="1"/>
    <col min="7652" max="7671" width="2.85546875" style="142" customWidth="1"/>
    <col min="7672" max="7672" width="3" style="142" bestFit="1" customWidth="1"/>
    <col min="7673" max="7673" width="10.5703125" style="142" customWidth="1"/>
    <col min="7674" max="7676" width="0" style="142" hidden="1" customWidth="1"/>
    <col min="7677" max="7905" width="9.140625" style="142"/>
    <col min="7906" max="7906" width="3" style="142" customWidth="1"/>
    <col min="7907" max="7907" width="18.7109375" style="142" customWidth="1"/>
    <col min="7908" max="7927" width="2.85546875" style="142" customWidth="1"/>
    <col min="7928" max="7928" width="3" style="142" bestFit="1" customWidth="1"/>
    <col min="7929" max="7929" width="10.5703125" style="142" customWidth="1"/>
    <col min="7930" max="7932" width="0" style="142" hidden="1" customWidth="1"/>
    <col min="7933" max="8161" width="9.140625" style="142"/>
    <col min="8162" max="8162" width="3" style="142" customWidth="1"/>
    <col min="8163" max="8163" width="18.7109375" style="142" customWidth="1"/>
    <col min="8164" max="8183" width="2.85546875" style="142" customWidth="1"/>
    <col min="8184" max="8184" width="3" style="142" bestFit="1" customWidth="1"/>
    <col min="8185" max="8185" width="10.5703125" style="142" customWidth="1"/>
    <col min="8186" max="8188" width="0" style="142" hidden="1" customWidth="1"/>
    <col min="8189" max="8417" width="9.140625" style="142"/>
    <col min="8418" max="8418" width="3" style="142" customWidth="1"/>
    <col min="8419" max="8419" width="18.7109375" style="142" customWidth="1"/>
    <col min="8420" max="8439" width="2.85546875" style="142" customWidth="1"/>
    <col min="8440" max="8440" width="3" style="142" bestFit="1" customWidth="1"/>
    <col min="8441" max="8441" width="10.5703125" style="142" customWidth="1"/>
    <col min="8442" max="8444" width="0" style="142" hidden="1" customWidth="1"/>
    <col min="8445" max="8673" width="9.140625" style="142"/>
    <col min="8674" max="8674" width="3" style="142" customWidth="1"/>
    <col min="8675" max="8675" width="18.7109375" style="142" customWidth="1"/>
    <col min="8676" max="8695" width="2.85546875" style="142" customWidth="1"/>
    <col min="8696" max="8696" width="3" style="142" bestFit="1" customWidth="1"/>
    <col min="8697" max="8697" width="10.5703125" style="142" customWidth="1"/>
    <col min="8698" max="8700" width="0" style="142" hidden="1" customWidth="1"/>
    <col min="8701" max="8929" width="9.140625" style="142"/>
    <col min="8930" max="8930" width="3" style="142" customWidth="1"/>
    <col min="8931" max="8931" width="18.7109375" style="142" customWidth="1"/>
    <col min="8932" max="8951" width="2.85546875" style="142" customWidth="1"/>
    <col min="8952" max="8952" width="3" style="142" bestFit="1" customWidth="1"/>
    <col min="8953" max="8953" width="10.5703125" style="142" customWidth="1"/>
    <col min="8954" max="8956" width="0" style="142" hidden="1" customWidth="1"/>
    <col min="8957" max="9185" width="9.140625" style="142"/>
    <col min="9186" max="9186" width="3" style="142" customWidth="1"/>
    <col min="9187" max="9187" width="18.7109375" style="142" customWidth="1"/>
    <col min="9188" max="9207" width="2.85546875" style="142" customWidth="1"/>
    <col min="9208" max="9208" width="3" style="142" bestFit="1" customWidth="1"/>
    <col min="9209" max="9209" width="10.5703125" style="142" customWidth="1"/>
    <col min="9210" max="9212" width="0" style="142" hidden="1" customWidth="1"/>
    <col min="9213" max="9441" width="9.140625" style="142"/>
    <col min="9442" max="9442" width="3" style="142" customWidth="1"/>
    <col min="9443" max="9443" width="18.7109375" style="142" customWidth="1"/>
    <col min="9444" max="9463" width="2.85546875" style="142" customWidth="1"/>
    <col min="9464" max="9464" width="3" style="142" bestFit="1" customWidth="1"/>
    <col min="9465" max="9465" width="10.5703125" style="142" customWidth="1"/>
    <col min="9466" max="9468" width="0" style="142" hidden="1" customWidth="1"/>
    <col min="9469" max="9697" width="9.140625" style="142"/>
    <col min="9698" max="9698" width="3" style="142" customWidth="1"/>
    <col min="9699" max="9699" width="18.7109375" style="142" customWidth="1"/>
    <col min="9700" max="9719" width="2.85546875" style="142" customWidth="1"/>
    <col min="9720" max="9720" width="3" style="142" bestFit="1" customWidth="1"/>
    <col min="9721" max="9721" width="10.5703125" style="142" customWidth="1"/>
    <col min="9722" max="9724" width="0" style="142" hidden="1" customWidth="1"/>
    <col min="9725" max="9953" width="9.140625" style="142"/>
    <col min="9954" max="9954" width="3" style="142" customWidth="1"/>
    <col min="9955" max="9955" width="18.7109375" style="142" customWidth="1"/>
    <col min="9956" max="9975" width="2.85546875" style="142" customWidth="1"/>
    <col min="9976" max="9976" width="3" style="142" bestFit="1" customWidth="1"/>
    <col min="9977" max="9977" width="10.5703125" style="142" customWidth="1"/>
    <col min="9978" max="9980" width="0" style="142" hidden="1" customWidth="1"/>
    <col min="9981" max="10209" width="9.140625" style="142"/>
    <col min="10210" max="10210" width="3" style="142" customWidth="1"/>
    <col min="10211" max="10211" width="18.7109375" style="142" customWidth="1"/>
    <col min="10212" max="10231" width="2.85546875" style="142" customWidth="1"/>
    <col min="10232" max="10232" width="3" style="142" bestFit="1" customWidth="1"/>
    <col min="10233" max="10233" width="10.5703125" style="142" customWidth="1"/>
    <col min="10234" max="10236" width="0" style="142" hidden="1" customWidth="1"/>
    <col min="10237" max="10465" width="9.140625" style="142"/>
    <col min="10466" max="10466" width="3" style="142" customWidth="1"/>
    <col min="10467" max="10467" width="18.7109375" style="142" customWidth="1"/>
    <col min="10468" max="10487" width="2.85546875" style="142" customWidth="1"/>
    <col min="10488" max="10488" width="3" style="142" bestFit="1" customWidth="1"/>
    <col min="10489" max="10489" width="10.5703125" style="142" customWidth="1"/>
    <col min="10490" max="10492" width="0" style="142" hidden="1" customWidth="1"/>
    <col min="10493" max="10721" width="9.140625" style="142"/>
    <col min="10722" max="10722" width="3" style="142" customWidth="1"/>
    <col min="10723" max="10723" width="18.7109375" style="142" customWidth="1"/>
    <col min="10724" max="10743" width="2.85546875" style="142" customWidth="1"/>
    <col min="10744" max="10744" width="3" style="142" bestFit="1" customWidth="1"/>
    <col min="10745" max="10745" width="10.5703125" style="142" customWidth="1"/>
    <col min="10746" max="10748" width="0" style="142" hidden="1" customWidth="1"/>
    <col min="10749" max="10977" width="9.140625" style="142"/>
    <col min="10978" max="10978" width="3" style="142" customWidth="1"/>
    <col min="10979" max="10979" width="18.7109375" style="142" customWidth="1"/>
    <col min="10980" max="10999" width="2.85546875" style="142" customWidth="1"/>
    <col min="11000" max="11000" width="3" style="142" bestFit="1" customWidth="1"/>
    <col min="11001" max="11001" width="10.5703125" style="142" customWidth="1"/>
    <col min="11002" max="11004" width="0" style="142" hidden="1" customWidth="1"/>
    <col min="11005" max="11233" width="9.140625" style="142"/>
    <col min="11234" max="11234" width="3" style="142" customWidth="1"/>
    <col min="11235" max="11235" width="18.7109375" style="142" customWidth="1"/>
    <col min="11236" max="11255" width="2.85546875" style="142" customWidth="1"/>
    <col min="11256" max="11256" width="3" style="142" bestFit="1" customWidth="1"/>
    <col min="11257" max="11257" width="10.5703125" style="142" customWidth="1"/>
    <col min="11258" max="11260" width="0" style="142" hidden="1" customWidth="1"/>
    <col min="11261" max="11489" width="9.140625" style="142"/>
    <col min="11490" max="11490" width="3" style="142" customWidth="1"/>
    <col min="11491" max="11491" width="18.7109375" style="142" customWidth="1"/>
    <col min="11492" max="11511" width="2.85546875" style="142" customWidth="1"/>
    <col min="11512" max="11512" width="3" style="142" bestFit="1" customWidth="1"/>
    <col min="11513" max="11513" width="10.5703125" style="142" customWidth="1"/>
    <col min="11514" max="11516" width="0" style="142" hidden="1" customWidth="1"/>
    <col min="11517" max="11745" width="9.140625" style="142"/>
    <col min="11746" max="11746" width="3" style="142" customWidth="1"/>
    <col min="11747" max="11747" width="18.7109375" style="142" customWidth="1"/>
    <col min="11748" max="11767" width="2.85546875" style="142" customWidth="1"/>
    <col min="11768" max="11768" width="3" style="142" bestFit="1" customWidth="1"/>
    <col min="11769" max="11769" width="10.5703125" style="142" customWidth="1"/>
    <col min="11770" max="11772" width="0" style="142" hidden="1" customWidth="1"/>
    <col min="11773" max="12001" width="9.140625" style="142"/>
    <col min="12002" max="12002" width="3" style="142" customWidth="1"/>
    <col min="12003" max="12003" width="18.7109375" style="142" customWidth="1"/>
    <col min="12004" max="12023" width="2.85546875" style="142" customWidth="1"/>
    <col min="12024" max="12024" width="3" style="142" bestFit="1" customWidth="1"/>
    <col min="12025" max="12025" width="10.5703125" style="142" customWidth="1"/>
    <col min="12026" max="12028" width="0" style="142" hidden="1" customWidth="1"/>
    <col min="12029" max="12257" width="9.140625" style="142"/>
    <col min="12258" max="12258" width="3" style="142" customWidth="1"/>
    <col min="12259" max="12259" width="18.7109375" style="142" customWidth="1"/>
    <col min="12260" max="12279" width="2.85546875" style="142" customWidth="1"/>
    <col min="12280" max="12280" width="3" style="142" bestFit="1" customWidth="1"/>
    <col min="12281" max="12281" width="10.5703125" style="142" customWidth="1"/>
    <col min="12282" max="12284" width="0" style="142" hidden="1" customWidth="1"/>
    <col min="12285" max="12513" width="9.140625" style="142"/>
    <col min="12514" max="12514" width="3" style="142" customWidth="1"/>
    <col min="12515" max="12515" width="18.7109375" style="142" customWidth="1"/>
    <col min="12516" max="12535" width="2.85546875" style="142" customWidth="1"/>
    <col min="12536" max="12536" width="3" style="142" bestFit="1" customWidth="1"/>
    <col min="12537" max="12537" width="10.5703125" style="142" customWidth="1"/>
    <col min="12538" max="12540" width="0" style="142" hidden="1" customWidth="1"/>
    <col min="12541" max="12769" width="9.140625" style="142"/>
    <col min="12770" max="12770" width="3" style="142" customWidth="1"/>
    <col min="12771" max="12771" width="18.7109375" style="142" customWidth="1"/>
    <col min="12772" max="12791" width="2.85546875" style="142" customWidth="1"/>
    <col min="12792" max="12792" width="3" style="142" bestFit="1" customWidth="1"/>
    <col min="12793" max="12793" width="10.5703125" style="142" customWidth="1"/>
    <col min="12794" max="12796" width="0" style="142" hidden="1" customWidth="1"/>
    <col min="12797" max="13025" width="9.140625" style="142"/>
    <col min="13026" max="13026" width="3" style="142" customWidth="1"/>
    <col min="13027" max="13027" width="18.7109375" style="142" customWidth="1"/>
    <col min="13028" max="13047" width="2.85546875" style="142" customWidth="1"/>
    <col min="13048" max="13048" width="3" style="142" bestFit="1" customWidth="1"/>
    <col min="13049" max="13049" width="10.5703125" style="142" customWidth="1"/>
    <col min="13050" max="13052" width="0" style="142" hidden="1" customWidth="1"/>
    <col min="13053" max="13281" width="9.140625" style="142"/>
    <col min="13282" max="13282" width="3" style="142" customWidth="1"/>
    <col min="13283" max="13283" width="18.7109375" style="142" customWidth="1"/>
    <col min="13284" max="13303" width="2.85546875" style="142" customWidth="1"/>
    <col min="13304" max="13304" width="3" style="142" bestFit="1" customWidth="1"/>
    <col min="13305" max="13305" width="10.5703125" style="142" customWidth="1"/>
    <col min="13306" max="13308" width="0" style="142" hidden="1" customWidth="1"/>
    <col min="13309" max="13537" width="9.140625" style="142"/>
    <col min="13538" max="13538" width="3" style="142" customWidth="1"/>
    <col min="13539" max="13539" width="18.7109375" style="142" customWidth="1"/>
    <col min="13540" max="13559" width="2.85546875" style="142" customWidth="1"/>
    <col min="13560" max="13560" width="3" style="142" bestFit="1" customWidth="1"/>
    <col min="13561" max="13561" width="10.5703125" style="142" customWidth="1"/>
    <col min="13562" max="13564" width="0" style="142" hidden="1" customWidth="1"/>
    <col min="13565" max="13793" width="9.140625" style="142"/>
    <col min="13794" max="13794" width="3" style="142" customWidth="1"/>
    <col min="13795" max="13795" width="18.7109375" style="142" customWidth="1"/>
    <col min="13796" max="13815" width="2.85546875" style="142" customWidth="1"/>
    <col min="13816" max="13816" width="3" style="142" bestFit="1" customWidth="1"/>
    <col min="13817" max="13817" width="10.5703125" style="142" customWidth="1"/>
    <col min="13818" max="13820" width="0" style="142" hidden="1" customWidth="1"/>
    <col min="13821" max="14049" width="9.140625" style="142"/>
    <col min="14050" max="14050" width="3" style="142" customWidth="1"/>
    <col min="14051" max="14051" width="18.7109375" style="142" customWidth="1"/>
    <col min="14052" max="14071" width="2.85546875" style="142" customWidth="1"/>
    <col min="14072" max="14072" width="3" style="142" bestFit="1" customWidth="1"/>
    <col min="14073" max="14073" width="10.5703125" style="142" customWidth="1"/>
    <col min="14074" max="14076" width="0" style="142" hidden="1" customWidth="1"/>
    <col min="14077" max="14305" width="9.140625" style="142"/>
    <col min="14306" max="14306" width="3" style="142" customWidth="1"/>
    <col min="14307" max="14307" width="18.7109375" style="142" customWidth="1"/>
    <col min="14308" max="14327" width="2.85546875" style="142" customWidth="1"/>
    <col min="14328" max="14328" width="3" style="142" bestFit="1" customWidth="1"/>
    <col min="14329" max="14329" width="10.5703125" style="142" customWidth="1"/>
    <col min="14330" max="14332" width="0" style="142" hidden="1" customWidth="1"/>
    <col min="14333" max="14561" width="9.140625" style="142"/>
    <col min="14562" max="14562" width="3" style="142" customWidth="1"/>
    <col min="14563" max="14563" width="18.7109375" style="142" customWidth="1"/>
    <col min="14564" max="14583" width="2.85546875" style="142" customWidth="1"/>
    <col min="14584" max="14584" width="3" style="142" bestFit="1" customWidth="1"/>
    <col min="14585" max="14585" width="10.5703125" style="142" customWidth="1"/>
    <col min="14586" max="14588" width="0" style="142" hidden="1" customWidth="1"/>
    <col min="14589" max="14817" width="9.140625" style="142"/>
    <col min="14818" max="14818" width="3" style="142" customWidth="1"/>
    <col min="14819" max="14819" width="18.7109375" style="142" customWidth="1"/>
    <col min="14820" max="14839" width="2.85546875" style="142" customWidth="1"/>
    <col min="14840" max="14840" width="3" style="142" bestFit="1" customWidth="1"/>
    <col min="14841" max="14841" width="10.5703125" style="142" customWidth="1"/>
    <col min="14842" max="14844" width="0" style="142" hidden="1" customWidth="1"/>
    <col min="14845" max="15073" width="9.140625" style="142"/>
    <col min="15074" max="15074" width="3" style="142" customWidth="1"/>
    <col min="15075" max="15075" width="18.7109375" style="142" customWidth="1"/>
    <col min="15076" max="15095" width="2.85546875" style="142" customWidth="1"/>
    <col min="15096" max="15096" width="3" style="142" bestFit="1" customWidth="1"/>
    <col min="15097" max="15097" width="10.5703125" style="142" customWidth="1"/>
    <col min="15098" max="15100" width="0" style="142" hidden="1" customWidth="1"/>
    <col min="15101" max="15329" width="9.140625" style="142"/>
    <col min="15330" max="15330" width="3" style="142" customWidth="1"/>
    <col min="15331" max="15331" width="18.7109375" style="142" customWidth="1"/>
    <col min="15332" max="15351" width="2.85546875" style="142" customWidth="1"/>
    <col min="15352" max="15352" width="3" style="142" bestFit="1" customWidth="1"/>
    <col min="15353" max="15353" width="10.5703125" style="142" customWidth="1"/>
    <col min="15354" max="15356" width="0" style="142" hidden="1" customWidth="1"/>
    <col min="15357" max="15585" width="9.140625" style="142"/>
    <col min="15586" max="15586" width="3" style="142" customWidth="1"/>
    <col min="15587" max="15587" width="18.7109375" style="142" customWidth="1"/>
    <col min="15588" max="15607" width="2.85546875" style="142" customWidth="1"/>
    <col min="15608" max="15608" width="3" style="142" bestFit="1" customWidth="1"/>
    <col min="15609" max="15609" width="10.5703125" style="142" customWidth="1"/>
    <col min="15610" max="15612" width="0" style="142" hidden="1" customWidth="1"/>
    <col min="15613" max="15841" width="9.140625" style="142"/>
    <col min="15842" max="15842" width="3" style="142" customWidth="1"/>
    <col min="15843" max="15843" width="18.7109375" style="142" customWidth="1"/>
    <col min="15844" max="15863" width="2.85546875" style="142" customWidth="1"/>
    <col min="15864" max="15864" width="3" style="142" bestFit="1" customWidth="1"/>
    <col min="15865" max="15865" width="10.5703125" style="142" customWidth="1"/>
    <col min="15866" max="15868" width="0" style="142" hidden="1" customWidth="1"/>
    <col min="15869" max="16097" width="9.140625" style="142"/>
    <col min="16098" max="16098" width="3" style="142" customWidth="1"/>
    <col min="16099" max="16099" width="18.7109375" style="142" customWidth="1"/>
    <col min="16100" max="16119" width="2.85546875" style="142" customWidth="1"/>
    <col min="16120" max="16120" width="3" style="142" bestFit="1" customWidth="1"/>
    <col min="16121" max="16121" width="10.5703125" style="142" customWidth="1"/>
    <col min="16122" max="16124" width="0" style="142" hidden="1" customWidth="1"/>
    <col min="16125" max="16384" width="9.140625" style="142"/>
  </cols>
  <sheetData>
    <row r="1" spans="1:29" s="135" customFormat="1" x14ac:dyDescent="0.2">
      <c r="A1" s="117" t="str">
        <f>UPPER((Kalend!E13)&amp;" - "&amp;(Kalend!C13)&amp;" - "&amp;(Kalend!D13))</f>
        <v>5M - 17. EESTI MV - TULISTAMINE</v>
      </c>
      <c r="B1" s="206"/>
      <c r="C1" s="206"/>
      <c r="D1" s="206"/>
      <c r="E1" s="206"/>
      <c r="I1" s="507" t="s">
        <v>168</v>
      </c>
      <c r="Q1" s="85" t="str">
        <f>HYPERLINK("#Üldreiting!I1","Reiting")</f>
        <v>Reiting</v>
      </c>
      <c r="R1" s="206"/>
      <c r="S1" s="206"/>
      <c r="T1" s="206"/>
      <c r="U1" s="206"/>
      <c r="Y1" s="89"/>
    </row>
    <row r="2" spans="1:29" s="135" customFormat="1" x14ac:dyDescent="0.2">
      <c r="A2" s="116" t="str">
        <f>"Toimumisaeg: "&amp;(Kalend!A13)&amp;" kell "&amp;(Kalend!B13)</f>
        <v>Toimumisaeg: P, 11.06.2017 kell 10:00</v>
      </c>
      <c r="B2" s="206"/>
      <c r="C2" s="206"/>
      <c r="D2" s="206"/>
      <c r="E2" s="206"/>
      <c r="O2" s="206"/>
      <c r="P2" s="206"/>
      <c r="Q2" s="206"/>
      <c r="R2" s="206"/>
      <c r="S2" s="206"/>
      <c r="T2" s="206"/>
      <c r="Y2" s="89"/>
    </row>
    <row r="3" spans="1:29" s="135" customFormat="1" x14ac:dyDescent="0.2">
      <c r="A3" s="116" t="str">
        <f>"Toimumiskoht: "&amp;(Kalend!H13)</f>
        <v>Toimumiskoht: Kohtla-Järve, Järveküla tee 44</v>
      </c>
      <c r="B3" s="206"/>
      <c r="C3" s="206"/>
      <c r="D3" s="206"/>
      <c r="E3" s="206"/>
      <c r="O3" s="206"/>
      <c r="P3" s="206"/>
      <c r="Q3" s="206"/>
      <c r="R3" s="206"/>
      <c r="S3" s="206"/>
      <c r="T3" s="206"/>
      <c r="Y3" s="89"/>
    </row>
    <row r="4" spans="1:29" s="135" customFormat="1" x14ac:dyDescent="0.2">
      <c r="A4" s="116" t="str">
        <f>"Korraldaja: "&amp;(Kalend!I13)</f>
        <v>Korraldaja: Kohtla-Järve SHK, Ivar Viljaste</v>
      </c>
      <c r="B4" s="206"/>
      <c r="C4" s="206"/>
      <c r="D4" s="206"/>
      <c r="E4" s="206"/>
      <c r="O4" s="206"/>
      <c r="P4" s="206"/>
      <c r="Q4" s="206"/>
      <c r="R4" s="206"/>
      <c r="S4" s="206"/>
      <c r="T4" s="206"/>
      <c r="Y4" s="89"/>
    </row>
    <row r="5" spans="1:29" s="135" customFormat="1" ht="13.5" thickBot="1" x14ac:dyDescent="0.25">
      <c r="A5" s="206"/>
      <c r="B5" s="206"/>
      <c r="C5" s="207"/>
      <c r="D5" s="207"/>
      <c r="E5" s="207"/>
      <c r="F5" s="207"/>
      <c r="G5" s="207"/>
      <c r="H5" s="207"/>
      <c r="I5" s="207"/>
      <c r="J5" s="207"/>
      <c r="K5" s="207"/>
      <c r="L5" s="89"/>
      <c r="M5" s="89"/>
      <c r="N5" s="89"/>
      <c r="O5" s="89"/>
      <c r="P5" s="89"/>
      <c r="Q5" s="89"/>
      <c r="R5" s="89"/>
      <c r="S5" s="89"/>
      <c r="T5" s="89"/>
      <c r="U5" s="89"/>
      <c r="V5" s="89"/>
      <c r="W5" s="89"/>
      <c r="X5" s="89"/>
      <c r="Y5" s="89"/>
    </row>
    <row r="6" spans="1:29" ht="58.5" thickBot="1" x14ac:dyDescent="0.25">
      <c r="A6" s="232"/>
      <c r="B6" s="233"/>
      <c r="C6" s="234"/>
      <c r="D6" s="234"/>
      <c r="E6" s="234"/>
      <c r="F6" s="234"/>
      <c r="G6" s="235"/>
      <c r="H6" s="234"/>
      <c r="I6" s="234"/>
      <c r="J6" s="236"/>
      <c r="K6" s="234"/>
      <c r="L6" s="234"/>
      <c r="M6" s="234"/>
      <c r="N6" s="234"/>
      <c r="O6" s="235"/>
      <c r="P6" s="234"/>
      <c r="Q6" s="234"/>
      <c r="R6" s="236"/>
      <c r="S6" s="234"/>
      <c r="T6" s="234"/>
      <c r="U6" s="234"/>
      <c r="V6" s="234"/>
      <c r="W6" s="237"/>
      <c r="X6" s="237"/>
      <c r="Y6" s="508" t="s">
        <v>716</v>
      </c>
    </row>
    <row r="7" spans="1:29" s="143" customFormat="1" ht="13.5" thickBot="1" x14ac:dyDescent="0.25">
      <c r="A7" s="509"/>
      <c r="B7" s="239"/>
      <c r="C7" s="240">
        <v>6</v>
      </c>
      <c r="D7" s="241">
        <v>7</v>
      </c>
      <c r="E7" s="241">
        <v>8</v>
      </c>
      <c r="F7" s="242">
        <v>9</v>
      </c>
      <c r="G7" s="240">
        <v>6</v>
      </c>
      <c r="H7" s="241">
        <v>7</v>
      </c>
      <c r="I7" s="241">
        <v>8</v>
      </c>
      <c r="J7" s="242">
        <v>9</v>
      </c>
      <c r="K7" s="240">
        <v>6</v>
      </c>
      <c r="L7" s="241">
        <v>7</v>
      </c>
      <c r="M7" s="241">
        <v>8</v>
      </c>
      <c r="N7" s="242">
        <v>9</v>
      </c>
      <c r="O7" s="240">
        <v>6</v>
      </c>
      <c r="P7" s="241">
        <v>7</v>
      </c>
      <c r="Q7" s="241">
        <v>8</v>
      </c>
      <c r="R7" s="242">
        <v>9</v>
      </c>
      <c r="S7" s="240">
        <v>6</v>
      </c>
      <c r="T7" s="241">
        <v>7</v>
      </c>
      <c r="U7" s="241">
        <v>8</v>
      </c>
      <c r="V7" s="242">
        <v>9</v>
      </c>
      <c r="W7" s="243" t="s">
        <v>155</v>
      </c>
      <c r="X7" s="244" t="s">
        <v>222</v>
      </c>
      <c r="Y7" s="244" t="s">
        <v>709</v>
      </c>
    </row>
    <row r="8" spans="1:29" ht="13.5" thickBot="1" x14ac:dyDescent="0.25">
      <c r="A8" s="510" t="s">
        <v>717</v>
      </c>
      <c r="B8" s="246" t="s">
        <v>221</v>
      </c>
      <c r="C8" s="247"/>
      <c r="D8" s="248"/>
      <c r="E8" s="248"/>
      <c r="F8" s="249"/>
      <c r="G8" s="247"/>
      <c r="H8" s="248"/>
      <c r="I8" s="248"/>
      <c r="J8" s="249"/>
      <c r="K8" s="247"/>
      <c r="L8" s="248"/>
      <c r="M8" s="248"/>
      <c r="N8" s="249"/>
      <c r="O8" s="247"/>
      <c r="P8" s="248"/>
      <c r="Q8" s="248"/>
      <c r="R8" s="249"/>
      <c r="S8" s="619"/>
      <c r="T8" s="620"/>
      <c r="U8" s="620"/>
      <c r="V8" s="621"/>
      <c r="W8" s="245"/>
      <c r="X8" s="250"/>
      <c r="Y8" s="511"/>
    </row>
    <row r="9" spans="1:29" ht="14.25" thickTop="1" thickBot="1" x14ac:dyDescent="0.25">
      <c r="A9" s="512">
        <v>1</v>
      </c>
      <c r="B9" s="513" t="s">
        <v>166</v>
      </c>
      <c r="C9" s="514">
        <v>0</v>
      </c>
      <c r="D9" s="515">
        <v>0</v>
      </c>
      <c r="E9" s="515">
        <v>3</v>
      </c>
      <c r="F9" s="627">
        <v>0</v>
      </c>
      <c r="G9" s="514">
        <v>0</v>
      </c>
      <c r="H9" s="515">
        <v>0</v>
      </c>
      <c r="I9" s="515">
        <v>0</v>
      </c>
      <c r="J9" s="627">
        <v>0</v>
      </c>
      <c r="K9" s="514">
        <v>1</v>
      </c>
      <c r="L9" s="515">
        <v>0</v>
      </c>
      <c r="M9" s="515">
        <v>3</v>
      </c>
      <c r="N9" s="627">
        <v>3</v>
      </c>
      <c r="O9" s="514">
        <v>3</v>
      </c>
      <c r="P9" s="515">
        <v>3</v>
      </c>
      <c r="Q9" s="515">
        <v>3</v>
      </c>
      <c r="R9" s="627">
        <v>3</v>
      </c>
      <c r="S9" s="514">
        <v>0</v>
      </c>
      <c r="T9" s="724">
        <v>5</v>
      </c>
      <c r="U9" s="515">
        <v>0</v>
      </c>
      <c r="V9" s="627">
        <v>0</v>
      </c>
      <c r="W9" s="624">
        <f t="shared" ref="W9:W34" si="0">SUM(C9:V9)+COUNTIF(C9:V9,5)/100+COUNTIF(C9:V9,3)/10000</f>
        <v>27.0107</v>
      </c>
      <c r="X9" s="516" t="str">
        <f t="shared" ref="X9:X34" si="1">IF(COUNTA(C9:V9)=0,"",IF(RANK(W9,W$9:W$34)&lt;5,"edasi "&amp;RANK(W9,W$9:W$34),IF(RANK(W9,W$9:W$34)&lt;13,"vahevooru "&amp;RANK(W9,W$9:W$34)-4,RANK(W9,W$9:W$34))))</f>
        <v>edasi 1</v>
      </c>
      <c r="Y9" s="154"/>
    </row>
    <row r="10" spans="1:29" ht="14.25" thickTop="1" thickBot="1" x14ac:dyDescent="0.25">
      <c r="A10" s="512">
        <v>13</v>
      </c>
      <c r="B10" s="632" t="s">
        <v>64</v>
      </c>
      <c r="C10" s="514">
        <v>3</v>
      </c>
      <c r="D10" s="515">
        <v>3</v>
      </c>
      <c r="E10" s="515">
        <v>0</v>
      </c>
      <c r="F10" s="627">
        <v>3</v>
      </c>
      <c r="G10" s="514">
        <v>0</v>
      </c>
      <c r="H10" s="515">
        <v>0</v>
      </c>
      <c r="I10" s="515">
        <v>3</v>
      </c>
      <c r="J10" s="627">
        <v>3</v>
      </c>
      <c r="K10" s="514">
        <v>1</v>
      </c>
      <c r="L10" s="515">
        <v>0</v>
      </c>
      <c r="M10" s="515">
        <v>1</v>
      </c>
      <c r="N10" s="627">
        <v>0</v>
      </c>
      <c r="O10" s="514">
        <v>0</v>
      </c>
      <c r="P10" s="515">
        <v>3</v>
      </c>
      <c r="Q10" s="515">
        <v>3</v>
      </c>
      <c r="R10" s="627">
        <v>3</v>
      </c>
      <c r="S10" s="514">
        <v>0</v>
      </c>
      <c r="T10" s="515">
        <v>0</v>
      </c>
      <c r="U10" s="515">
        <v>0</v>
      </c>
      <c r="V10" s="627">
        <v>0</v>
      </c>
      <c r="W10" s="624">
        <f t="shared" si="0"/>
        <v>26.000800000000002</v>
      </c>
      <c r="X10" s="516" t="str">
        <f t="shared" si="1"/>
        <v>edasi 2</v>
      </c>
    </row>
    <row r="11" spans="1:29" ht="14.25" thickTop="1" thickBot="1" x14ac:dyDescent="0.25">
      <c r="A11" s="512">
        <v>15</v>
      </c>
      <c r="B11" s="517" t="s">
        <v>34</v>
      </c>
      <c r="C11" s="514">
        <v>3</v>
      </c>
      <c r="D11" s="724">
        <v>5</v>
      </c>
      <c r="E11" s="515">
        <v>0</v>
      </c>
      <c r="F11" s="627">
        <v>0</v>
      </c>
      <c r="G11" s="514">
        <v>0</v>
      </c>
      <c r="H11" s="515">
        <v>3</v>
      </c>
      <c r="I11" s="515">
        <v>0</v>
      </c>
      <c r="J11" s="627">
        <v>0</v>
      </c>
      <c r="K11" s="514">
        <v>1</v>
      </c>
      <c r="L11" s="515">
        <v>1</v>
      </c>
      <c r="M11" s="515">
        <v>0</v>
      </c>
      <c r="N11" s="627">
        <v>0</v>
      </c>
      <c r="O11" s="514">
        <v>0</v>
      </c>
      <c r="P11" s="515">
        <v>0</v>
      </c>
      <c r="Q11" s="515">
        <v>0</v>
      </c>
      <c r="R11" s="627">
        <v>0</v>
      </c>
      <c r="S11" s="514">
        <v>0</v>
      </c>
      <c r="T11" s="515">
        <v>0</v>
      </c>
      <c r="U11" s="724">
        <v>5</v>
      </c>
      <c r="V11" s="724">
        <v>5</v>
      </c>
      <c r="W11" s="624">
        <f t="shared" si="0"/>
        <v>23.030200000000001</v>
      </c>
      <c r="X11" s="516" t="str">
        <f t="shared" si="1"/>
        <v>edasi 3</v>
      </c>
      <c r="Y11" s="154"/>
    </row>
    <row r="12" spans="1:29" ht="14.25" thickTop="1" thickBot="1" x14ac:dyDescent="0.25">
      <c r="A12" s="512">
        <v>8</v>
      </c>
      <c r="B12" s="517" t="s">
        <v>177</v>
      </c>
      <c r="C12" s="514">
        <v>3</v>
      </c>
      <c r="D12" s="515">
        <v>0</v>
      </c>
      <c r="E12" s="515">
        <v>3</v>
      </c>
      <c r="F12" s="627">
        <v>0</v>
      </c>
      <c r="G12" s="514">
        <v>3</v>
      </c>
      <c r="H12" s="515">
        <v>3</v>
      </c>
      <c r="I12" s="515">
        <v>3</v>
      </c>
      <c r="J12" s="627">
        <v>0</v>
      </c>
      <c r="K12" s="514">
        <v>0</v>
      </c>
      <c r="L12" s="515">
        <v>3</v>
      </c>
      <c r="M12" s="515">
        <v>0</v>
      </c>
      <c r="N12" s="627">
        <v>0</v>
      </c>
      <c r="O12" s="514">
        <v>0</v>
      </c>
      <c r="P12" s="515">
        <v>0</v>
      </c>
      <c r="Q12" s="515">
        <v>0</v>
      </c>
      <c r="R12" s="627">
        <v>0</v>
      </c>
      <c r="S12" s="514">
        <v>0</v>
      </c>
      <c r="T12" s="515">
        <v>0</v>
      </c>
      <c r="U12" s="515">
        <v>0</v>
      </c>
      <c r="V12" s="724">
        <v>5</v>
      </c>
      <c r="W12" s="624">
        <f t="shared" si="0"/>
        <v>23.0106</v>
      </c>
      <c r="X12" s="516" t="str">
        <f t="shared" si="1"/>
        <v>edasi 4</v>
      </c>
    </row>
    <row r="13" spans="1:29" ht="14.25" thickTop="1" thickBot="1" x14ac:dyDescent="0.25">
      <c r="A13" s="518">
        <v>25</v>
      </c>
      <c r="B13" s="519" t="s">
        <v>38</v>
      </c>
      <c r="C13" s="520">
        <v>0</v>
      </c>
      <c r="D13" s="521">
        <v>0</v>
      </c>
      <c r="E13" s="521">
        <v>0</v>
      </c>
      <c r="F13" s="628">
        <v>0</v>
      </c>
      <c r="G13" s="520">
        <v>3</v>
      </c>
      <c r="H13" s="521">
        <v>0</v>
      </c>
      <c r="I13" s="521">
        <v>0</v>
      </c>
      <c r="J13" s="628">
        <v>3</v>
      </c>
      <c r="K13" s="520">
        <v>3</v>
      </c>
      <c r="L13" s="521">
        <v>0</v>
      </c>
      <c r="M13" s="521">
        <v>3</v>
      </c>
      <c r="N13" s="628">
        <v>0</v>
      </c>
      <c r="O13" s="520">
        <v>0</v>
      </c>
      <c r="P13" s="521">
        <v>0</v>
      </c>
      <c r="Q13" s="521">
        <v>0</v>
      </c>
      <c r="R13" s="628">
        <v>0</v>
      </c>
      <c r="S13" s="725">
        <v>5</v>
      </c>
      <c r="T13" s="521">
        <v>0</v>
      </c>
      <c r="U13" s="521">
        <v>0</v>
      </c>
      <c r="V13" s="725">
        <v>5</v>
      </c>
      <c r="W13" s="625">
        <f t="shared" si="0"/>
        <v>22.020399999999999</v>
      </c>
      <c r="X13" s="522" t="str">
        <f t="shared" si="1"/>
        <v>vahevooru 1</v>
      </c>
    </row>
    <row r="14" spans="1:29" ht="14.25" thickTop="1" thickBot="1" x14ac:dyDescent="0.25">
      <c r="A14" s="518">
        <v>2</v>
      </c>
      <c r="B14" s="525" t="s">
        <v>60</v>
      </c>
      <c r="C14" s="520">
        <v>3</v>
      </c>
      <c r="D14" s="725">
        <v>5</v>
      </c>
      <c r="E14" s="725">
        <v>5</v>
      </c>
      <c r="F14" s="628">
        <v>0</v>
      </c>
      <c r="G14" s="520">
        <v>0</v>
      </c>
      <c r="H14" s="521">
        <v>0</v>
      </c>
      <c r="I14" s="521">
        <v>3</v>
      </c>
      <c r="J14" s="628">
        <v>0</v>
      </c>
      <c r="K14" s="520">
        <v>0</v>
      </c>
      <c r="L14" s="521">
        <v>0</v>
      </c>
      <c r="M14" s="521">
        <v>0</v>
      </c>
      <c r="N14" s="628">
        <v>3</v>
      </c>
      <c r="O14" s="520">
        <v>0</v>
      </c>
      <c r="P14" s="521">
        <v>0</v>
      </c>
      <c r="Q14" s="521">
        <v>0</v>
      </c>
      <c r="R14" s="628">
        <v>0</v>
      </c>
      <c r="S14" s="520">
        <v>0</v>
      </c>
      <c r="T14" s="521">
        <v>0</v>
      </c>
      <c r="U14" s="521">
        <v>0</v>
      </c>
      <c r="V14" s="628">
        <v>0</v>
      </c>
      <c r="W14" s="625">
        <f t="shared" si="0"/>
        <v>19.020299999999999</v>
      </c>
      <c r="X14" s="522" t="str">
        <f t="shared" si="1"/>
        <v>vahevooru 2</v>
      </c>
    </row>
    <row r="15" spans="1:29" ht="14.25" thickTop="1" thickBot="1" x14ac:dyDescent="0.25">
      <c r="A15" s="518">
        <v>21</v>
      </c>
      <c r="B15" s="525" t="s">
        <v>45</v>
      </c>
      <c r="C15" s="520">
        <v>3</v>
      </c>
      <c r="D15" s="725">
        <v>5</v>
      </c>
      <c r="E15" s="521">
        <v>0</v>
      </c>
      <c r="F15" s="628">
        <v>0</v>
      </c>
      <c r="G15" s="520">
        <v>0</v>
      </c>
      <c r="H15" s="521">
        <v>0</v>
      </c>
      <c r="I15" s="521">
        <v>3</v>
      </c>
      <c r="J15" s="628">
        <v>0</v>
      </c>
      <c r="K15" s="520">
        <v>0</v>
      </c>
      <c r="L15" s="521">
        <v>1</v>
      </c>
      <c r="M15" s="521">
        <v>0</v>
      </c>
      <c r="N15" s="628">
        <v>0</v>
      </c>
      <c r="O15" s="520">
        <v>3</v>
      </c>
      <c r="P15" s="521">
        <v>3</v>
      </c>
      <c r="Q15" s="521">
        <v>0</v>
      </c>
      <c r="R15" s="628">
        <v>0</v>
      </c>
      <c r="S15" s="520">
        <v>0</v>
      </c>
      <c r="T15" s="521">
        <v>0</v>
      </c>
      <c r="U15" s="521">
        <v>0</v>
      </c>
      <c r="V15" s="628">
        <v>0</v>
      </c>
      <c r="W15" s="625">
        <f t="shared" si="0"/>
        <v>18.010400000000001</v>
      </c>
      <c r="X15" s="522" t="str">
        <f t="shared" si="1"/>
        <v>vahevooru 3</v>
      </c>
    </row>
    <row r="16" spans="1:29" ht="14.25" thickTop="1" thickBot="1" x14ac:dyDescent="0.25">
      <c r="A16" s="518">
        <v>3</v>
      </c>
      <c r="B16" s="525" t="s">
        <v>163</v>
      </c>
      <c r="C16" s="520">
        <v>3</v>
      </c>
      <c r="D16" s="521">
        <v>0</v>
      </c>
      <c r="E16" s="521">
        <v>0</v>
      </c>
      <c r="F16" s="628">
        <v>0</v>
      </c>
      <c r="G16" s="520">
        <v>3</v>
      </c>
      <c r="H16" s="521">
        <v>0</v>
      </c>
      <c r="I16" s="521">
        <v>0</v>
      </c>
      <c r="J16" s="628">
        <v>0</v>
      </c>
      <c r="K16" s="520">
        <v>0</v>
      </c>
      <c r="L16" s="521">
        <v>3</v>
      </c>
      <c r="M16" s="521">
        <v>1</v>
      </c>
      <c r="N16" s="628">
        <v>0</v>
      </c>
      <c r="O16" s="520">
        <v>0</v>
      </c>
      <c r="P16" s="521">
        <v>0</v>
      </c>
      <c r="Q16" s="521">
        <v>0</v>
      </c>
      <c r="R16" s="628">
        <v>3</v>
      </c>
      <c r="S16" s="520">
        <v>0</v>
      </c>
      <c r="T16" s="521">
        <v>0</v>
      </c>
      <c r="U16" s="521">
        <v>0</v>
      </c>
      <c r="V16" s="725">
        <v>5</v>
      </c>
      <c r="W16" s="625">
        <f t="shared" si="0"/>
        <v>18.010400000000001</v>
      </c>
      <c r="X16" s="522" t="str">
        <f t="shared" si="1"/>
        <v>vahevooru 3</v>
      </c>
      <c r="Y16" s="154"/>
      <c r="Z16" s="153"/>
      <c r="AA16" s="154"/>
      <c r="AB16" s="154"/>
      <c r="AC16" s="526"/>
    </row>
    <row r="17" spans="1:29" ht="14.25" thickTop="1" thickBot="1" x14ac:dyDescent="0.25">
      <c r="A17" s="518">
        <v>9</v>
      </c>
      <c r="B17" s="524" t="s">
        <v>41</v>
      </c>
      <c r="C17" s="520">
        <v>0</v>
      </c>
      <c r="D17" s="521">
        <v>0</v>
      </c>
      <c r="E17" s="521">
        <v>0</v>
      </c>
      <c r="F17" s="628">
        <v>3</v>
      </c>
      <c r="G17" s="520">
        <v>0</v>
      </c>
      <c r="H17" s="521">
        <v>0</v>
      </c>
      <c r="I17" s="521">
        <v>0</v>
      </c>
      <c r="J17" s="628">
        <v>0</v>
      </c>
      <c r="K17" s="520">
        <v>0</v>
      </c>
      <c r="L17" s="521">
        <v>3</v>
      </c>
      <c r="M17" s="521">
        <v>1</v>
      </c>
      <c r="N17" s="628">
        <v>1</v>
      </c>
      <c r="O17" s="520">
        <v>0</v>
      </c>
      <c r="P17" s="521">
        <v>0</v>
      </c>
      <c r="Q17" s="521">
        <v>3</v>
      </c>
      <c r="R17" s="628">
        <v>0</v>
      </c>
      <c r="S17" s="520">
        <v>0</v>
      </c>
      <c r="T17" s="521">
        <v>0</v>
      </c>
      <c r="U17" s="521">
        <v>0</v>
      </c>
      <c r="V17" s="725">
        <v>5</v>
      </c>
      <c r="W17" s="625">
        <f t="shared" si="0"/>
        <v>16.010300000000001</v>
      </c>
      <c r="X17" s="522" t="str">
        <f t="shared" si="1"/>
        <v>vahevooru 5</v>
      </c>
      <c r="Y17" s="154"/>
      <c r="Z17" s="154"/>
      <c r="AA17" s="154"/>
      <c r="AB17" s="154"/>
      <c r="AC17" s="526"/>
    </row>
    <row r="18" spans="1:29" ht="14.25" thickTop="1" thickBot="1" x14ac:dyDescent="0.25">
      <c r="A18" s="518">
        <v>26</v>
      </c>
      <c r="B18" s="527" t="s">
        <v>35</v>
      </c>
      <c r="C18" s="520">
        <v>0</v>
      </c>
      <c r="D18" s="521">
        <v>3</v>
      </c>
      <c r="E18" s="521">
        <v>3</v>
      </c>
      <c r="F18" s="628">
        <v>0</v>
      </c>
      <c r="G18" s="520">
        <v>0</v>
      </c>
      <c r="H18" s="521">
        <v>0</v>
      </c>
      <c r="I18" s="521">
        <v>0</v>
      </c>
      <c r="J18" s="725">
        <v>5</v>
      </c>
      <c r="K18" s="520">
        <v>1</v>
      </c>
      <c r="L18" s="521">
        <v>0</v>
      </c>
      <c r="M18" s="521">
        <v>0</v>
      </c>
      <c r="N18" s="628">
        <v>0</v>
      </c>
      <c r="O18" s="520">
        <v>1</v>
      </c>
      <c r="P18" s="521">
        <v>3</v>
      </c>
      <c r="Q18" s="521">
        <v>0</v>
      </c>
      <c r="R18" s="628">
        <v>0</v>
      </c>
      <c r="S18" s="520">
        <v>0</v>
      </c>
      <c r="T18" s="521">
        <v>0</v>
      </c>
      <c r="U18" s="521">
        <v>0</v>
      </c>
      <c r="V18" s="628">
        <v>0</v>
      </c>
      <c r="W18" s="625">
        <f t="shared" si="0"/>
        <v>16.010300000000001</v>
      </c>
      <c r="X18" s="522" t="str">
        <f t="shared" si="1"/>
        <v>vahevooru 5</v>
      </c>
      <c r="Y18" s="154"/>
      <c r="Z18" s="154"/>
      <c r="AA18" s="154"/>
      <c r="AB18" s="154"/>
      <c r="AC18" s="526"/>
    </row>
    <row r="19" spans="1:29" ht="14.25" thickTop="1" thickBot="1" x14ac:dyDescent="0.25">
      <c r="A19" s="518">
        <v>23</v>
      </c>
      <c r="B19" s="528" t="s">
        <v>31</v>
      </c>
      <c r="C19" s="725">
        <v>5</v>
      </c>
      <c r="D19" s="521">
        <v>0</v>
      </c>
      <c r="E19" s="521">
        <v>3</v>
      </c>
      <c r="F19" s="628">
        <v>3</v>
      </c>
      <c r="G19" s="520">
        <v>0</v>
      </c>
      <c r="H19" s="521">
        <v>1</v>
      </c>
      <c r="I19" s="521">
        <v>0</v>
      </c>
      <c r="J19" s="628">
        <v>0</v>
      </c>
      <c r="K19" s="520">
        <v>1</v>
      </c>
      <c r="L19" s="521">
        <v>3</v>
      </c>
      <c r="M19" s="521">
        <v>0</v>
      </c>
      <c r="N19" s="628">
        <v>0</v>
      </c>
      <c r="O19" s="520">
        <v>0</v>
      </c>
      <c r="P19" s="521">
        <v>0</v>
      </c>
      <c r="Q19" s="521">
        <v>0</v>
      </c>
      <c r="R19" s="628">
        <v>0</v>
      </c>
      <c r="S19" s="520">
        <v>0</v>
      </c>
      <c r="T19" s="521">
        <v>0</v>
      </c>
      <c r="U19" s="521">
        <v>0</v>
      </c>
      <c r="V19" s="628">
        <v>0</v>
      </c>
      <c r="W19" s="625">
        <f t="shared" si="0"/>
        <v>16.010300000000001</v>
      </c>
      <c r="X19" s="522" t="str">
        <f t="shared" si="1"/>
        <v>vahevooru 5</v>
      </c>
      <c r="AC19" s="526"/>
    </row>
    <row r="20" spans="1:29" ht="13.5" thickTop="1" x14ac:dyDescent="0.2">
      <c r="A20" s="518">
        <v>5</v>
      </c>
      <c r="B20" s="523" t="s">
        <v>80</v>
      </c>
      <c r="C20" s="520">
        <v>3</v>
      </c>
      <c r="D20" s="521">
        <v>3</v>
      </c>
      <c r="E20" s="521">
        <v>0</v>
      </c>
      <c r="F20" s="628">
        <v>0</v>
      </c>
      <c r="G20" s="520">
        <v>3</v>
      </c>
      <c r="H20" s="521">
        <v>0</v>
      </c>
      <c r="I20" s="521">
        <v>0</v>
      </c>
      <c r="J20" s="628">
        <v>0</v>
      </c>
      <c r="K20" s="520">
        <v>0</v>
      </c>
      <c r="L20" s="521">
        <v>3</v>
      </c>
      <c r="M20" s="521">
        <v>0</v>
      </c>
      <c r="N20" s="628">
        <v>0</v>
      </c>
      <c r="O20" s="520">
        <v>3</v>
      </c>
      <c r="P20" s="521">
        <v>0</v>
      </c>
      <c r="Q20" s="521">
        <v>0</v>
      </c>
      <c r="R20" s="628">
        <v>0</v>
      </c>
      <c r="S20" s="520">
        <v>0</v>
      </c>
      <c r="T20" s="521">
        <v>0</v>
      </c>
      <c r="U20" s="521">
        <v>0</v>
      </c>
      <c r="V20" s="628">
        <v>0</v>
      </c>
      <c r="W20" s="625">
        <f t="shared" si="0"/>
        <v>15.000500000000001</v>
      </c>
      <c r="X20" s="522" t="str">
        <f t="shared" si="1"/>
        <v>vahevooru 8</v>
      </c>
      <c r="Y20" s="154"/>
      <c r="AC20" s="526"/>
    </row>
    <row r="21" spans="1:29" x14ac:dyDescent="0.2">
      <c r="A21" s="529">
        <v>7</v>
      </c>
      <c r="B21" s="535" t="s">
        <v>176</v>
      </c>
      <c r="C21" s="530">
        <v>1</v>
      </c>
      <c r="D21" s="531">
        <v>0</v>
      </c>
      <c r="E21" s="531">
        <v>3</v>
      </c>
      <c r="F21" s="629">
        <v>0</v>
      </c>
      <c r="G21" s="530">
        <v>0</v>
      </c>
      <c r="H21" s="531">
        <v>0</v>
      </c>
      <c r="I21" s="531">
        <v>3</v>
      </c>
      <c r="J21" s="629">
        <v>0</v>
      </c>
      <c r="K21" s="530">
        <v>0</v>
      </c>
      <c r="L21" s="531">
        <v>1</v>
      </c>
      <c r="M21" s="531">
        <v>0</v>
      </c>
      <c r="N21" s="629">
        <v>3</v>
      </c>
      <c r="O21" s="530">
        <v>3</v>
      </c>
      <c r="P21" s="531">
        <v>0</v>
      </c>
      <c r="Q21" s="531">
        <v>0</v>
      </c>
      <c r="R21" s="629">
        <v>0</v>
      </c>
      <c r="S21" s="530">
        <v>0</v>
      </c>
      <c r="T21" s="531">
        <v>0</v>
      </c>
      <c r="U21" s="531">
        <v>0</v>
      </c>
      <c r="V21" s="629">
        <v>0</v>
      </c>
      <c r="W21" s="626">
        <f t="shared" si="0"/>
        <v>14.000400000000001</v>
      </c>
      <c r="X21" s="533">
        <f t="shared" si="1"/>
        <v>13</v>
      </c>
      <c r="AC21" s="526"/>
    </row>
    <row r="22" spans="1:29" x14ac:dyDescent="0.2">
      <c r="A22" s="529">
        <v>12</v>
      </c>
      <c r="B22" s="534" t="s">
        <v>57</v>
      </c>
      <c r="C22" s="530">
        <v>3</v>
      </c>
      <c r="D22" s="531">
        <v>0</v>
      </c>
      <c r="E22" s="531">
        <v>3</v>
      </c>
      <c r="F22" s="629">
        <v>0</v>
      </c>
      <c r="G22" s="530">
        <v>0</v>
      </c>
      <c r="H22" s="531">
        <v>3</v>
      </c>
      <c r="I22" s="531">
        <v>0</v>
      </c>
      <c r="J22" s="629">
        <v>0</v>
      </c>
      <c r="K22" s="530">
        <v>0</v>
      </c>
      <c r="L22" s="531">
        <v>0</v>
      </c>
      <c r="M22" s="531">
        <v>0</v>
      </c>
      <c r="N22" s="629">
        <v>3</v>
      </c>
      <c r="O22" s="530">
        <v>0</v>
      </c>
      <c r="P22" s="531">
        <v>0</v>
      </c>
      <c r="Q22" s="531">
        <v>0</v>
      </c>
      <c r="R22" s="629">
        <v>0</v>
      </c>
      <c r="S22" s="530">
        <v>0</v>
      </c>
      <c r="T22" s="531">
        <v>0</v>
      </c>
      <c r="U22" s="531">
        <v>0</v>
      </c>
      <c r="V22" s="629">
        <v>0</v>
      </c>
      <c r="W22" s="626">
        <f t="shared" si="0"/>
        <v>12.000400000000001</v>
      </c>
      <c r="X22" s="533">
        <f t="shared" si="1"/>
        <v>14</v>
      </c>
      <c r="AC22" s="526"/>
    </row>
    <row r="23" spans="1:29" x14ac:dyDescent="0.2">
      <c r="A23" s="529">
        <v>22</v>
      </c>
      <c r="B23" s="535" t="s">
        <v>67</v>
      </c>
      <c r="C23" s="530">
        <v>0</v>
      </c>
      <c r="D23" s="531">
        <v>3</v>
      </c>
      <c r="E23" s="531">
        <v>0</v>
      </c>
      <c r="F23" s="629">
        <v>0</v>
      </c>
      <c r="G23" s="530">
        <v>0</v>
      </c>
      <c r="H23" s="531">
        <v>3</v>
      </c>
      <c r="I23" s="531">
        <v>0</v>
      </c>
      <c r="J23" s="629">
        <v>0</v>
      </c>
      <c r="K23" s="530">
        <v>1</v>
      </c>
      <c r="L23" s="531">
        <v>3</v>
      </c>
      <c r="M23" s="531">
        <v>1</v>
      </c>
      <c r="N23" s="629">
        <v>0</v>
      </c>
      <c r="O23" s="530">
        <v>0</v>
      </c>
      <c r="P23" s="531">
        <v>1</v>
      </c>
      <c r="Q23" s="531">
        <v>0</v>
      </c>
      <c r="R23" s="629">
        <v>0</v>
      </c>
      <c r="S23" s="530">
        <v>0</v>
      </c>
      <c r="T23" s="531">
        <v>0</v>
      </c>
      <c r="U23" s="531">
        <v>0</v>
      </c>
      <c r="V23" s="629">
        <v>0</v>
      </c>
      <c r="W23" s="626">
        <f t="shared" si="0"/>
        <v>12.000299999999999</v>
      </c>
      <c r="X23" s="533">
        <f t="shared" si="1"/>
        <v>15</v>
      </c>
      <c r="Y23" s="154"/>
      <c r="Z23" s="154"/>
      <c r="AA23" s="154"/>
      <c r="AB23" s="154"/>
      <c r="AC23" s="526"/>
    </row>
    <row r="24" spans="1:29" ht="13.5" thickBot="1" x14ac:dyDescent="0.25">
      <c r="A24" s="529">
        <v>24</v>
      </c>
      <c r="B24" s="536" t="s">
        <v>182</v>
      </c>
      <c r="C24" s="530">
        <v>0</v>
      </c>
      <c r="D24" s="531">
        <v>1</v>
      </c>
      <c r="E24" s="531">
        <v>3</v>
      </c>
      <c r="F24" s="629">
        <v>0</v>
      </c>
      <c r="G24" s="530">
        <v>0</v>
      </c>
      <c r="H24" s="531">
        <v>0</v>
      </c>
      <c r="I24" s="531">
        <v>0</v>
      </c>
      <c r="J24" s="629">
        <v>0</v>
      </c>
      <c r="K24" s="530">
        <v>0</v>
      </c>
      <c r="L24" s="531">
        <v>0</v>
      </c>
      <c r="M24" s="531">
        <v>0</v>
      </c>
      <c r="N24" s="629">
        <v>0</v>
      </c>
      <c r="O24" s="530">
        <v>0</v>
      </c>
      <c r="P24" s="531">
        <v>3</v>
      </c>
      <c r="Q24" s="531">
        <v>3</v>
      </c>
      <c r="R24" s="629">
        <v>0</v>
      </c>
      <c r="S24" s="530">
        <v>0</v>
      </c>
      <c r="T24" s="531">
        <v>0</v>
      </c>
      <c r="U24" s="531">
        <v>0</v>
      </c>
      <c r="V24" s="629">
        <v>0</v>
      </c>
      <c r="W24" s="626">
        <f t="shared" si="0"/>
        <v>10.000299999999999</v>
      </c>
      <c r="X24" s="537">
        <f t="shared" si="1"/>
        <v>16</v>
      </c>
      <c r="Y24" s="154"/>
      <c r="Z24" s="154"/>
      <c r="AA24" s="154"/>
      <c r="AB24" s="154"/>
      <c r="AC24" s="526"/>
    </row>
    <row r="25" spans="1:29" ht="14.25" thickTop="1" thickBot="1" x14ac:dyDescent="0.25">
      <c r="A25" s="529">
        <v>17</v>
      </c>
      <c r="B25" s="534" t="s">
        <v>51</v>
      </c>
      <c r="C25" s="530">
        <v>0</v>
      </c>
      <c r="D25" s="531">
        <v>0</v>
      </c>
      <c r="E25" s="531">
        <v>0</v>
      </c>
      <c r="F25" s="629">
        <v>0</v>
      </c>
      <c r="G25" s="530">
        <v>0</v>
      </c>
      <c r="H25" s="531">
        <v>0</v>
      </c>
      <c r="I25" s="531">
        <v>1</v>
      </c>
      <c r="J25" s="629">
        <v>0</v>
      </c>
      <c r="K25" s="530">
        <v>1</v>
      </c>
      <c r="L25" s="531">
        <v>0</v>
      </c>
      <c r="M25" s="531">
        <v>0</v>
      </c>
      <c r="N25" s="629">
        <v>1</v>
      </c>
      <c r="O25" s="530">
        <v>0</v>
      </c>
      <c r="P25" s="531">
        <v>0</v>
      </c>
      <c r="Q25" s="531">
        <v>0</v>
      </c>
      <c r="R25" s="629">
        <v>0</v>
      </c>
      <c r="S25" s="726">
        <v>5</v>
      </c>
      <c r="T25" s="531">
        <v>0</v>
      </c>
      <c r="U25" s="531">
        <v>0</v>
      </c>
      <c r="V25" s="629">
        <v>0</v>
      </c>
      <c r="W25" s="626">
        <f t="shared" si="0"/>
        <v>8.01</v>
      </c>
      <c r="X25" s="537">
        <f t="shared" si="1"/>
        <v>17</v>
      </c>
      <c r="Y25" s="154"/>
      <c r="Z25" s="154"/>
      <c r="AA25" s="154"/>
      <c r="AB25" s="154"/>
      <c r="AC25" s="526"/>
    </row>
    <row r="26" spans="1:29" ht="13.5" thickTop="1" x14ac:dyDescent="0.2">
      <c r="A26" s="529">
        <v>11</v>
      </c>
      <c r="B26" s="535" t="s">
        <v>209</v>
      </c>
      <c r="C26" s="530">
        <v>1</v>
      </c>
      <c r="D26" s="531">
        <v>1</v>
      </c>
      <c r="E26" s="531">
        <v>0</v>
      </c>
      <c r="F26" s="629">
        <v>0</v>
      </c>
      <c r="G26" s="530">
        <v>0</v>
      </c>
      <c r="H26" s="531">
        <v>0</v>
      </c>
      <c r="I26" s="531">
        <v>3</v>
      </c>
      <c r="J26" s="629">
        <v>0</v>
      </c>
      <c r="K26" s="530">
        <v>0</v>
      </c>
      <c r="L26" s="531">
        <v>0</v>
      </c>
      <c r="M26" s="531">
        <v>0</v>
      </c>
      <c r="N26" s="629">
        <v>0</v>
      </c>
      <c r="O26" s="530">
        <v>0</v>
      </c>
      <c r="P26" s="531">
        <v>0</v>
      </c>
      <c r="Q26" s="531">
        <v>0</v>
      </c>
      <c r="R26" s="629">
        <v>3</v>
      </c>
      <c r="S26" s="530">
        <v>0</v>
      </c>
      <c r="T26" s="531">
        <v>0</v>
      </c>
      <c r="U26" s="531">
        <v>0</v>
      </c>
      <c r="V26" s="629">
        <v>0</v>
      </c>
      <c r="W26" s="626">
        <f t="shared" si="0"/>
        <v>8.0001999999999995</v>
      </c>
      <c r="X26" s="537">
        <f t="shared" si="1"/>
        <v>18</v>
      </c>
      <c r="Y26" s="154"/>
      <c r="Z26" s="154"/>
      <c r="AA26" s="154"/>
      <c r="AB26" s="154"/>
      <c r="AC26" s="526"/>
    </row>
    <row r="27" spans="1:29" x14ac:dyDescent="0.2">
      <c r="A27" s="529">
        <v>19</v>
      </c>
      <c r="B27" s="534" t="s">
        <v>637</v>
      </c>
      <c r="C27" s="530">
        <v>0</v>
      </c>
      <c r="D27" s="531">
        <v>0</v>
      </c>
      <c r="E27" s="531">
        <v>0</v>
      </c>
      <c r="F27" s="629">
        <v>0</v>
      </c>
      <c r="G27" s="530">
        <v>0</v>
      </c>
      <c r="H27" s="531">
        <v>0</v>
      </c>
      <c r="I27" s="531">
        <v>3</v>
      </c>
      <c r="J27" s="629">
        <v>0</v>
      </c>
      <c r="K27" s="530">
        <v>1</v>
      </c>
      <c r="L27" s="531">
        <v>0</v>
      </c>
      <c r="M27" s="531">
        <v>0</v>
      </c>
      <c r="N27" s="629">
        <v>3</v>
      </c>
      <c r="O27" s="530">
        <v>0</v>
      </c>
      <c r="P27" s="531">
        <v>0</v>
      </c>
      <c r="Q27" s="531">
        <v>0</v>
      </c>
      <c r="R27" s="629">
        <v>0</v>
      </c>
      <c r="S27" s="530">
        <v>0</v>
      </c>
      <c r="T27" s="531">
        <v>0</v>
      </c>
      <c r="U27" s="531">
        <v>0</v>
      </c>
      <c r="V27" s="629">
        <v>0</v>
      </c>
      <c r="W27" s="626">
        <f t="shared" si="0"/>
        <v>7.0002000000000004</v>
      </c>
      <c r="X27" s="537">
        <f t="shared" si="1"/>
        <v>19</v>
      </c>
      <c r="Y27" s="154"/>
      <c r="Z27" s="154"/>
      <c r="AA27" s="154"/>
      <c r="AB27" s="154"/>
      <c r="AC27" s="526"/>
    </row>
    <row r="28" spans="1:29" x14ac:dyDescent="0.2">
      <c r="A28" s="529">
        <v>4</v>
      </c>
      <c r="B28" s="633" t="s">
        <v>325</v>
      </c>
      <c r="C28" s="530">
        <v>3</v>
      </c>
      <c r="D28" s="531">
        <v>0</v>
      </c>
      <c r="E28" s="531">
        <v>0</v>
      </c>
      <c r="F28" s="629">
        <v>0</v>
      </c>
      <c r="G28" s="530">
        <v>0</v>
      </c>
      <c r="H28" s="531">
        <v>0</v>
      </c>
      <c r="I28" s="531">
        <v>3</v>
      </c>
      <c r="J28" s="629">
        <v>0</v>
      </c>
      <c r="K28" s="530">
        <v>0</v>
      </c>
      <c r="L28" s="531">
        <v>0</v>
      </c>
      <c r="M28" s="531">
        <v>0</v>
      </c>
      <c r="N28" s="629">
        <v>0</v>
      </c>
      <c r="O28" s="530">
        <v>0</v>
      </c>
      <c r="P28" s="531">
        <v>0</v>
      </c>
      <c r="Q28" s="531">
        <v>0</v>
      </c>
      <c r="R28" s="629">
        <v>0</v>
      </c>
      <c r="S28" s="530">
        <v>0</v>
      </c>
      <c r="T28" s="531">
        <v>0</v>
      </c>
      <c r="U28" s="531">
        <v>0</v>
      </c>
      <c r="V28" s="629">
        <v>0</v>
      </c>
      <c r="W28" s="626">
        <f t="shared" si="0"/>
        <v>6.0002000000000004</v>
      </c>
      <c r="X28" s="533">
        <f t="shared" si="1"/>
        <v>20</v>
      </c>
      <c r="Y28" s="154"/>
      <c r="Z28" s="154"/>
      <c r="AA28" s="154"/>
      <c r="AB28" s="154"/>
      <c r="AC28" s="526"/>
    </row>
    <row r="29" spans="1:29" x14ac:dyDescent="0.2">
      <c r="A29" s="529">
        <v>14</v>
      </c>
      <c r="B29" s="534" t="s">
        <v>164</v>
      </c>
      <c r="C29" s="530">
        <v>3</v>
      </c>
      <c r="D29" s="531">
        <v>0</v>
      </c>
      <c r="E29" s="531">
        <v>0</v>
      </c>
      <c r="F29" s="629">
        <v>0</v>
      </c>
      <c r="G29" s="530">
        <v>3</v>
      </c>
      <c r="H29" s="531">
        <v>0</v>
      </c>
      <c r="I29" s="531">
        <v>0</v>
      </c>
      <c r="J29" s="629">
        <v>0</v>
      </c>
      <c r="K29" s="530">
        <v>0</v>
      </c>
      <c r="L29" s="531">
        <v>0</v>
      </c>
      <c r="M29" s="531">
        <v>0</v>
      </c>
      <c r="N29" s="629">
        <v>0</v>
      </c>
      <c r="O29" s="530">
        <v>0</v>
      </c>
      <c r="P29" s="531">
        <v>0</v>
      </c>
      <c r="Q29" s="531">
        <v>0</v>
      </c>
      <c r="R29" s="629">
        <v>0</v>
      </c>
      <c r="S29" s="530">
        <v>0</v>
      </c>
      <c r="T29" s="531">
        <v>0</v>
      </c>
      <c r="U29" s="531">
        <v>0</v>
      </c>
      <c r="V29" s="629">
        <v>0</v>
      </c>
      <c r="W29" s="626">
        <f t="shared" si="0"/>
        <v>6.0002000000000004</v>
      </c>
      <c r="X29" s="533">
        <f t="shared" si="1"/>
        <v>20</v>
      </c>
      <c r="Y29" s="154"/>
      <c r="Z29" s="154"/>
      <c r="AA29" s="154"/>
      <c r="AB29" s="154"/>
    </row>
    <row r="30" spans="1:29" x14ac:dyDescent="0.2">
      <c r="A30" s="529">
        <v>20</v>
      </c>
      <c r="B30" s="534" t="s">
        <v>47</v>
      </c>
      <c r="C30" s="530">
        <v>0</v>
      </c>
      <c r="D30" s="531">
        <v>0</v>
      </c>
      <c r="E30" s="531">
        <v>0</v>
      </c>
      <c r="F30" s="629">
        <v>0</v>
      </c>
      <c r="G30" s="530">
        <v>0</v>
      </c>
      <c r="H30" s="531">
        <v>0</v>
      </c>
      <c r="I30" s="531">
        <v>3</v>
      </c>
      <c r="J30" s="629">
        <v>0</v>
      </c>
      <c r="K30" s="530">
        <v>1</v>
      </c>
      <c r="L30" s="531">
        <v>1</v>
      </c>
      <c r="M30" s="531">
        <v>0</v>
      </c>
      <c r="N30" s="629">
        <v>0</v>
      </c>
      <c r="O30" s="530">
        <v>0</v>
      </c>
      <c r="P30" s="531">
        <v>0</v>
      </c>
      <c r="Q30" s="531">
        <v>0</v>
      </c>
      <c r="R30" s="629">
        <v>0</v>
      </c>
      <c r="S30" s="530">
        <v>0</v>
      </c>
      <c r="T30" s="531">
        <v>0</v>
      </c>
      <c r="U30" s="531">
        <v>0</v>
      </c>
      <c r="V30" s="629">
        <v>0</v>
      </c>
      <c r="W30" s="626">
        <f t="shared" si="0"/>
        <v>5.0000999999999998</v>
      </c>
      <c r="X30" s="533">
        <f t="shared" si="1"/>
        <v>22</v>
      </c>
      <c r="Y30" s="154"/>
      <c r="Z30" s="154"/>
      <c r="AA30" s="154"/>
      <c r="AB30" s="154"/>
    </row>
    <row r="31" spans="1:29" x14ac:dyDescent="0.2">
      <c r="A31" s="529">
        <v>16</v>
      </c>
      <c r="B31" s="535" t="s">
        <v>172</v>
      </c>
      <c r="C31" s="530">
        <v>0</v>
      </c>
      <c r="D31" s="531">
        <v>0</v>
      </c>
      <c r="E31" s="531">
        <v>0</v>
      </c>
      <c r="F31" s="629">
        <v>0</v>
      </c>
      <c r="G31" s="530">
        <v>1</v>
      </c>
      <c r="H31" s="531">
        <v>0</v>
      </c>
      <c r="I31" s="531">
        <v>0</v>
      </c>
      <c r="J31" s="629">
        <v>0</v>
      </c>
      <c r="K31" s="530">
        <v>0</v>
      </c>
      <c r="L31" s="531">
        <v>0</v>
      </c>
      <c r="M31" s="531">
        <v>0</v>
      </c>
      <c r="N31" s="629">
        <v>0</v>
      </c>
      <c r="O31" s="530">
        <v>3</v>
      </c>
      <c r="P31" s="531">
        <v>0</v>
      </c>
      <c r="Q31" s="531">
        <v>0</v>
      </c>
      <c r="R31" s="629">
        <v>0</v>
      </c>
      <c r="S31" s="530">
        <v>0</v>
      </c>
      <c r="T31" s="531">
        <v>0</v>
      </c>
      <c r="U31" s="531">
        <v>0</v>
      </c>
      <c r="V31" s="629">
        <v>0</v>
      </c>
      <c r="W31" s="626">
        <f t="shared" si="0"/>
        <v>4.0000999999999998</v>
      </c>
      <c r="X31" s="533">
        <f t="shared" si="1"/>
        <v>23</v>
      </c>
      <c r="Y31" s="154"/>
      <c r="Z31" s="154"/>
      <c r="AA31" s="154"/>
      <c r="AB31" s="154"/>
    </row>
    <row r="32" spans="1:29" x14ac:dyDescent="0.2">
      <c r="A32" s="529">
        <v>10</v>
      </c>
      <c r="B32" s="535" t="s">
        <v>154</v>
      </c>
      <c r="C32" s="530">
        <v>0</v>
      </c>
      <c r="D32" s="531">
        <v>0</v>
      </c>
      <c r="E32" s="531">
        <v>0</v>
      </c>
      <c r="F32" s="629">
        <v>0</v>
      </c>
      <c r="G32" s="530">
        <v>0</v>
      </c>
      <c r="H32" s="531">
        <v>0</v>
      </c>
      <c r="I32" s="531">
        <v>0</v>
      </c>
      <c r="J32" s="629">
        <v>0</v>
      </c>
      <c r="K32" s="530">
        <v>1</v>
      </c>
      <c r="L32" s="531">
        <v>0</v>
      </c>
      <c r="M32" s="531">
        <v>0</v>
      </c>
      <c r="N32" s="629">
        <v>0</v>
      </c>
      <c r="O32" s="530">
        <v>0</v>
      </c>
      <c r="P32" s="531">
        <v>3</v>
      </c>
      <c r="Q32" s="531">
        <v>0</v>
      </c>
      <c r="R32" s="629">
        <v>0</v>
      </c>
      <c r="S32" s="530">
        <v>0</v>
      </c>
      <c r="T32" s="531">
        <v>0</v>
      </c>
      <c r="U32" s="531">
        <v>0</v>
      </c>
      <c r="V32" s="629">
        <v>0</v>
      </c>
      <c r="W32" s="626">
        <f t="shared" si="0"/>
        <v>4.0000999999999998</v>
      </c>
      <c r="X32" s="537">
        <f t="shared" si="1"/>
        <v>23</v>
      </c>
      <c r="Y32" s="154"/>
      <c r="Z32" s="154"/>
      <c r="AA32" s="154"/>
      <c r="AB32" s="154"/>
    </row>
    <row r="33" spans="1:29" x14ac:dyDescent="0.2">
      <c r="A33" s="529">
        <v>6</v>
      </c>
      <c r="B33" s="534" t="s">
        <v>145</v>
      </c>
      <c r="C33" s="530">
        <v>0</v>
      </c>
      <c r="D33" s="531">
        <v>0</v>
      </c>
      <c r="E33" s="531">
        <v>0</v>
      </c>
      <c r="F33" s="629">
        <v>0</v>
      </c>
      <c r="G33" s="530">
        <v>0</v>
      </c>
      <c r="H33" s="531">
        <v>0</v>
      </c>
      <c r="I33" s="531">
        <v>0</v>
      </c>
      <c r="J33" s="629">
        <v>0</v>
      </c>
      <c r="K33" s="530">
        <v>0</v>
      </c>
      <c r="L33" s="531">
        <v>0</v>
      </c>
      <c r="M33" s="531">
        <v>1</v>
      </c>
      <c r="N33" s="629">
        <v>0</v>
      </c>
      <c r="O33" s="530">
        <v>0</v>
      </c>
      <c r="P33" s="531">
        <v>0</v>
      </c>
      <c r="Q33" s="531">
        <v>0</v>
      </c>
      <c r="R33" s="629">
        <v>0</v>
      </c>
      <c r="S33" s="530">
        <v>0</v>
      </c>
      <c r="T33" s="531">
        <v>0</v>
      </c>
      <c r="U33" s="531">
        <v>0</v>
      </c>
      <c r="V33" s="629">
        <v>0</v>
      </c>
      <c r="W33" s="626">
        <f t="shared" si="0"/>
        <v>1</v>
      </c>
      <c r="X33" s="537">
        <f t="shared" si="1"/>
        <v>25</v>
      </c>
      <c r="Y33" s="154"/>
      <c r="Z33" s="154"/>
      <c r="AA33" s="154"/>
      <c r="AB33" s="154"/>
    </row>
    <row r="34" spans="1:29" ht="13.5" thickBot="1" x14ac:dyDescent="0.25">
      <c r="A34" s="538">
        <v>18</v>
      </c>
      <c r="B34" s="539" t="s">
        <v>327</v>
      </c>
      <c r="C34" s="540">
        <v>0</v>
      </c>
      <c r="D34" s="541">
        <v>0</v>
      </c>
      <c r="E34" s="541">
        <v>0</v>
      </c>
      <c r="F34" s="542">
        <v>0</v>
      </c>
      <c r="G34" s="540">
        <v>0</v>
      </c>
      <c r="H34" s="541">
        <v>0</v>
      </c>
      <c r="I34" s="541">
        <v>0</v>
      </c>
      <c r="J34" s="542">
        <v>0</v>
      </c>
      <c r="K34" s="540">
        <v>0</v>
      </c>
      <c r="L34" s="541">
        <v>0</v>
      </c>
      <c r="M34" s="541">
        <v>0</v>
      </c>
      <c r="N34" s="542">
        <v>0</v>
      </c>
      <c r="O34" s="540">
        <v>0</v>
      </c>
      <c r="P34" s="541">
        <v>0</v>
      </c>
      <c r="Q34" s="541">
        <v>0</v>
      </c>
      <c r="R34" s="542">
        <v>0</v>
      </c>
      <c r="S34" s="540">
        <v>0</v>
      </c>
      <c r="T34" s="541">
        <v>0</v>
      </c>
      <c r="U34" s="541">
        <v>0</v>
      </c>
      <c r="V34" s="542">
        <v>0</v>
      </c>
      <c r="W34" s="543">
        <f t="shared" si="0"/>
        <v>0</v>
      </c>
      <c r="X34" s="537">
        <f t="shared" si="1"/>
        <v>26</v>
      </c>
      <c r="Y34" s="154"/>
      <c r="Z34" s="154"/>
      <c r="AA34" s="154"/>
      <c r="AB34" s="154"/>
    </row>
    <row r="35" spans="1:29" ht="13.5" hidden="1" thickBot="1" x14ac:dyDescent="0.25">
      <c r="A35" s="544"/>
      <c r="B35" s="545" t="s">
        <v>718</v>
      </c>
      <c r="C35" s="144"/>
      <c r="D35" s="145"/>
      <c r="E35" s="145"/>
      <c r="F35" s="146"/>
      <c r="G35" s="144"/>
      <c r="H35" s="145"/>
      <c r="I35" s="145"/>
      <c r="J35" s="146"/>
      <c r="K35" s="144"/>
      <c r="L35" s="145"/>
      <c r="M35" s="145"/>
      <c r="N35" s="146"/>
      <c r="O35" s="144"/>
      <c r="P35" s="145"/>
      <c r="Q35" s="145"/>
      <c r="R35" s="146"/>
      <c r="S35" s="144"/>
      <c r="T35" s="145"/>
      <c r="U35" s="145"/>
      <c r="V35" s="146"/>
      <c r="W35" s="250"/>
      <c r="X35" s="250"/>
      <c r="Z35" s="148"/>
      <c r="AA35" s="149" t="s">
        <v>215</v>
      </c>
      <c r="AB35" s="149" t="s">
        <v>216</v>
      </c>
    </row>
    <row r="36" spans="1:29" ht="13.5" hidden="1" thickBot="1" x14ac:dyDescent="0.25">
      <c r="A36" s="546"/>
      <c r="B36" s="547"/>
      <c r="C36" s="548"/>
      <c r="D36" s="549"/>
      <c r="E36" s="550"/>
      <c r="F36" s="551"/>
      <c r="G36" s="548"/>
      <c r="H36" s="549"/>
      <c r="I36" s="550"/>
      <c r="J36" s="551"/>
      <c r="K36" s="548"/>
      <c r="L36" s="549"/>
      <c r="M36" s="550"/>
      <c r="N36" s="551"/>
      <c r="O36" s="548"/>
      <c r="P36" s="549"/>
      <c r="Q36" s="550"/>
      <c r="R36" s="551"/>
      <c r="S36" s="548"/>
      <c r="T36" s="549"/>
      <c r="U36" s="550"/>
      <c r="V36" s="551"/>
      <c r="W36" s="552" t="str">
        <f t="shared" ref="W36:W67" si="2">IF(COUNTA(C36:V36)=0,"",SUM(C36:V36)+COUNTIF(C36:V36,5)/100+COUNTIF(C36:V36,3)/10000)</f>
        <v/>
      </c>
      <c r="X36" s="552"/>
      <c r="AC36" s="526"/>
    </row>
    <row r="37" spans="1:29" ht="13.5" hidden="1" thickBot="1" x14ac:dyDescent="0.25">
      <c r="A37" s="546"/>
      <c r="B37" s="547"/>
      <c r="C37" s="548"/>
      <c r="D37" s="549"/>
      <c r="E37" s="550"/>
      <c r="F37" s="551"/>
      <c r="G37" s="548"/>
      <c r="H37" s="549"/>
      <c r="I37" s="550"/>
      <c r="J37" s="551"/>
      <c r="K37" s="548"/>
      <c r="L37" s="549"/>
      <c r="M37" s="550"/>
      <c r="N37" s="551"/>
      <c r="O37" s="548"/>
      <c r="P37" s="549"/>
      <c r="Q37" s="550"/>
      <c r="R37" s="551"/>
      <c r="S37" s="548"/>
      <c r="T37" s="549"/>
      <c r="U37" s="550"/>
      <c r="V37" s="551"/>
      <c r="W37" s="552" t="str">
        <f t="shared" si="2"/>
        <v/>
      </c>
      <c r="X37" s="552"/>
      <c r="AC37" s="526"/>
    </row>
    <row r="38" spans="1:29" ht="13.5" hidden="1" thickBot="1" x14ac:dyDescent="0.25">
      <c r="A38" s="546"/>
      <c r="B38" s="553"/>
      <c r="C38" s="548"/>
      <c r="D38" s="549"/>
      <c r="E38" s="550"/>
      <c r="F38" s="551"/>
      <c r="G38" s="548"/>
      <c r="H38" s="549"/>
      <c r="I38" s="550"/>
      <c r="J38" s="551"/>
      <c r="K38" s="548"/>
      <c r="L38" s="549"/>
      <c r="M38" s="550"/>
      <c r="N38" s="551"/>
      <c r="O38" s="548"/>
      <c r="P38" s="549"/>
      <c r="Q38" s="550"/>
      <c r="R38" s="551"/>
      <c r="S38" s="548"/>
      <c r="T38" s="549"/>
      <c r="U38" s="550"/>
      <c r="V38" s="551"/>
      <c r="W38" s="552" t="str">
        <f t="shared" si="2"/>
        <v/>
      </c>
      <c r="X38" s="552"/>
      <c r="AC38" s="526"/>
    </row>
    <row r="39" spans="1:29" ht="13.5" hidden="1" thickBot="1" x14ac:dyDescent="0.25">
      <c r="A39" s="546"/>
      <c r="B39" s="547"/>
      <c r="C39" s="548"/>
      <c r="D39" s="549"/>
      <c r="E39" s="550"/>
      <c r="F39" s="551"/>
      <c r="G39" s="548"/>
      <c r="H39" s="549"/>
      <c r="I39" s="550"/>
      <c r="J39" s="551"/>
      <c r="K39" s="548"/>
      <c r="L39" s="549"/>
      <c r="M39" s="550"/>
      <c r="N39" s="551"/>
      <c r="O39" s="548"/>
      <c r="P39" s="549"/>
      <c r="Q39" s="550"/>
      <c r="R39" s="551"/>
      <c r="S39" s="548"/>
      <c r="T39" s="549"/>
      <c r="U39" s="550"/>
      <c r="V39" s="551"/>
      <c r="W39" s="552" t="str">
        <f t="shared" si="2"/>
        <v/>
      </c>
      <c r="X39" s="552"/>
      <c r="AC39" s="526"/>
    </row>
    <row r="40" spans="1:29" ht="13.5" hidden="1" thickBot="1" x14ac:dyDescent="0.25">
      <c r="A40" s="169"/>
      <c r="B40" s="554"/>
      <c r="C40" s="166"/>
      <c r="D40" s="163"/>
      <c r="E40" s="167"/>
      <c r="F40" s="168"/>
      <c r="G40" s="166"/>
      <c r="H40" s="163"/>
      <c r="I40" s="167"/>
      <c r="J40" s="168"/>
      <c r="K40" s="166"/>
      <c r="L40" s="163"/>
      <c r="M40" s="167"/>
      <c r="N40" s="168"/>
      <c r="O40" s="166"/>
      <c r="P40" s="163"/>
      <c r="Q40" s="167"/>
      <c r="R40" s="168"/>
      <c r="S40" s="166"/>
      <c r="T40" s="163"/>
      <c r="U40" s="167"/>
      <c r="V40" s="168"/>
      <c r="W40" s="150" t="str">
        <f t="shared" si="2"/>
        <v/>
      </c>
      <c r="X40" s="150"/>
      <c r="AC40" s="526"/>
    </row>
    <row r="41" spans="1:29" ht="13.5" hidden="1" thickBot="1" x14ac:dyDescent="0.25">
      <c r="A41" s="169"/>
      <c r="B41" s="259"/>
      <c r="C41" s="166"/>
      <c r="D41" s="163"/>
      <c r="E41" s="167"/>
      <c r="F41" s="168"/>
      <c r="G41" s="166"/>
      <c r="H41" s="163"/>
      <c r="I41" s="167"/>
      <c r="J41" s="168"/>
      <c r="K41" s="166"/>
      <c r="L41" s="163"/>
      <c r="M41" s="167"/>
      <c r="N41" s="168"/>
      <c r="O41" s="166"/>
      <c r="P41" s="163"/>
      <c r="Q41" s="167"/>
      <c r="R41" s="168"/>
      <c r="S41" s="166"/>
      <c r="T41" s="163"/>
      <c r="U41" s="167"/>
      <c r="V41" s="168"/>
      <c r="W41" s="150" t="str">
        <f t="shared" si="2"/>
        <v/>
      </c>
      <c r="X41" s="150"/>
      <c r="AC41" s="526"/>
    </row>
    <row r="42" spans="1:29" ht="13.5" hidden="1" thickBot="1" x14ac:dyDescent="0.25">
      <c r="A42" s="555"/>
      <c r="B42" s="199"/>
      <c r="C42" s="166"/>
      <c r="D42" s="163"/>
      <c r="E42" s="167"/>
      <c r="F42" s="168"/>
      <c r="G42" s="166"/>
      <c r="H42" s="163"/>
      <c r="I42" s="167"/>
      <c r="J42" s="168"/>
      <c r="K42" s="166"/>
      <c r="L42" s="163"/>
      <c r="M42" s="167"/>
      <c r="N42" s="168"/>
      <c r="O42" s="166"/>
      <c r="P42" s="163"/>
      <c r="Q42" s="167"/>
      <c r="R42" s="168"/>
      <c r="S42" s="166"/>
      <c r="T42" s="163"/>
      <c r="U42" s="167"/>
      <c r="V42" s="168"/>
      <c r="W42" s="150" t="str">
        <f t="shared" si="2"/>
        <v/>
      </c>
      <c r="X42" s="150"/>
    </row>
    <row r="43" spans="1:29" ht="13.5" hidden="1" thickBot="1" x14ac:dyDescent="0.25">
      <c r="A43" s="555"/>
      <c r="B43" s="199"/>
      <c r="C43" s="166"/>
      <c r="D43" s="163"/>
      <c r="E43" s="167"/>
      <c r="F43" s="168"/>
      <c r="G43" s="166"/>
      <c r="H43" s="163"/>
      <c r="I43" s="167"/>
      <c r="J43" s="168"/>
      <c r="K43" s="166"/>
      <c r="L43" s="163"/>
      <c r="M43" s="167"/>
      <c r="N43" s="168"/>
      <c r="O43" s="166"/>
      <c r="P43" s="163"/>
      <c r="Q43" s="167"/>
      <c r="R43" s="168"/>
      <c r="S43" s="166"/>
      <c r="T43" s="163"/>
      <c r="U43" s="167"/>
      <c r="V43" s="168"/>
      <c r="W43" s="150" t="str">
        <f t="shared" si="2"/>
        <v/>
      </c>
      <c r="X43" s="150"/>
    </row>
    <row r="44" spans="1:29" ht="13.5" hidden="1" thickBot="1" x14ac:dyDescent="0.25">
      <c r="A44" s="546"/>
      <c r="B44" s="547"/>
      <c r="C44" s="548"/>
      <c r="D44" s="549"/>
      <c r="E44" s="550"/>
      <c r="F44" s="551"/>
      <c r="G44" s="548"/>
      <c r="H44" s="549"/>
      <c r="I44" s="550"/>
      <c r="J44" s="551"/>
      <c r="K44" s="548"/>
      <c r="L44" s="549"/>
      <c r="M44" s="550"/>
      <c r="N44" s="551"/>
      <c r="O44" s="548"/>
      <c r="P44" s="549"/>
      <c r="Q44" s="550"/>
      <c r="R44" s="551"/>
      <c r="S44" s="548"/>
      <c r="T44" s="549"/>
      <c r="U44" s="550"/>
      <c r="V44" s="551"/>
      <c r="W44" s="552" t="str">
        <f t="shared" si="2"/>
        <v/>
      </c>
      <c r="X44" s="552"/>
      <c r="AC44" s="526"/>
    </row>
    <row r="45" spans="1:29" ht="13.5" hidden="1" thickBot="1" x14ac:dyDescent="0.25">
      <c r="A45" s="546"/>
      <c r="B45" s="547"/>
      <c r="C45" s="548"/>
      <c r="D45" s="549"/>
      <c r="E45" s="550"/>
      <c r="F45" s="551"/>
      <c r="G45" s="548"/>
      <c r="H45" s="549"/>
      <c r="I45" s="550"/>
      <c r="J45" s="551"/>
      <c r="K45" s="548"/>
      <c r="L45" s="549"/>
      <c r="M45" s="550"/>
      <c r="N45" s="551"/>
      <c r="O45" s="548"/>
      <c r="P45" s="549"/>
      <c r="Q45" s="550"/>
      <c r="R45" s="551"/>
      <c r="S45" s="548"/>
      <c r="T45" s="549"/>
      <c r="U45" s="550"/>
      <c r="V45" s="551"/>
      <c r="W45" s="552" t="str">
        <f t="shared" si="2"/>
        <v/>
      </c>
      <c r="X45" s="552"/>
      <c r="AC45" s="526"/>
    </row>
    <row r="46" spans="1:29" ht="13.5" hidden="1" thickBot="1" x14ac:dyDescent="0.25">
      <c r="A46" s="546"/>
      <c r="B46" s="553"/>
      <c r="C46" s="548"/>
      <c r="D46" s="549"/>
      <c r="E46" s="550"/>
      <c r="F46" s="551"/>
      <c r="G46" s="548"/>
      <c r="H46" s="549"/>
      <c r="I46" s="550"/>
      <c r="J46" s="551"/>
      <c r="K46" s="548"/>
      <c r="L46" s="549"/>
      <c r="M46" s="550"/>
      <c r="N46" s="551"/>
      <c r="O46" s="548"/>
      <c r="P46" s="549"/>
      <c r="Q46" s="550"/>
      <c r="R46" s="551"/>
      <c r="S46" s="548"/>
      <c r="T46" s="549"/>
      <c r="U46" s="550"/>
      <c r="V46" s="551"/>
      <c r="W46" s="552" t="str">
        <f t="shared" si="2"/>
        <v/>
      </c>
      <c r="X46" s="552"/>
      <c r="AC46" s="526"/>
    </row>
    <row r="47" spans="1:29" ht="13.5" hidden="1" thickBot="1" x14ac:dyDescent="0.25">
      <c r="A47" s="546"/>
      <c r="B47" s="547"/>
      <c r="C47" s="548"/>
      <c r="D47" s="549"/>
      <c r="E47" s="550"/>
      <c r="F47" s="551"/>
      <c r="G47" s="548"/>
      <c r="H47" s="549"/>
      <c r="I47" s="550"/>
      <c r="J47" s="551"/>
      <c r="K47" s="548"/>
      <c r="L47" s="549"/>
      <c r="M47" s="550"/>
      <c r="N47" s="551"/>
      <c r="O47" s="548"/>
      <c r="P47" s="549"/>
      <c r="Q47" s="550"/>
      <c r="R47" s="551"/>
      <c r="S47" s="548"/>
      <c r="T47" s="549"/>
      <c r="U47" s="550"/>
      <c r="V47" s="551"/>
      <c r="W47" s="552" t="str">
        <f t="shared" si="2"/>
        <v/>
      </c>
      <c r="X47" s="552"/>
      <c r="AC47" s="526"/>
    </row>
    <row r="48" spans="1:29" ht="13.5" hidden="1" thickBot="1" x14ac:dyDescent="0.25">
      <c r="A48" s="169"/>
      <c r="B48" s="554"/>
      <c r="C48" s="166"/>
      <c r="D48" s="163"/>
      <c r="E48" s="167"/>
      <c r="F48" s="168"/>
      <c r="G48" s="166"/>
      <c r="H48" s="163"/>
      <c r="I48" s="167"/>
      <c r="J48" s="168"/>
      <c r="K48" s="166"/>
      <c r="L48" s="163"/>
      <c r="M48" s="167"/>
      <c r="N48" s="168"/>
      <c r="O48" s="166"/>
      <c r="P48" s="163"/>
      <c r="Q48" s="167"/>
      <c r="R48" s="168"/>
      <c r="S48" s="166"/>
      <c r="T48" s="163"/>
      <c r="U48" s="167"/>
      <c r="V48" s="168"/>
      <c r="W48" s="150" t="str">
        <f t="shared" si="2"/>
        <v/>
      </c>
      <c r="X48" s="150"/>
      <c r="AC48" s="526"/>
    </row>
    <row r="49" spans="1:29" ht="13.5" hidden="1" thickBot="1" x14ac:dyDescent="0.25">
      <c r="A49" s="169"/>
      <c r="B49" s="259"/>
      <c r="C49" s="166"/>
      <c r="D49" s="163"/>
      <c r="E49" s="167"/>
      <c r="F49" s="168"/>
      <c r="G49" s="166"/>
      <c r="H49" s="163"/>
      <c r="I49" s="167"/>
      <c r="J49" s="168"/>
      <c r="K49" s="166"/>
      <c r="L49" s="163"/>
      <c r="M49" s="167"/>
      <c r="N49" s="168"/>
      <c r="O49" s="166"/>
      <c r="P49" s="163"/>
      <c r="Q49" s="167"/>
      <c r="R49" s="168"/>
      <c r="S49" s="166"/>
      <c r="T49" s="163"/>
      <c r="U49" s="167"/>
      <c r="V49" s="168"/>
      <c r="W49" s="150" t="str">
        <f t="shared" si="2"/>
        <v/>
      </c>
      <c r="X49" s="150"/>
      <c r="AC49" s="526"/>
    </row>
    <row r="50" spans="1:29" ht="13.5" hidden="1" thickBot="1" x14ac:dyDescent="0.25">
      <c r="A50" s="555"/>
      <c r="B50" s="199"/>
      <c r="C50" s="166"/>
      <c r="D50" s="163"/>
      <c r="E50" s="167"/>
      <c r="F50" s="168"/>
      <c r="G50" s="166"/>
      <c r="H50" s="163"/>
      <c r="I50" s="167"/>
      <c r="J50" s="168"/>
      <c r="K50" s="166"/>
      <c r="L50" s="163"/>
      <c r="M50" s="167"/>
      <c r="N50" s="168"/>
      <c r="O50" s="166"/>
      <c r="P50" s="163"/>
      <c r="Q50" s="167"/>
      <c r="R50" s="168"/>
      <c r="S50" s="166"/>
      <c r="T50" s="163"/>
      <c r="U50" s="167"/>
      <c r="V50" s="168"/>
      <c r="W50" s="150" t="str">
        <f t="shared" si="2"/>
        <v/>
      </c>
      <c r="X50" s="150"/>
    </row>
    <row r="51" spans="1:29" ht="13.5" hidden="1" thickBot="1" x14ac:dyDescent="0.25">
      <c r="A51" s="555"/>
      <c r="B51" s="199"/>
      <c r="C51" s="166"/>
      <c r="D51" s="163"/>
      <c r="E51" s="167"/>
      <c r="F51" s="168"/>
      <c r="G51" s="166"/>
      <c r="H51" s="163"/>
      <c r="I51" s="167"/>
      <c r="J51" s="168"/>
      <c r="K51" s="166"/>
      <c r="L51" s="163"/>
      <c r="M51" s="167"/>
      <c r="N51" s="168"/>
      <c r="O51" s="166"/>
      <c r="P51" s="163"/>
      <c r="Q51" s="167"/>
      <c r="R51" s="168"/>
      <c r="S51" s="166"/>
      <c r="T51" s="163"/>
      <c r="U51" s="167"/>
      <c r="V51" s="168"/>
      <c r="W51" s="150" t="str">
        <f t="shared" si="2"/>
        <v/>
      </c>
      <c r="X51" s="150"/>
    </row>
    <row r="52" spans="1:29" ht="13.5" hidden="1" thickBot="1" x14ac:dyDescent="0.25">
      <c r="A52" s="546"/>
      <c r="B52" s="547"/>
      <c r="C52" s="548"/>
      <c r="D52" s="549"/>
      <c r="E52" s="550"/>
      <c r="F52" s="551"/>
      <c r="G52" s="548"/>
      <c r="H52" s="549"/>
      <c r="I52" s="550"/>
      <c r="J52" s="551"/>
      <c r="K52" s="548"/>
      <c r="L52" s="549"/>
      <c r="M52" s="550"/>
      <c r="N52" s="551"/>
      <c r="O52" s="548"/>
      <c r="P52" s="549"/>
      <c r="Q52" s="550"/>
      <c r="R52" s="551"/>
      <c r="S52" s="548"/>
      <c r="T52" s="549"/>
      <c r="U52" s="550"/>
      <c r="V52" s="551"/>
      <c r="W52" s="552" t="str">
        <f t="shared" si="2"/>
        <v/>
      </c>
      <c r="X52" s="552"/>
      <c r="AC52" s="526"/>
    </row>
    <row r="53" spans="1:29" ht="13.5" hidden="1" thickBot="1" x14ac:dyDescent="0.25">
      <c r="A53" s="546"/>
      <c r="B53" s="547"/>
      <c r="C53" s="548"/>
      <c r="D53" s="549"/>
      <c r="E53" s="550"/>
      <c r="F53" s="551"/>
      <c r="G53" s="548"/>
      <c r="H53" s="549"/>
      <c r="I53" s="550"/>
      <c r="J53" s="551"/>
      <c r="K53" s="548"/>
      <c r="L53" s="549"/>
      <c r="M53" s="550"/>
      <c r="N53" s="551"/>
      <c r="O53" s="548"/>
      <c r="P53" s="549"/>
      <c r="Q53" s="550"/>
      <c r="R53" s="551"/>
      <c r="S53" s="548"/>
      <c r="T53" s="549"/>
      <c r="U53" s="550"/>
      <c r="V53" s="551"/>
      <c r="W53" s="552" t="str">
        <f t="shared" si="2"/>
        <v/>
      </c>
      <c r="X53" s="552"/>
      <c r="AC53" s="526"/>
    </row>
    <row r="54" spans="1:29" ht="13.5" hidden="1" thickBot="1" x14ac:dyDescent="0.25">
      <c r="A54" s="546"/>
      <c r="B54" s="553"/>
      <c r="C54" s="548"/>
      <c r="D54" s="549"/>
      <c r="E54" s="550"/>
      <c r="F54" s="551"/>
      <c r="G54" s="548"/>
      <c r="H54" s="549"/>
      <c r="I54" s="550"/>
      <c r="J54" s="551"/>
      <c r="K54" s="548"/>
      <c r="L54" s="549"/>
      <c r="M54" s="550"/>
      <c r="N54" s="551"/>
      <c r="O54" s="548"/>
      <c r="P54" s="549"/>
      <c r="Q54" s="550"/>
      <c r="R54" s="551"/>
      <c r="S54" s="548"/>
      <c r="T54" s="549"/>
      <c r="U54" s="550"/>
      <c r="V54" s="551"/>
      <c r="W54" s="552" t="str">
        <f t="shared" si="2"/>
        <v/>
      </c>
      <c r="X54" s="552"/>
      <c r="AC54" s="526"/>
    </row>
    <row r="55" spans="1:29" ht="13.5" hidden="1" thickBot="1" x14ac:dyDescent="0.25">
      <c r="A55" s="546"/>
      <c r="B55" s="547"/>
      <c r="C55" s="548"/>
      <c r="D55" s="549"/>
      <c r="E55" s="550"/>
      <c r="F55" s="551"/>
      <c r="G55" s="548"/>
      <c r="H55" s="549"/>
      <c r="I55" s="550"/>
      <c r="J55" s="551"/>
      <c r="K55" s="548"/>
      <c r="L55" s="549"/>
      <c r="M55" s="550"/>
      <c r="N55" s="551"/>
      <c r="O55" s="548"/>
      <c r="P55" s="549"/>
      <c r="Q55" s="550"/>
      <c r="R55" s="551"/>
      <c r="S55" s="548"/>
      <c r="T55" s="549"/>
      <c r="U55" s="550"/>
      <c r="V55" s="551"/>
      <c r="W55" s="552" t="str">
        <f t="shared" si="2"/>
        <v/>
      </c>
      <c r="X55" s="552"/>
      <c r="AC55" s="526"/>
    </row>
    <row r="56" spans="1:29" ht="13.5" hidden="1" thickBot="1" x14ac:dyDescent="0.25">
      <c r="A56" s="169"/>
      <c r="B56" s="554"/>
      <c r="C56" s="166"/>
      <c r="D56" s="163"/>
      <c r="E56" s="167"/>
      <c r="F56" s="168"/>
      <c r="G56" s="166"/>
      <c r="H56" s="163"/>
      <c r="I56" s="167"/>
      <c r="J56" s="168"/>
      <c r="K56" s="166"/>
      <c r="L56" s="163"/>
      <c r="M56" s="167"/>
      <c r="N56" s="168"/>
      <c r="O56" s="166"/>
      <c r="P56" s="163"/>
      <c r="Q56" s="167"/>
      <c r="R56" s="168"/>
      <c r="S56" s="166"/>
      <c r="T56" s="163"/>
      <c r="U56" s="167"/>
      <c r="V56" s="168"/>
      <c r="W56" s="150" t="str">
        <f t="shared" si="2"/>
        <v/>
      </c>
      <c r="X56" s="150"/>
      <c r="AC56" s="526"/>
    </row>
    <row r="57" spans="1:29" ht="13.5" hidden="1" thickBot="1" x14ac:dyDescent="0.25">
      <c r="A57" s="169"/>
      <c r="B57" s="259"/>
      <c r="C57" s="166"/>
      <c r="D57" s="163"/>
      <c r="E57" s="167"/>
      <c r="F57" s="168"/>
      <c r="G57" s="166"/>
      <c r="H57" s="163"/>
      <c r="I57" s="167"/>
      <c r="J57" s="168"/>
      <c r="K57" s="166"/>
      <c r="L57" s="163"/>
      <c r="M57" s="167"/>
      <c r="N57" s="168"/>
      <c r="O57" s="166"/>
      <c r="P57" s="163"/>
      <c r="Q57" s="167"/>
      <c r="R57" s="168"/>
      <c r="S57" s="166"/>
      <c r="T57" s="163"/>
      <c r="U57" s="167"/>
      <c r="V57" s="168"/>
      <c r="W57" s="150" t="str">
        <f t="shared" si="2"/>
        <v/>
      </c>
      <c r="X57" s="150"/>
      <c r="AC57" s="526"/>
    </row>
    <row r="58" spans="1:29" ht="13.5" hidden="1" thickBot="1" x14ac:dyDescent="0.25">
      <c r="A58" s="555"/>
      <c r="B58" s="199"/>
      <c r="C58" s="166"/>
      <c r="D58" s="163"/>
      <c r="E58" s="167"/>
      <c r="F58" s="168"/>
      <c r="G58" s="166"/>
      <c r="H58" s="163"/>
      <c r="I58" s="167"/>
      <c r="J58" s="168"/>
      <c r="K58" s="166"/>
      <c r="L58" s="163"/>
      <c r="M58" s="167"/>
      <c r="N58" s="168"/>
      <c r="O58" s="166"/>
      <c r="P58" s="163"/>
      <c r="Q58" s="167"/>
      <c r="R58" s="168"/>
      <c r="S58" s="166"/>
      <c r="T58" s="163"/>
      <c r="U58" s="167"/>
      <c r="V58" s="168"/>
      <c r="W58" s="150" t="str">
        <f t="shared" si="2"/>
        <v/>
      </c>
      <c r="X58" s="150"/>
    </row>
    <row r="59" spans="1:29" ht="13.5" hidden="1" thickBot="1" x14ac:dyDescent="0.25">
      <c r="A59" s="555"/>
      <c r="B59" s="199"/>
      <c r="C59" s="166"/>
      <c r="D59" s="163"/>
      <c r="E59" s="167"/>
      <c r="F59" s="168"/>
      <c r="G59" s="166"/>
      <c r="H59" s="163"/>
      <c r="I59" s="167"/>
      <c r="J59" s="168"/>
      <c r="K59" s="166"/>
      <c r="L59" s="163"/>
      <c r="M59" s="167"/>
      <c r="N59" s="168"/>
      <c r="O59" s="166"/>
      <c r="P59" s="163"/>
      <c r="Q59" s="167"/>
      <c r="R59" s="168"/>
      <c r="S59" s="166"/>
      <c r="T59" s="163"/>
      <c r="U59" s="167"/>
      <c r="V59" s="168"/>
      <c r="W59" s="150" t="str">
        <f t="shared" si="2"/>
        <v/>
      </c>
      <c r="X59" s="150"/>
    </row>
    <row r="60" spans="1:29" ht="13.5" hidden="1" thickBot="1" x14ac:dyDescent="0.25">
      <c r="A60" s="546"/>
      <c r="B60" s="553"/>
      <c r="C60" s="548"/>
      <c r="D60" s="549"/>
      <c r="E60" s="550"/>
      <c r="F60" s="551"/>
      <c r="G60" s="548"/>
      <c r="H60" s="549"/>
      <c r="I60" s="550"/>
      <c r="J60" s="551"/>
      <c r="K60" s="548"/>
      <c r="L60" s="549"/>
      <c r="M60" s="550"/>
      <c r="N60" s="551"/>
      <c r="O60" s="548"/>
      <c r="P60" s="549"/>
      <c r="Q60" s="550"/>
      <c r="R60" s="551"/>
      <c r="S60" s="548"/>
      <c r="T60" s="549"/>
      <c r="U60" s="550"/>
      <c r="V60" s="551"/>
      <c r="W60" s="552" t="str">
        <f t="shared" si="2"/>
        <v/>
      </c>
      <c r="X60" s="552"/>
    </row>
    <row r="61" spans="1:29" ht="13.5" hidden="1" thickBot="1" x14ac:dyDescent="0.25">
      <c r="A61" s="546"/>
      <c r="B61" s="553"/>
      <c r="C61" s="548"/>
      <c r="D61" s="549"/>
      <c r="E61" s="550"/>
      <c r="F61" s="551"/>
      <c r="G61" s="548"/>
      <c r="H61" s="549"/>
      <c r="I61" s="550"/>
      <c r="J61" s="551"/>
      <c r="K61" s="548"/>
      <c r="L61" s="549"/>
      <c r="M61" s="550"/>
      <c r="N61" s="551"/>
      <c r="O61" s="548"/>
      <c r="P61" s="549"/>
      <c r="Q61" s="550"/>
      <c r="R61" s="551"/>
      <c r="S61" s="548"/>
      <c r="T61" s="549"/>
      <c r="U61" s="550"/>
      <c r="V61" s="551"/>
      <c r="W61" s="552" t="str">
        <f t="shared" si="2"/>
        <v/>
      </c>
      <c r="X61" s="552"/>
    </row>
    <row r="62" spans="1:29" ht="13.5" hidden="1" thickBot="1" x14ac:dyDescent="0.25">
      <c r="A62" s="546"/>
      <c r="B62" s="547"/>
      <c r="C62" s="548"/>
      <c r="D62" s="549"/>
      <c r="E62" s="550"/>
      <c r="F62" s="551"/>
      <c r="G62" s="548"/>
      <c r="H62" s="549"/>
      <c r="I62" s="550"/>
      <c r="J62" s="551"/>
      <c r="K62" s="548"/>
      <c r="L62" s="549"/>
      <c r="M62" s="550"/>
      <c r="N62" s="551"/>
      <c r="O62" s="548"/>
      <c r="P62" s="549"/>
      <c r="Q62" s="550"/>
      <c r="R62" s="551"/>
      <c r="S62" s="548"/>
      <c r="T62" s="549"/>
      <c r="U62" s="550"/>
      <c r="V62" s="551"/>
      <c r="W62" s="552" t="str">
        <f t="shared" si="2"/>
        <v/>
      </c>
      <c r="X62" s="552"/>
    </row>
    <row r="63" spans="1:29" ht="13.5" hidden="1" thickBot="1" x14ac:dyDescent="0.25">
      <c r="A63" s="546"/>
      <c r="B63" s="556"/>
      <c r="C63" s="548"/>
      <c r="D63" s="549"/>
      <c r="E63" s="550"/>
      <c r="F63" s="551"/>
      <c r="G63" s="548"/>
      <c r="H63" s="549"/>
      <c r="I63" s="550"/>
      <c r="J63" s="551"/>
      <c r="K63" s="548"/>
      <c r="L63" s="549"/>
      <c r="M63" s="550"/>
      <c r="N63" s="551"/>
      <c r="O63" s="548"/>
      <c r="P63" s="549"/>
      <c r="Q63" s="550"/>
      <c r="R63" s="551"/>
      <c r="S63" s="548"/>
      <c r="T63" s="549"/>
      <c r="U63" s="550"/>
      <c r="V63" s="551"/>
      <c r="W63" s="552" t="str">
        <f t="shared" si="2"/>
        <v/>
      </c>
      <c r="X63" s="552"/>
    </row>
    <row r="64" spans="1:29" ht="13.5" hidden="1" thickBot="1" x14ac:dyDescent="0.25">
      <c r="A64" s="169"/>
      <c r="B64" s="554"/>
      <c r="C64" s="166"/>
      <c r="D64" s="163"/>
      <c r="E64" s="167"/>
      <c r="F64" s="168"/>
      <c r="G64" s="166"/>
      <c r="H64" s="163"/>
      <c r="I64" s="167"/>
      <c r="J64" s="168"/>
      <c r="K64" s="166"/>
      <c r="L64" s="163"/>
      <c r="M64" s="167"/>
      <c r="N64" s="168"/>
      <c r="O64" s="166"/>
      <c r="P64" s="163"/>
      <c r="Q64" s="167"/>
      <c r="R64" s="168"/>
      <c r="S64" s="166"/>
      <c r="T64" s="163"/>
      <c r="U64" s="167"/>
      <c r="V64" s="168"/>
      <c r="W64" s="150" t="str">
        <f t="shared" si="2"/>
        <v/>
      </c>
      <c r="X64" s="150"/>
      <c r="AC64" s="526"/>
    </row>
    <row r="65" spans="1:29" ht="13.5" hidden="1" thickBot="1" x14ac:dyDescent="0.25">
      <c r="A65" s="169"/>
      <c r="B65" s="259"/>
      <c r="C65" s="166"/>
      <c r="D65" s="163"/>
      <c r="E65" s="167"/>
      <c r="F65" s="168"/>
      <c r="G65" s="166"/>
      <c r="H65" s="163"/>
      <c r="I65" s="167"/>
      <c r="J65" s="168"/>
      <c r="K65" s="166"/>
      <c r="L65" s="163"/>
      <c r="M65" s="167"/>
      <c r="N65" s="168"/>
      <c r="O65" s="166"/>
      <c r="P65" s="163"/>
      <c r="Q65" s="167"/>
      <c r="R65" s="168"/>
      <c r="S65" s="166"/>
      <c r="T65" s="163"/>
      <c r="U65" s="167"/>
      <c r="V65" s="168"/>
      <c r="W65" s="150" t="str">
        <f t="shared" si="2"/>
        <v/>
      </c>
      <c r="X65" s="150"/>
      <c r="AC65" s="526"/>
    </row>
    <row r="66" spans="1:29" ht="13.5" hidden="1" thickBot="1" x14ac:dyDescent="0.25">
      <c r="A66" s="555"/>
      <c r="B66" s="199"/>
      <c r="C66" s="166"/>
      <c r="D66" s="163"/>
      <c r="E66" s="167"/>
      <c r="F66" s="168"/>
      <c r="G66" s="166"/>
      <c r="H66" s="163"/>
      <c r="I66" s="167"/>
      <c r="J66" s="168"/>
      <c r="K66" s="166"/>
      <c r="L66" s="163"/>
      <c r="M66" s="167"/>
      <c r="N66" s="168"/>
      <c r="O66" s="166"/>
      <c r="P66" s="163"/>
      <c r="Q66" s="167"/>
      <c r="R66" s="168"/>
      <c r="S66" s="166"/>
      <c r="T66" s="163"/>
      <c r="U66" s="167"/>
      <c r="V66" s="168"/>
      <c r="W66" s="150" t="str">
        <f t="shared" si="2"/>
        <v/>
      </c>
      <c r="X66" s="150"/>
    </row>
    <row r="67" spans="1:29" ht="13.5" hidden="1" thickBot="1" x14ac:dyDescent="0.25">
      <c r="A67" s="557"/>
      <c r="B67" s="558"/>
      <c r="C67" s="559"/>
      <c r="D67" s="190"/>
      <c r="E67" s="560"/>
      <c r="F67" s="561"/>
      <c r="G67" s="559"/>
      <c r="H67" s="190"/>
      <c r="I67" s="560"/>
      <c r="J67" s="561"/>
      <c r="K67" s="559"/>
      <c r="L67" s="190"/>
      <c r="M67" s="560"/>
      <c r="N67" s="561"/>
      <c r="O67" s="559"/>
      <c r="P67" s="190"/>
      <c r="Q67" s="560"/>
      <c r="R67" s="561"/>
      <c r="S67" s="559"/>
      <c r="T67" s="190"/>
      <c r="U67" s="560"/>
      <c r="V67" s="561"/>
      <c r="W67" s="159" t="str">
        <f t="shared" si="2"/>
        <v/>
      </c>
      <c r="X67" s="159"/>
      <c r="Y67" s="154"/>
    </row>
    <row r="68" spans="1:29" ht="13.5" thickBot="1" x14ac:dyDescent="0.25">
      <c r="A68" s="562"/>
      <c r="B68" s="545" t="s">
        <v>220</v>
      </c>
      <c r="C68" s="247"/>
      <c r="D68" s="248"/>
      <c r="E68" s="248"/>
      <c r="F68" s="249"/>
      <c r="G68" s="247"/>
      <c r="H68" s="248"/>
      <c r="I68" s="248"/>
      <c r="J68" s="249"/>
      <c r="K68" s="247"/>
      <c r="L68" s="248"/>
      <c r="M68" s="248"/>
      <c r="N68" s="249"/>
      <c r="O68" s="247"/>
      <c r="P68" s="248"/>
      <c r="Q68" s="248"/>
      <c r="R68" s="249"/>
      <c r="S68" s="247"/>
      <c r="T68" s="248"/>
      <c r="U68" s="248"/>
      <c r="V68" s="249"/>
      <c r="W68" s="250"/>
      <c r="X68" s="250"/>
      <c r="Y68" s="563" t="s">
        <v>709</v>
      </c>
      <c r="Z68" s="148"/>
      <c r="AA68" s="149" t="s">
        <v>215</v>
      </c>
      <c r="AB68" s="149" t="s">
        <v>216</v>
      </c>
    </row>
    <row r="69" spans="1:29" ht="14.25" thickTop="1" thickBot="1" x14ac:dyDescent="0.25">
      <c r="A69" s="564">
        <v>6</v>
      </c>
      <c r="B69" s="565" t="s">
        <v>45</v>
      </c>
      <c r="C69" s="568">
        <v>0</v>
      </c>
      <c r="D69" s="727">
        <v>5</v>
      </c>
      <c r="E69" s="566">
        <v>3</v>
      </c>
      <c r="F69" s="567">
        <v>0</v>
      </c>
      <c r="G69" s="568">
        <v>3</v>
      </c>
      <c r="H69" s="566">
        <v>0</v>
      </c>
      <c r="I69" s="566">
        <v>0</v>
      </c>
      <c r="J69" s="567">
        <v>0</v>
      </c>
      <c r="K69" s="568">
        <v>0</v>
      </c>
      <c r="L69" s="566">
        <v>3</v>
      </c>
      <c r="M69" s="566">
        <v>0</v>
      </c>
      <c r="N69" s="567">
        <v>1</v>
      </c>
      <c r="O69" s="568">
        <v>0</v>
      </c>
      <c r="P69" s="566">
        <v>0</v>
      </c>
      <c r="Q69" s="566">
        <v>0</v>
      </c>
      <c r="R69" s="567">
        <v>3</v>
      </c>
      <c r="S69" s="568">
        <v>0</v>
      </c>
      <c r="T69" s="566">
        <v>0</v>
      </c>
      <c r="U69" s="566">
        <v>0</v>
      </c>
      <c r="V69" s="567">
        <v>0</v>
      </c>
      <c r="W69" s="569">
        <f>SUM(C69:V69)</f>
        <v>18</v>
      </c>
      <c r="X69" s="516" t="str">
        <f t="shared" ref="X69:X76" si="3">IF(RANK(Y69,$Y$69:$Y$76)&lt;5,"edasi "&amp;RANK(Y69,$Y$69:$Y$76)+4,RANK(Y69,$Y$69:$Y$76)+4)</f>
        <v>edasi 5</v>
      </c>
      <c r="Y69" s="570">
        <f t="shared" ref="Y69:Y76" si="4">W69+IFERROR(INDEX(W$9:W$34,MATCH(B69,B$9:B$34,0)),0)</f>
        <v>36.010400000000004</v>
      </c>
      <c r="Z69" s="151" t="e">
        <f>IF(COUNTA(C69:V69)=0,100,W69+IF(RANK(W69,$W$103:$W$104)=1,100,0))</f>
        <v>#N/A</v>
      </c>
      <c r="AA69" s="149">
        <f>MIN(W69:W70)</f>
        <v>10</v>
      </c>
      <c r="AB69" s="149">
        <f>MAX(W69:W70)</f>
        <v>18</v>
      </c>
    </row>
    <row r="70" spans="1:29" ht="13.5" thickTop="1" x14ac:dyDescent="0.2">
      <c r="A70" s="564">
        <v>8</v>
      </c>
      <c r="B70" s="565" t="s">
        <v>38</v>
      </c>
      <c r="C70" s="568">
        <v>0</v>
      </c>
      <c r="D70" s="566">
        <v>0</v>
      </c>
      <c r="E70" s="566">
        <v>1</v>
      </c>
      <c r="F70" s="567">
        <v>3</v>
      </c>
      <c r="G70" s="568">
        <v>3</v>
      </c>
      <c r="H70" s="566">
        <v>0</v>
      </c>
      <c r="I70" s="566">
        <v>0</v>
      </c>
      <c r="J70" s="567">
        <v>0</v>
      </c>
      <c r="K70" s="568">
        <v>0</v>
      </c>
      <c r="L70" s="566">
        <v>0</v>
      </c>
      <c r="M70" s="566">
        <v>0</v>
      </c>
      <c r="N70" s="567">
        <v>0</v>
      </c>
      <c r="O70" s="568">
        <v>0</v>
      </c>
      <c r="P70" s="566">
        <v>0</v>
      </c>
      <c r="Q70" s="566">
        <v>0</v>
      </c>
      <c r="R70" s="567">
        <v>3</v>
      </c>
      <c r="S70" s="568">
        <v>0</v>
      </c>
      <c r="T70" s="566">
        <v>0</v>
      </c>
      <c r="U70" s="566">
        <v>0</v>
      </c>
      <c r="V70" s="567">
        <v>0</v>
      </c>
      <c r="W70" s="569">
        <f t="shared" ref="W70:W72" si="5">SUM(C70:V70)</f>
        <v>10</v>
      </c>
      <c r="X70" s="516" t="str">
        <f t="shared" si="3"/>
        <v>edasi 6</v>
      </c>
      <c r="Y70" s="570">
        <f t="shared" si="4"/>
        <v>32.020399999999995</v>
      </c>
      <c r="Z70" s="151"/>
      <c r="AA70" s="149"/>
      <c r="AB70" s="149"/>
    </row>
    <row r="71" spans="1:29" x14ac:dyDescent="0.2">
      <c r="A71" s="564">
        <v>2</v>
      </c>
      <c r="B71" s="571" t="s">
        <v>35</v>
      </c>
      <c r="C71" s="568">
        <v>0</v>
      </c>
      <c r="D71" s="566">
        <v>0</v>
      </c>
      <c r="E71" s="566">
        <v>0</v>
      </c>
      <c r="F71" s="567">
        <v>0</v>
      </c>
      <c r="G71" s="568">
        <v>0</v>
      </c>
      <c r="H71" s="566">
        <v>3</v>
      </c>
      <c r="I71" s="566">
        <v>0</v>
      </c>
      <c r="J71" s="567">
        <v>0</v>
      </c>
      <c r="K71" s="568">
        <v>1</v>
      </c>
      <c r="L71" s="566">
        <v>0</v>
      </c>
      <c r="M71" s="566">
        <v>3</v>
      </c>
      <c r="N71" s="567">
        <v>3</v>
      </c>
      <c r="O71" s="568">
        <v>0</v>
      </c>
      <c r="P71" s="566">
        <v>3</v>
      </c>
      <c r="Q71" s="566">
        <v>0</v>
      </c>
      <c r="R71" s="567">
        <v>3</v>
      </c>
      <c r="S71" s="568">
        <v>0</v>
      </c>
      <c r="T71" s="566">
        <v>0</v>
      </c>
      <c r="U71" s="566">
        <v>0</v>
      </c>
      <c r="V71" s="567">
        <v>0</v>
      </c>
      <c r="W71" s="569">
        <f t="shared" si="5"/>
        <v>16</v>
      </c>
      <c r="X71" s="516" t="str">
        <f t="shared" si="3"/>
        <v>edasi 7</v>
      </c>
      <c r="Y71" s="570">
        <f t="shared" si="4"/>
        <v>32.010300000000001</v>
      </c>
      <c r="Z71" s="151" t="e">
        <f>IF(COUNTA(C71:V71)=0,100,W71+IF(RANK(W71,$W$105:$W$106)=1,100,0))</f>
        <v>#N/A</v>
      </c>
      <c r="AA71" s="149">
        <f>MIN(W71:W72)</f>
        <v>13</v>
      </c>
      <c r="AB71" s="149">
        <f>MAX(W71:W72)</f>
        <v>16</v>
      </c>
    </row>
    <row r="72" spans="1:29" x14ac:dyDescent="0.2">
      <c r="A72" s="564">
        <v>3</v>
      </c>
      <c r="B72" s="572" t="s">
        <v>41</v>
      </c>
      <c r="C72" s="568">
        <v>3</v>
      </c>
      <c r="D72" s="566">
        <v>0</v>
      </c>
      <c r="E72" s="566">
        <v>0</v>
      </c>
      <c r="F72" s="567">
        <v>3</v>
      </c>
      <c r="G72" s="568">
        <v>0</v>
      </c>
      <c r="H72" s="566">
        <v>3</v>
      </c>
      <c r="I72" s="566">
        <v>3</v>
      </c>
      <c r="J72" s="567">
        <v>0</v>
      </c>
      <c r="K72" s="568">
        <v>0</v>
      </c>
      <c r="L72" s="566">
        <v>1</v>
      </c>
      <c r="M72" s="566">
        <v>0</v>
      </c>
      <c r="N72" s="567">
        <v>0</v>
      </c>
      <c r="O72" s="568">
        <v>0</v>
      </c>
      <c r="P72" s="566">
        <v>0</v>
      </c>
      <c r="Q72" s="566">
        <v>0</v>
      </c>
      <c r="R72" s="567">
        <v>0</v>
      </c>
      <c r="S72" s="568">
        <v>0</v>
      </c>
      <c r="T72" s="566">
        <v>0</v>
      </c>
      <c r="U72" s="566">
        <v>0</v>
      </c>
      <c r="V72" s="567">
        <v>0</v>
      </c>
      <c r="W72" s="569">
        <f t="shared" si="5"/>
        <v>13</v>
      </c>
      <c r="X72" s="516" t="str">
        <f t="shared" si="3"/>
        <v>edasi 8</v>
      </c>
      <c r="Y72" s="570">
        <f t="shared" si="4"/>
        <v>29.010300000000001</v>
      </c>
      <c r="Z72" s="152" t="e">
        <f>IF(COUNTA(C72:V72)=0,0,W72+IF(RANK(W72,$W$105:$W$106)=1,100,0))</f>
        <v>#N/A</v>
      </c>
      <c r="AA72" s="149"/>
      <c r="AB72" s="149"/>
    </row>
    <row r="73" spans="1:29" ht="13.5" thickBot="1" x14ac:dyDescent="0.25">
      <c r="A73" s="573">
        <v>1</v>
      </c>
      <c r="B73" s="574" t="s">
        <v>80</v>
      </c>
      <c r="C73" s="575">
        <v>0</v>
      </c>
      <c r="D73" s="576">
        <v>3</v>
      </c>
      <c r="E73" s="576">
        <v>0</v>
      </c>
      <c r="F73" s="577">
        <v>0</v>
      </c>
      <c r="G73" s="575">
        <v>0</v>
      </c>
      <c r="H73" s="576">
        <v>0</v>
      </c>
      <c r="I73" s="576">
        <v>3</v>
      </c>
      <c r="J73" s="577">
        <v>0</v>
      </c>
      <c r="K73" s="575">
        <v>1</v>
      </c>
      <c r="L73" s="576">
        <v>0</v>
      </c>
      <c r="M73" s="576">
        <v>0</v>
      </c>
      <c r="N73" s="577">
        <v>0</v>
      </c>
      <c r="O73" s="575">
        <v>3</v>
      </c>
      <c r="P73" s="576">
        <v>0</v>
      </c>
      <c r="Q73" s="576">
        <v>0</v>
      </c>
      <c r="R73" s="577">
        <v>0</v>
      </c>
      <c r="S73" s="575">
        <v>3</v>
      </c>
      <c r="T73" s="576">
        <v>0</v>
      </c>
      <c r="U73" s="576">
        <v>0</v>
      </c>
      <c r="V73" s="577">
        <v>0</v>
      </c>
      <c r="W73" s="532">
        <f>SUM(C73:V73)</f>
        <v>13</v>
      </c>
      <c r="X73" s="533">
        <f t="shared" si="3"/>
        <v>9</v>
      </c>
      <c r="Y73" s="533">
        <f t="shared" si="4"/>
        <v>28.000500000000002</v>
      </c>
      <c r="Z73" s="151" t="e">
        <f>IF(COUNTA(C73:V73)=0,100,W73+IF(RANK(W73,$W$107:$W$108)=1,100,0))</f>
        <v>#N/A</v>
      </c>
      <c r="AA73" s="149">
        <f>MIN(W73:W74)</f>
        <v>6</v>
      </c>
      <c r="AB73" s="149">
        <f>MAX(W73:W74)</f>
        <v>13</v>
      </c>
    </row>
    <row r="74" spans="1:29" ht="14.25" thickTop="1" thickBot="1" x14ac:dyDescent="0.25">
      <c r="A74" s="573">
        <v>7</v>
      </c>
      <c r="B74" s="574" t="s">
        <v>60</v>
      </c>
      <c r="C74" s="575">
        <v>0</v>
      </c>
      <c r="D74" s="576">
        <v>0</v>
      </c>
      <c r="E74" s="576">
        <v>0</v>
      </c>
      <c r="F74" s="728">
        <v>5</v>
      </c>
      <c r="G74" s="575">
        <v>0</v>
      </c>
      <c r="H74" s="576">
        <v>0</v>
      </c>
      <c r="I74" s="576">
        <v>0</v>
      </c>
      <c r="J74" s="577">
        <v>0</v>
      </c>
      <c r="K74" s="575">
        <v>1</v>
      </c>
      <c r="L74" s="576">
        <v>0</v>
      </c>
      <c r="M74" s="576">
        <v>0</v>
      </c>
      <c r="N74" s="577">
        <v>0</v>
      </c>
      <c r="O74" s="575">
        <v>0</v>
      </c>
      <c r="P74" s="576">
        <v>0</v>
      </c>
      <c r="Q74" s="576">
        <v>0</v>
      </c>
      <c r="R74" s="577">
        <v>0</v>
      </c>
      <c r="S74" s="575">
        <v>0</v>
      </c>
      <c r="T74" s="576">
        <v>0</v>
      </c>
      <c r="U74" s="576">
        <v>0</v>
      </c>
      <c r="V74" s="577">
        <v>0</v>
      </c>
      <c r="W74" s="532">
        <f t="shared" ref="W74:W76" si="6">SUM(C74:V74)</f>
        <v>6</v>
      </c>
      <c r="X74" s="533">
        <f t="shared" si="3"/>
        <v>10</v>
      </c>
      <c r="Y74" s="533">
        <f t="shared" si="4"/>
        <v>25.020299999999999</v>
      </c>
      <c r="Z74" s="152" t="e">
        <f>IF(COUNTA(C74:V74)=0,0,W74+IF(RANK(W74,$W$107:$W$108)=1,100,0))</f>
        <v>#N/A</v>
      </c>
      <c r="AA74" s="149"/>
      <c r="AB74" s="149"/>
    </row>
    <row r="75" spans="1:29" ht="13.5" thickTop="1" x14ac:dyDescent="0.2">
      <c r="A75" s="573">
        <v>4</v>
      </c>
      <c r="B75" s="578" t="s">
        <v>31</v>
      </c>
      <c r="C75" s="575">
        <v>0</v>
      </c>
      <c r="D75" s="576">
        <v>0</v>
      </c>
      <c r="E75" s="576">
        <v>0</v>
      </c>
      <c r="F75" s="577">
        <v>3</v>
      </c>
      <c r="G75" s="575">
        <v>1</v>
      </c>
      <c r="H75" s="576">
        <v>0</v>
      </c>
      <c r="I75" s="576">
        <v>0</v>
      </c>
      <c r="J75" s="577">
        <v>0</v>
      </c>
      <c r="K75" s="575">
        <v>0</v>
      </c>
      <c r="L75" s="576">
        <v>3</v>
      </c>
      <c r="M75" s="576">
        <v>1</v>
      </c>
      <c r="N75" s="577">
        <v>0</v>
      </c>
      <c r="O75" s="575">
        <v>0</v>
      </c>
      <c r="P75" s="576">
        <v>0</v>
      </c>
      <c r="Q75" s="576">
        <v>0</v>
      </c>
      <c r="R75" s="577">
        <v>0</v>
      </c>
      <c r="S75" s="575">
        <v>0</v>
      </c>
      <c r="T75" s="576">
        <v>0</v>
      </c>
      <c r="U75" s="576">
        <v>0</v>
      </c>
      <c r="V75" s="577">
        <v>0</v>
      </c>
      <c r="W75" s="532">
        <f t="shared" si="6"/>
        <v>8</v>
      </c>
      <c r="X75" s="533">
        <f t="shared" si="3"/>
        <v>11</v>
      </c>
      <c r="Y75" s="533">
        <f t="shared" si="4"/>
        <v>24.010300000000001</v>
      </c>
      <c r="Z75" s="151" t="e">
        <f>IF(COUNTA(C75:V75)=0,100,W75+IF(RANK(W75,$W$105:$W$106)=1,100,0))</f>
        <v>#N/A</v>
      </c>
      <c r="AA75" s="149">
        <f>MIN(W75:W76)</f>
        <v>4</v>
      </c>
      <c r="AB75" s="149">
        <f>MAX(W75:W76)</f>
        <v>8</v>
      </c>
    </row>
    <row r="76" spans="1:29" ht="13.5" thickBot="1" x14ac:dyDescent="0.25">
      <c r="A76" s="573">
        <v>5</v>
      </c>
      <c r="B76" s="574" t="s">
        <v>163</v>
      </c>
      <c r="C76" s="575">
        <v>0</v>
      </c>
      <c r="D76" s="576">
        <v>0</v>
      </c>
      <c r="E76" s="576">
        <v>0</v>
      </c>
      <c r="F76" s="577">
        <v>0</v>
      </c>
      <c r="G76" s="575">
        <v>0</v>
      </c>
      <c r="H76" s="576">
        <v>0</v>
      </c>
      <c r="I76" s="576">
        <v>3</v>
      </c>
      <c r="J76" s="577">
        <v>0</v>
      </c>
      <c r="K76" s="575">
        <v>0</v>
      </c>
      <c r="L76" s="576">
        <v>1</v>
      </c>
      <c r="M76" s="576">
        <v>0</v>
      </c>
      <c r="N76" s="577">
        <v>0</v>
      </c>
      <c r="O76" s="575">
        <v>0</v>
      </c>
      <c r="P76" s="576">
        <v>0</v>
      </c>
      <c r="Q76" s="576">
        <v>0</v>
      </c>
      <c r="R76" s="577">
        <v>0</v>
      </c>
      <c r="S76" s="575">
        <v>0</v>
      </c>
      <c r="T76" s="576">
        <v>0</v>
      </c>
      <c r="U76" s="576">
        <v>0</v>
      </c>
      <c r="V76" s="577">
        <v>0</v>
      </c>
      <c r="W76" s="532">
        <f t="shared" si="6"/>
        <v>4</v>
      </c>
      <c r="X76" s="533">
        <f t="shared" si="3"/>
        <v>12</v>
      </c>
      <c r="Y76" s="731">
        <f t="shared" si="4"/>
        <v>22.010400000000001</v>
      </c>
      <c r="Z76" s="152" t="e">
        <f>IF(COUNTA(C76:V76)=0,0,W76+IF(RANK(W76,$W$105:$W$106)=1,100,0))</f>
        <v>#N/A</v>
      </c>
      <c r="AA76" s="149"/>
      <c r="AB76" s="149"/>
    </row>
    <row r="77" spans="1:29" ht="13.5" hidden="1" thickBot="1" x14ac:dyDescent="0.25">
      <c r="A77" s="544"/>
      <c r="B77" s="545" t="s">
        <v>718</v>
      </c>
      <c r="C77" s="144"/>
      <c r="D77" s="145"/>
      <c r="E77" s="145"/>
      <c r="F77" s="146"/>
      <c r="G77" s="144"/>
      <c r="H77" s="145"/>
      <c r="I77" s="145"/>
      <c r="J77" s="146"/>
      <c r="K77" s="144"/>
      <c r="L77" s="145"/>
      <c r="M77" s="145"/>
      <c r="N77" s="146"/>
      <c r="O77" s="144"/>
      <c r="P77" s="145"/>
      <c r="Q77" s="145"/>
      <c r="R77" s="146"/>
      <c r="S77" s="144"/>
      <c r="T77" s="145"/>
      <c r="U77" s="145"/>
      <c r="V77" s="146"/>
      <c r="W77" s="250"/>
      <c r="X77" s="250"/>
      <c r="Z77" s="148"/>
      <c r="AA77" s="149" t="s">
        <v>215</v>
      </c>
      <c r="AB77" s="149" t="s">
        <v>216</v>
      </c>
    </row>
    <row r="78" spans="1:29" ht="13.5" hidden="1" thickBot="1" x14ac:dyDescent="0.25">
      <c r="A78" s="546"/>
      <c r="B78" s="547"/>
      <c r="C78" s="548"/>
      <c r="D78" s="549"/>
      <c r="E78" s="550"/>
      <c r="F78" s="551"/>
      <c r="G78" s="548"/>
      <c r="H78" s="549"/>
      <c r="I78" s="550"/>
      <c r="J78" s="551"/>
      <c r="K78" s="548"/>
      <c r="L78" s="549"/>
      <c r="M78" s="550"/>
      <c r="N78" s="551"/>
      <c r="O78" s="548"/>
      <c r="P78" s="549"/>
      <c r="Q78" s="550"/>
      <c r="R78" s="551"/>
      <c r="S78" s="548"/>
      <c r="T78" s="549"/>
      <c r="U78" s="550"/>
      <c r="V78" s="551"/>
      <c r="W78" s="552" t="str">
        <f t="shared" ref="W78:W97" si="7">IF(COUNTA(C78:V78)=0,"",SUM(C78:V78)+COUNTIF(C78:V78,5)/100+COUNTIF(C78:V78,3)/10000)</f>
        <v/>
      </c>
      <c r="X78" s="552"/>
      <c r="AC78" s="526"/>
    </row>
    <row r="79" spans="1:29" ht="13.5" hidden="1" thickBot="1" x14ac:dyDescent="0.25">
      <c r="A79" s="546"/>
      <c r="B79" s="547"/>
      <c r="C79" s="548"/>
      <c r="D79" s="549"/>
      <c r="E79" s="550"/>
      <c r="F79" s="551"/>
      <c r="G79" s="548"/>
      <c r="H79" s="549"/>
      <c r="I79" s="550"/>
      <c r="J79" s="551"/>
      <c r="K79" s="548"/>
      <c r="L79" s="549"/>
      <c r="M79" s="550"/>
      <c r="N79" s="551"/>
      <c r="O79" s="548"/>
      <c r="P79" s="549"/>
      <c r="Q79" s="550"/>
      <c r="R79" s="551"/>
      <c r="S79" s="548"/>
      <c r="T79" s="549"/>
      <c r="U79" s="550"/>
      <c r="V79" s="551"/>
      <c r="W79" s="552" t="str">
        <f t="shared" si="7"/>
        <v/>
      </c>
      <c r="X79" s="552"/>
      <c r="AC79" s="526"/>
    </row>
    <row r="80" spans="1:29" ht="13.5" hidden="1" thickBot="1" x14ac:dyDescent="0.25">
      <c r="A80" s="546"/>
      <c r="B80" s="553"/>
      <c r="C80" s="548"/>
      <c r="D80" s="549"/>
      <c r="E80" s="550"/>
      <c r="F80" s="551"/>
      <c r="G80" s="548"/>
      <c r="H80" s="549"/>
      <c r="I80" s="550"/>
      <c r="J80" s="551"/>
      <c r="K80" s="548"/>
      <c r="L80" s="549"/>
      <c r="M80" s="550"/>
      <c r="N80" s="551"/>
      <c r="O80" s="548"/>
      <c r="P80" s="549"/>
      <c r="Q80" s="550"/>
      <c r="R80" s="551"/>
      <c r="S80" s="548"/>
      <c r="T80" s="549"/>
      <c r="U80" s="550"/>
      <c r="V80" s="551"/>
      <c r="W80" s="552" t="str">
        <f t="shared" si="7"/>
        <v/>
      </c>
      <c r="X80" s="552"/>
      <c r="AC80" s="526"/>
    </row>
    <row r="81" spans="1:29" ht="13.5" hidden="1" thickBot="1" x14ac:dyDescent="0.25">
      <c r="A81" s="546"/>
      <c r="B81" s="547"/>
      <c r="C81" s="548"/>
      <c r="D81" s="549"/>
      <c r="E81" s="550"/>
      <c r="F81" s="551"/>
      <c r="G81" s="548"/>
      <c r="H81" s="549"/>
      <c r="I81" s="550"/>
      <c r="J81" s="551"/>
      <c r="K81" s="548"/>
      <c r="L81" s="549"/>
      <c r="M81" s="550"/>
      <c r="N81" s="551"/>
      <c r="O81" s="548"/>
      <c r="P81" s="549"/>
      <c r="Q81" s="550"/>
      <c r="R81" s="551"/>
      <c r="S81" s="548"/>
      <c r="T81" s="549"/>
      <c r="U81" s="550"/>
      <c r="V81" s="551"/>
      <c r="W81" s="552" t="str">
        <f t="shared" si="7"/>
        <v/>
      </c>
      <c r="X81" s="552"/>
      <c r="AC81" s="526"/>
    </row>
    <row r="82" spans="1:29" ht="13.5" hidden="1" thickBot="1" x14ac:dyDescent="0.25">
      <c r="A82" s="169"/>
      <c r="B82" s="554"/>
      <c r="C82" s="166"/>
      <c r="D82" s="163"/>
      <c r="E82" s="167"/>
      <c r="F82" s="168"/>
      <c r="G82" s="166"/>
      <c r="H82" s="163"/>
      <c r="I82" s="167"/>
      <c r="J82" s="168"/>
      <c r="K82" s="166"/>
      <c r="L82" s="163"/>
      <c r="M82" s="167"/>
      <c r="N82" s="168"/>
      <c r="O82" s="166"/>
      <c r="P82" s="163"/>
      <c r="Q82" s="167"/>
      <c r="R82" s="168"/>
      <c r="S82" s="166"/>
      <c r="T82" s="163"/>
      <c r="U82" s="167"/>
      <c r="V82" s="168"/>
      <c r="W82" s="150" t="str">
        <f t="shared" si="7"/>
        <v/>
      </c>
      <c r="X82" s="150"/>
      <c r="AC82" s="526"/>
    </row>
    <row r="83" spans="1:29" ht="13.5" hidden="1" thickBot="1" x14ac:dyDescent="0.25">
      <c r="A83" s="169"/>
      <c r="B83" s="259"/>
      <c r="C83" s="166"/>
      <c r="D83" s="163"/>
      <c r="E83" s="167"/>
      <c r="F83" s="168"/>
      <c r="G83" s="166"/>
      <c r="H83" s="163"/>
      <c r="I83" s="167"/>
      <c r="J83" s="168"/>
      <c r="K83" s="166"/>
      <c r="L83" s="163"/>
      <c r="M83" s="167"/>
      <c r="N83" s="168"/>
      <c r="O83" s="166"/>
      <c r="P83" s="163"/>
      <c r="Q83" s="167"/>
      <c r="R83" s="168"/>
      <c r="S83" s="166"/>
      <c r="T83" s="163"/>
      <c r="U83" s="167"/>
      <c r="V83" s="168"/>
      <c r="W83" s="150" t="str">
        <f t="shared" si="7"/>
        <v/>
      </c>
      <c r="X83" s="150"/>
      <c r="AC83" s="526"/>
    </row>
    <row r="84" spans="1:29" ht="13.5" hidden="1" thickBot="1" x14ac:dyDescent="0.25">
      <c r="A84" s="555"/>
      <c r="B84" s="199"/>
      <c r="C84" s="166"/>
      <c r="D84" s="163"/>
      <c r="E84" s="167"/>
      <c r="F84" s="168"/>
      <c r="G84" s="166"/>
      <c r="H84" s="163"/>
      <c r="I84" s="167"/>
      <c r="J84" s="168"/>
      <c r="K84" s="166"/>
      <c r="L84" s="163"/>
      <c r="M84" s="167"/>
      <c r="N84" s="168"/>
      <c r="O84" s="166"/>
      <c r="P84" s="163"/>
      <c r="Q84" s="167"/>
      <c r="R84" s="168"/>
      <c r="S84" s="166"/>
      <c r="T84" s="163"/>
      <c r="U84" s="167"/>
      <c r="V84" s="168"/>
      <c r="W84" s="150" t="str">
        <f t="shared" si="7"/>
        <v/>
      </c>
      <c r="X84" s="150"/>
    </row>
    <row r="85" spans="1:29" ht="13.5" hidden="1" thickBot="1" x14ac:dyDescent="0.25">
      <c r="A85" s="555"/>
      <c r="B85" s="199"/>
      <c r="C85" s="166"/>
      <c r="D85" s="163"/>
      <c r="E85" s="167"/>
      <c r="F85" s="168"/>
      <c r="G85" s="166"/>
      <c r="H85" s="163"/>
      <c r="I85" s="167"/>
      <c r="J85" s="168"/>
      <c r="K85" s="166"/>
      <c r="L85" s="163"/>
      <c r="M85" s="167"/>
      <c r="N85" s="168"/>
      <c r="O85" s="166"/>
      <c r="P85" s="163"/>
      <c r="Q85" s="167"/>
      <c r="R85" s="168"/>
      <c r="S85" s="166"/>
      <c r="T85" s="163"/>
      <c r="U85" s="167"/>
      <c r="V85" s="168"/>
      <c r="W85" s="150" t="str">
        <f t="shared" si="7"/>
        <v/>
      </c>
      <c r="X85" s="150"/>
    </row>
    <row r="86" spans="1:29" ht="13.5" hidden="1" thickBot="1" x14ac:dyDescent="0.25">
      <c r="A86" s="546"/>
      <c r="B86" s="547"/>
      <c r="C86" s="548"/>
      <c r="D86" s="549"/>
      <c r="E86" s="550"/>
      <c r="F86" s="551"/>
      <c r="G86" s="548"/>
      <c r="H86" s="549"/>
      <c r="I86" s="550"/>
      <c r="J86" s="551"/>
      <c r="K86" s="548"/>
      <c r="L86" s="549"/>
      <c r="M86" s="550"/>
      <c r="N86" s="551"/>
      <c r="O86" s="548"/>
      <c r="P86" s="549"/>
      <c r="Q86" s="550"/>
      <c r="R86" s="551"/>
      <c r="S86" s="548"/>
      <c r="T86" s="549"/>
      <c r="U86" s="550"/>
      <c r="V86" s="551"/>
      <c r="W86" s="552" t="str">
        <f t="shared" si="7"/>
        <v/>
      </c>
      <c r="X86" s="552"/>
      <c r="AC86" s="526"/>
    </row>
    <row r="87" spans="1:29" ht="13.5" hidden="1" thickBot="1" x14ac:dyDescent="0.25">
      <c r="A87" s="546"/>
      <c r="B87" s="547"/>
      <c r="C87" s="548"/>
      <c r="D87" s="549"/>
      <c r="E87" s="550"/>
      <c r="F87" s="551"/>
      <c r="G87" s="548"/>
      <c r="H87" s="549"/>
      <c r="I87" s="550"/>
      <c r="J87" s="551"/>
      <c r="K87" s="548"/>
      <c r="L87" s="549"/>
      <c r="M87" s="550"/>
      <c r="N87" s="551"/>
      <c r="O87" s="548"/>
      <c r="P87" s="549"/>
      <c r="Q87" s="550"/>
      <c r="R87" s="551"/>
      <c r="S87" s="548"/>
      <c r="T87" s="549"/>
      <c r="U87" s="550"/>
      <c r="V87" s="551"/>
      <c r="W87" s="552" t="str">
        <f t="shared" si="7"/>
        <v/>
      </c>
      <c r="X87" s="552"/>
      <c r="AC87" s="526"/>
    </row>
    <row r="88" spans="1:29" ht="13.5" hidden="1" thickBot="1" x14ac:dyDescent="0.25">
      <c r="A88" s="546"/>
      <c r="B88" s="553"/>
      <c r="C88" s="548"/>
      <c r="D88" s="549"/>
      <c r="E88" s="550"/>
      <c r="F88" s="551"/>
      <c r="G88" s="548"/>
      <c r="H88" s="549"/>
      <c r="I88" s="550"/>
      <c r="J88" s="551"/>
      <c r="K88" s="548"/>
      <c r="L88" s="549"/>
      <c r="M88" s="550"/>
      <c r="N88" s="551"/>
      <c r="O88" s="548"/>
      <c r="P88" s="549"/>
      <c r="Q88" s="550"/>
      <c r="R88" s="551"/>
      <c r="S88" s="548"/>
      <c r="T88" s="549"/>
      <c r="U88" s="550"/>
      <c r="V88" s="551"/>
      <c r="W88" s="552" t="str">
        <f t="shared" si="7"/>
        <v/>
      </c>
      <c r="X88" s="552"/>
      <c r="AC88" s="526"/>
    </row>
    <row r="89" spans="1:29" ht="13.5" hidden="1" thickBot="1" x14ac:dyDescent="0.25">
      <c r="A89" s="546"/>
      <c r="B89" s="547"/>
      <c r="C89" s="548"/>
      <c r="D89" s="549"/>
      <c r="E89" s="550"/>
      <c r="F89" s="551"/>
      <c r="G89" s="548"/>
      <c r="H89" s="549"/>
      <c r="I89" s="550"/>
      <c r="J89" s="551"/>
      <c r="K89" s="548"/>
      <c r="L89" s="549"/>
      <c r="M89" s="550"/>
      <c r="N89" s="551"/>
      <c r="O89" s="548"/>
      <c r="P89" s="549"/>
      <c r="Q89" s="550"/>
      <c r="R89" s="551"/>
      <c r="S89" s="548"/>
      <c r="T89" s="549"/>
      <c r="U89" s="550"/>
      <c r="V89" s="551"/>
      <c r="W89" s="552" t="str">
        <f t="shared" si="7"/>
        <v/>
      </c>
      <c r="X89" s="552"/>
      <c r="AC89" s="526"/>
    </row>
    <row r="90" spans="1:29" ht="13.5" hidden="1" thickBot="1" x14ac:dyDescent="0.25">
      <c r="A90" s="169"/>
      <c r="B90" s="554"/>
      <c r="C90" s="166"/>
      <c r="D90" s="163"/>
      <c r="E90" s="167"/>
      <c r="F90" s="168"/>
      <c r="G90" s="166"/>
      <c r="H90" s="163"/>
      <c r="I90" s="167"/>
      <c r="J90" s="168"/>
      <c r="K90" s="166"/>
      <c r="L90" s="163"/>
      <c r="M90" s="167"/>
      <c r="N90" s="168"/>
      <c r="O90" s="166"/>
      <c r="P90" s="163"/>
      <c r="Q90" s="167"/>
      <c r="R90" s="168"/>
      <c r="S90" s="166"/>
      <c r="T90" s="163"/>
      <c r="U90" s="167"/>
      <c r="V90" s="168"/>
      <c r="W90" s="150" t="str">
        <f t="shared" si="7"/>
        <v/>
      </c>
      <c r="X90" s="150"/>
      <c r="AC90" s="526"/>
    </row>
    <row r="91" spans="1:29" ht="13.5" hidden="1" thickBot="1" x14ac:dyDescent="0.25">
      <c r="A91" s="169"/>
      <c r="B91" s="259"/>
      <c r="C91" s="166"/>
      <c r="D91" s="163"/>
      <c r="E91" s="167"/>
      <c r="F91" s="168"/>
      <c r="G91" s="166"/>
      <c r="H91" s="163"/>
      <c r="I91" s="167"/>
      <c r="J91" s="168"/>
      <c r="K91" s="166"/>
      <c r="L91" s="163"/>
      <c r="M91" s="167"/>
      <c r="N91" s="168"/>
      <c r="O91" s="166"/>
      <c r="P91" s="163"/>
      <c r="Q91" s="167"/>
      <c r="R91" s="168"/>
      <c r="S91" s="166"/>
      <c r="T91" s="163"/>
      <c r="U91" s="167"/>
      <c r="V91" s="168"/>
      <c r="W91" s="150" t="str">
        <f t="shared" si="7"/>
        <v/>
      </c>
      <c r="X91" s="150"/>
      <c r="AC91" s="526"/>
    </row>
    <row r="92" spans="1:29" ht="13.5" hidden="1" thickBot="1" x14ac:dyDescent="0.25">
      <c r="A92" s="555"/>
      <c r="B92" s="199"/>
      <c r="C92" s="166"/>
      <c r="D92" s="163"/>
      <c r="E92" s="167"/>
      <c r="F92" s="168"/>
      <c r="G92" s="166"/>
      <c r="H92" s="163"/>
      <c r="I92" s="167"/>
      <c r="J92" s="168"/>
      <c r="K92" s="166"/>
      <c r="L92" s="163"/>
      <c r="M92" s="167"/>
      <c r="N92" s="168"/>
      <c r="O92" s="166"/>
      <c r="P92" s="163"/>
      <c r="Q92" s="167"/>
      <c r="R92" s="168"/>
      <c r="S92" s="166"/>
      <c r="T92" s="163"/>
      <c r="U92" s="167"/>
      <c r="V92" s="168"/>
      <c r="W92" s="150" t="str">
        <f t="shared" si="7"/>
        <v/>
      </c>
      <c r="X92" s="150"/>
    </row>
    <row r="93" spans="1:29" ht="13.5" hidden="1" thickBot="1" x14ac:dyDescent="0.25">
      <c r="A93" s="555"/>
      <c r="B93" s="199"/>
      <c r="C93" s="166"/>
      <c r="D93" s="163"/>
      <c r="E93" s="167"/>
      <c r="F93" s="168"/>
      <c r="G93" s="166"/>
      <c r="H93" s="163"/>
      <c r="I93" s="167"/>
      <c r="J93" s="168"/>
      <c r="K93" s="166"/>
      <c r="L93" s="163"/>
      <c r="M93" s="167"/>
      <c r="N93" s="168"/>
      <c r="O93" s="166"/>
      <c r="P93" s="163"/>
      <c r="Q93" s="167"/>
      <c r="R93" s="168"/>
      <c r="S93" s="166"/>
      <c r="T93" s="163"/>
      <c r="U93" s="167"/>
      <c r="V93" s="168"/>
      <c r="W93" s="150" t="str">
        <f t="shared" si="7"/>
        <v/>
      </c>
      <c r="X93" s="150"/>
    </row>
    <row r="94" spans="1:29" ht="13.5" hidden="1" thickBot="1" x14ac:dyDescent="0.25">
      <c r="A94" s="546"/>
      <c r="B94" s="553"/>
      <c r="C94" s="548"/>
      <c r="D94" s="549"/>
      <c r="E94" s="550"/>
      <c r="F94" s="551"/>
      <c r="G94" s="548"/>
      <c r="H94" s="549"/>
      <c r="I94" s="550"/>
      <c r="J94" s="551"/>
      <c r="K94" s="548"/>
      <c r="L94" s="549"/>
      <c r="M94" s="550"/>
      <c r="N94" s="551"/>
      <c r="O94" s="548"/>
      <c r="P94" s="549"/>
      <c r="Q94" s="550"/>
      <c r="R94" s="551"/>
      <c r="S94" s="548"/>
      <c r="T94" s="549"/>
      <c r="U94" s="550"/>
      <c r="V94" s="551"/>
      <c r="W94" s="552" t="str">
        <f t="shared" si="7"/>
        <v/>
      </c>
      <c r="X94" s="552"/>
    </row>
    <row r="95" spans="1:29" ht="13.5" hidden="1" thickBot="1" x14ac:dyDescent="0.25">
      <c r="A95" s="546"/>
      <c r="B95" s="553"/>
      <c r="C95" s="548"/>
      <c r="D95" s="549"/>
      <c r="E95" s="550"/>
      <c r="F95" s="551"/>
      <c r="G95" s="548"/>
      <c r="H95" s="549"/>
      <c r="I95" s="550"/>
      <c r="J95" s="551"/>
      <c r="K95" s="548"/>
      <c r="L95" s="549"/>
      <c r="M95" s="550"/>
      <c r="N95" s="551"/>
      <c r="O95" s="548"/>
      <c r="P95" s="549"/>
      <c r="Q95" s="550"/>
      <c r="R95" s="551"/>
      <c r="S95" s="548"/>
      <c r="T95" s="549"/>
      <c r="U95" s="550"/>
      <c r="V95" s="551"/>
      <c r="W95" s="552" t="str">
        <f t="shared" si="7"/>
        <v/>
      </c>
      <c r="X95" s="552"/>
    </row>
    <row r="96" spans="1:29" ht="13.5" hidden="1" thickBot="1" x14ac:dyDescent="0.25">
      <c r="A96" s="546"/>
      <c r="B96" s="547"/>
      <c r="C96" s="548"/>
      <c r="D96" s="549"/>
      <c r="E96" s="550"/>
      <c r="F96" s="551"/>
      <c r="G96" s="548"/>
      <c r="H96" s="549"/>
      <c r="I96" s="550"/>
      <c r="J96" s="551"/>
      <c r="K96" s="548"/>
      <c r="L96" s="549"/>
      <c r="M96" s="550"/>
      <c r="N96" s="551"/>
      <c r="O96" s="548"/>
      <c r="P96" s="549"/>
      <c r="Q96" s="550"/>
      <c r="R96" s="551"/>
      <c r="S96" s="548"/>
      <c r="T96" s="549"/>
      <c r="U96" s="550"/>
      <c r="V96" s="551"/>
      <c r="W96" s="552" t="str">
        <f t="shared" si="7"/>
        <v/>
      </c>
      <c r="X96" s="552"/>
    </row>
    <row r="97" spans="1:29" ht="13.5" hidden="1" thickBot="1" x14ac:dyDescent="0.25">
      <c r="A97" s="546"/>
      <c r="B97" s="556"/>
      <c r="C97" s="548"/>
      <c r="D97" s="549"/>
      <c r="E97" s="550"/>
      <c r="F97" s="551"/>
      <c r="G97" s="548"/>
      <c r="H97" s="549"/>
      <c r="I97" s="550"/>
      <c r="J97" s="551"/>
      <c r="K97" s="548"/>
      <c r="L97" s="549"/>
      <c r="M97" s="550"/>
      <c r="N97" s="551"/>
      <c r="O97" s="548"/>
      <c r="P97" s="549"/>
      <c r="Q97" s="550"/>
      <c r="R97" s="551"/>
      <c r="S97" s="548"/>
      <c r="T97" s="549"/>
      <c r="U97" s="550"/>
      <c r="V97" s="551"/>
      <c r="W97" s="552" t="str">
        <f t="shared" si="7"/>
        <v/>
      </c>
      <c r="X97" s="552"/>
    </row>
    <row r="98" spans="1:29" ht="13.5" hidden="1" thickBot="1" x14ac:dyDescent="0.25">
      <c r="A98" s="169"/>
      <c r="B98" s="554"/>
      <c r="C98" s="166"/>
      <c r="D98" s="163"/>
      <c r="E98" s="167"/>
      <c r="F98" s="168"/>
      <c r="G98" s="166"/>
      <c r="H98" s="163"/>
      <c r="I98" s="167"/>
      <c r="J98" s="168"/>
      <c r="K98" s="166"/>
      <c r="L98" s="163"/>
      <c r="M98" s="167"/>
      <c r="N98" s="168"/>
      <c r="O98" s="166"/>
      <c r="P98" s="163"/>
      <c r="Q98" s="167"/>
      <c r="R98" s="168"/>
      <c r="S98" s="166"/>
      <c r="T98" s="163"/>
      <c r="U98" s="167"/>
      <c r="V98" s="168"/>
      <c r="W98" s="150" t="str">
        <f t="shared" ref="W98:W121" si="8">IF(COUNTA(C98:V98)=0,"",SUM(C98:V98)+COUNTIF(C98:V98,5)/100+COUNTIF(C98:V98,3)/10000)</f>
        <v/>
      </c>
      <c r="X98" s="150"/>
      <c r="AC98" s="526"/>
    </row>
    <row r="99" spans="1:29" ht="13.5" hidden="1" thickBot="1" x14ac:dyDescent="0.25">
      <c r="A99" s="169"/>
      <c r="B99" s="259"/>
      <c r="C99" s="166"/>
      <c r="D99" s="163"/>
      <c r="E99" s="167"/>
      <c r="F99" s="168"/>
      <c r="G99" s="166"/>
      <c r="H99" s="163"/>
      <c r="I99" s="167"/>
      <c r="J99" s="168"/>
      <c r="K99" s="166"/>
      <c r="L99" s="163"/>
      <c r="M99" s="167"/>
      <c r="N99" s="168"/>
      <c r="O99" s="166"/>
      <c r="P99" s="163"/>
      <c r="Q99" s="167"/>
      <c r="R99" s="168"/>
      <c r="S99" s="166"/>
      <c r="T99" s="163"/>
      <c r="U99" s="167"/>
      <c r="V99" s="168"/>
      <c r="W99" s="150" t="str">
        <f t="shared" si="8"/>
        <v/>
      </c>
      <c r="X99" s="150"/>
      <c r="AC99" s="526"/>
    </row>
    <row r="100" spans="1:29" ht="13.5" hidden="1" thickBot="1" x14ac:dyDescent="0.25">
      <c r="A100" s="555"/>
      <c r="B100" s="199"/>
      <c r="C100" s="166"/>
      <c r="D100" s="163"/>
      <c r="E100" s="167"/>
      <c r="F100" s="168"/>
      <c r="G100" s="166"/>
      <c r="H100" s="163"/>
      <c r="I100" s="167"/>
      <c r="J100" s="168"/>
      <c r="K100" s="166"/>
      <c r="L100" s="163"/>
      <c r="M100" s="167"/>
      <c r="N100" s="168"/>
      <c r="O100" s="166"/>
      <c r="P100" s="163"/>
      <c r="Q100" s="167"/>
      <c r="R100" s="168"/>
      <c r="S100" s="166"/>
      <c r="T100" s="163"/>
      <c r="U100" s="167"/>
      <c r="V100" s="168"/>
      <c r="W100" s="150" t="str">
        <f t="shared" si="8"/>
        <v/>
      </c>
      <c r="X100" s="150"/>
    </row>
    <row r="101" spans="1:29" ht="13.5" hidden="1" thickBot="1" x14ac:dyDescent="0.25">
      <c r="A101" s="557"/>
      <c r="B101" s="558"/>
      <c r="C101" s="559"/>
      <c r="D101" s="190"/>
      <c r="E101" s="560"/>
      <c r="F101" s="561"/>
      <c r="G101" s="559"/>
      <c r="H101" s="190"/>
      <c r="I101" s="560"/>
      <c r="J101" s="561"/>
      <c r="K101" s="559"/>
      <c r="L101" s="190"/>
      <c r="M101" s="560"/>
      <c r="N101" s="561"/>
      <c r="O101" s="559"/>
      <c r="P101" s="190"/>
      <c r="Q101" s="560"/>
      <c r="R101" s="561"/>
      <c r="S101" s="559"/>
      <c r="T101" s="190"/>
      <c r="U101" s="560"/>
      <c r="V101" s="561"/>
      <c r="W101" s="159" t="str">
        <f t="shared" si="8"/>
        <v/>
      </c>
      <c r="X101" s="159"/>
    </row>
    <row r="102" spans="1:29" ht="13.5" thickBot="1" x14ac:dyDescent="0.25">
      <c r="A102" s="544"/>
      <c r="B102" s="246" t="s">
        <v>214</v>
      </c>
      <c r="C102" s="247"/>
      <c r="D102" s="248"/>
      <c r="E102" s="248"/>
      <c r="F102" s="249"/>
      <c r="G102" s="247"/>
      <c r="H102" s="248"/>
      <c r="I102" s="248"/>
      <c r="J102" s="249"/>
      <c r="K102" s="247"/>
      <c r="L102" s="248"/>
      <c r="M102" s="248"/>
      <c r="N102" s="249"/>
      <c r="O102" s="247"/>
      <c r="P102" s="248"/>
      <c r="Q102" s="248"/>
      <c r="R102" s="249"/>
      <c r="S102" s="247"/>
      <c r="T102" s="248"/>
      <c r="U102" s="248"/>
      <c r="V102" s="249"/>
      <c r="W102" s="579" t="str">
        <f t="shared" si="8"/>
        <v/>
      </c>
      <c r="X102" s="250"/>
      <c r="Y102" s="511"/>
      <c r="Z102" s="148"/>
      <c r="AA102" s="149" t="s">
        <v>215</v>
      </c>
      <c r="AB102" s="149" t="s">
        <v>216</v>
      </c>
    </row>
    <row r="103" spans="1:29" ht="14.25" thickTop="1" thickBot="1" x14ac:dyDescent="0.25">
      <c r="A103" s="556">
        <v>1</v>
      </c>
      <c r="B103" s="580" t="s">
        <v>166</v>
      </c>
      <c r="C103" s="581">
        <v>3</v>
      </c>
      <c r="D103" s="582">
        <v>3</v>
      </c>
      <c r="E103" s="582">
        <v>3</v>
      </c>
      <c r="F103" s="583">
        <v>0</v>
      </c>
      <c r="G103" s="581">
        <v>0</v>
      </c>
      <c r="H103" s="582">
        <v>0</v>
      </c>
      <c r="I103" s="582">
        <v>0</v>
      </c>
      <c r="J103" s="583">
        <v>0</v>
      </c>
      <c r="K103" s="581">
        <v>1</v>
      </c>
      <c r="L103" s="582">
        <v>1</v>
      </c>
      <c r="M103" s="582">
        <v>1</v>
      </c>
      <c r="N103" s="583">
        <v>0</v>
      </c>
      <c r="O103" s="581">
        <v>0</v>
      </c>
      <c r="P103" s="729">
        <v>5</v>
      </c>
      <c r="Q103" s="582">
        <v>0</v>
      </c>
      <c r="R103" s="583">
        <v>0</v>
      </c>
      <c r="S103" s="581">
        <v>0</v>
      </c>
      <c r="T103" s="582">
        <v>0</v>
      </c>
      <c r="U103" s="582">
        <v>0</v>
      </c>
      <c r="V103" s="583">
        <v>0</v>
      </c>
      <c r="W103" s="584">
        <f t="shared" si="8"/>
        <v>17.010300000000001</v>
      </c>
      <c r="X103" s="585" t="str">
        <f>IF(ISBLANK(C103),"",IF(W103=W104,"edasi "&amp;RANK(W103,$AB$103:$AB$110),(IF(RANK(Z103,$Z$103:$Z$104)&lt;2,"edasi "&amp;RANK(W103,$AB$103:$AB$110),RANK(W103,$AA$103:$AA$110)+4))))</f>
        <v>edasi 3</v>
      </c>
      <c r="Z103" s="151">
        <f>IF(COUNTA(C103:V103)=0,100,W103+IF(RANK(W103,$W$103:$W$104)=1,100,0))</f>
        <v>117.0103</v>
      </c>
      <c r="AA103" s="149">
        <f>MIN(W103:W104)</f>
        <v>13.000400000000001</v>
      </c>
      <c r="AB103" s="149">
        <f>MAX(W103:W104)</f>
        <v>17.010300000000001</v>
      </c>
    </row>
    <row r="104" spans="1:29" ht="13.5" thickTop="1" x14ac:dyDescent="0.2">
      <c r="A104" s="556">
        <v>8</v>
      </c>
      <c r="B104" s="553" t="s">
        <v>41</v>
      </c>
      <c r="C104" s="581">
        <v>0</v>
      </c>
      <c r="D104" s="582">
        <v>3</v>
      </c>
      <c r="E104" s="582">
        <v>0</v>
      </c>
      <c r="F104" s="583">
        <v>0</v>
      </c>
      <c r="G104" s="581">
        <v>0</v>
      </c>
      <c r="H104" s="582">
        <v>0</v>
      </c>
      <c r="I104" s="582">
        <v>0</v>
      </c>
      <c r="J104" s="583">
        <v>3</v>
      </c>
      <c r="K104" s="581">
        <v>0</v>
      </c>
      <c r="L104" s="582">
        <v>1</v>
      </c>
      <c r="M104" s="582">
        <v>0</v>
      </c>
      <c r="N104" s="583">
        <v>3</v>
      </c>
      <c r="O104" s="581">
        <v>0</v>
      </c>
      <c r="P104" s="582">
        <v>0</v>
      </c>
      <c r="Q104" s="582">
        <v>0</v>
      </c>
      <c r="R104" s="583">
        <v>3</v>
      </c>
      <c r="S104" s="581">
        <v>0</v>
      </c>
      <c r="T104" s="582">
        <v>0</v>
      </c>
      <c r="U104" s="582">
        <v>0</v>
      </c>
      <c r="V104" s="583">
        <v>0</v>
      </c>
      <c r="W104" s="584">
        <f t="shared" si="8"/>
        <v>13.000400000000001</v>
      </c>
      <c r="X104" s="585">
        <f>IF(ISBLANK(C104),"",IF(RANK(Z104,$Z$103:$Z$104)&lt;2,"edasi "&amp;RANK(W104,$AB$103:$AB$110),RANK(W104,$AA$103:$AA$110)+4))</f>
        <v>7</v>
      </c>
      <c r="Z104" s="152">
        <f>IF(COUNTA(C104:V104)=0,0,W104+IF(RANK(W104,$W$103:$W$104)=1,100,0))</f>
        <v>13.000400000000001</v>
      </c>
      <c r="AA104" s="149"/>
      <c r="AB104" s="149"/>
    </row>
    <row r="105" spans="1:29" ht="13.5" thickBot="1" x14ac:dyDescent="0.25">
      <c r="A105" s="173">
        <v>4</v>
      </c>
      <c r="B105" s="193" t="s">
        <v>177</v>
      </c>
      <c r="C105" s="144">
        <v>3</v>
      </c>
      <c r="D105" s="145">
        <v>0</v>
      </c>
      <c r="E105" s="145">
        <v>0</v>
      </c>
      <c r="F105" s="146">
        <v>3</v>
      </c>
      <c r="G105" s="144">
        <v>0</v>
      </c>
      <c r="H105" s="145">
        <v>1</v>
      </c>
      <c r="I105" s="145">
        <v>0</v>
      </c>
      <c r="J105" s="146">
        <v>0</v>
      </c>
      <c r="K105" s="144">
        <v>0</v>
      </c>
      <c r="L105" s="145">
        <v>0</v>
      </c>
      <c r="M105" s="145">
        <v>1</v>
      </c>
      <c r="N105" s="146">
        <v>0</v>
      </c>
      <c r="O105" s="144">
        <v>0</v>
      </c>
      <c r="P105" s="145">
        <v>1</v>
      </c>
      <c r="Q105" s="145">
        <v>0</v>
      </c>
      <c r="R105" s="146">
        <v>0</v>
      </c>
      <c r="S105" s="144">
        <v>0</v>
      </c>
      <c r="T105" s="145">
        <v>0</v>
      </c>
      <c r="U105" s="145">
        <v>0</v>
      </c>
      <c r="V105" s="146">
        <v>0</v>
      </c>
      <c r="W105" s="584">
        <f t="shared" si="8"/>
        <v>9.0001999999999995</v>
      </c>
      <c r="X105" s="147">
        <f>IF(ISBLANK(C105),"",IF(RANK(Z105,$Z$105:$Z$106)&lt;2,"edasi "&amp;RANK(W105,$AB$103:$AB$110),RANK(W105,$AA$103:$AA$110)+4))</f>
        <v>8</v>
      </c>
      <c r="Z105" s="151">
        <f>IF(COUNTA(C105:V105)=0,100,W105+IF(RANK(W105,$W$105:$W$106)=1,100,0))</f>
        <v>9.0001999999999995</v>
      </c>
      <c r="AA105" s="149">
        <f>MIN(W105:W106)</f>
        <v>9.0001999999999995</v>
      </c>
      <c r="AB105" s="149">
        <f>MAX(W105:W106)</f>
        <v>16.010300000000001</v>
      </c>
    </row>
    <row r="106" spans="1:29" ht="14.25" thickTop="1" thickBot="1" x14ac:dyDescent="0.25">
      <c r="A106" s="173">
        <v>5</v>
      </c>
      <c r="B106" s="196" t="s">
        <v>45</v>
      </c>
      <c r="C106" s="144">
        <v>3</v>
      </c>
      <c r="D106" s="145">
        <v>0</v>
      </c>
      <c r="E106" s="145">
        <v>3</v>
      </c>
      <c r="F106" s="146">
        <v>0</v>
      </c>
      <c r="G106" s="144">
        <v>3</v>
      </c>
      <c r="H106" s="145">
        <v>0</v>
      </c>
      <c r="I106" s="145">
        <v>0</v>
      </c>
      <c r="J106" s="146">
        <v>1</v>
      </c>
      <c r="K106" s="144">
        <v>0</v>
      </c>
      <c r="L106" s="145">
        <v>1</v>
      </c>
      <c r="M106" s="145">
        <v>0</v>
      </c>
      <c r="N106" s="146">
        <v>0</v>
      </c>
      <c r="O106" s="144">
        <v>0</v>
      </c>
      <c r="P106" s="145">
        <v>0</v>
      </c>
      <c r="Q106" s="145">
        <v>0</v>
      </c>
      <c r="R106" s="146">
        <v>0</v>
      </c>
      <c r="S106" s="144">
        <v>0</v>
      </c>
      <c r="T106" s="730">
        <v>5</v>
      </c>
      <c r="U106" s="145">
        <v>0</v>
      </c>
      <c r="V106" s="146">
        <v>0</v>
      </c>
      <c r="W106" s="584">
        <f t="shared" si="8"/>
        <v>16.010300000000001</v>
      </c>
      <c r="X106" s="147" t="str">
        <f>IF(ISBLANK(C106),"",IF(RANK(Z106,$Z$105:$Z$106)&lt;2,"edasi "&amp;RANK(W106,$AB$103:$AB$110),RANK(W106,$AA$103:$AA$110)+4))</f>
        <v>edasi 4</v>
      </c>
      <c r="Z106" s="152">
        <f>IF(COUNTA(C106:V106)=0,0,W106+IF(RANK(W106,$W$105:$W$106)=1,100,0))</f>
        <v>116.0103</v>
      </c>
      <c r="AA106" s="149"/>
      <c r="AB106" s="149"/>
    </row>
    <row r="107" spans="1:29" ht="14.25" thickTop="1" thickBot="1" x14ac:dyDescent="0.25">
      <c r="A107" s="556">
        <v>3</v>
      </c>
      <c r="B107" s="588" t="s">
        <v>34</v>
      </c>
      <c r="C107" s="581">
        <v>3</v>
      </c>
      <c r="D107" s="582">
        <v>3</v>
      </c>
      <c r="E107" s="582">
        <v>1</v>
      </c>
      <c r="F107" s="583">
        <v>0</v>
      </c>
      <c r="G107" s="581">
        <v>0</v>
      </c>
      <c r="H107" s="582">
        <v>0</v>
      </c>
      <c r="I107" s="582">
        <v>0</v>
      </c>
      <c r="J107" s="583">
        <v>0</v>
      </c>
      <c r="K107" s="581">
        <v>3</v>
      </c>
      <c r="L107" s="582">
        <v>0</v>
      </c>
      <c r="M107" s="582">
        <v>1</v>
      </c>
      <c r="N107" s="583">
        <v>3</v>
      </c>
      <c r="O107" s="581">
        <v>3</v>
      </c>
      <c r="P107" s="582">
        <v>0</v>
      </c>
      <c r="Q107" s="582">
        <v>1</v>
      </c>
      <c r="R107" s="583">
        <v>0</v>
      </c>
      <c r="S107" s="581">
        <v>0</v>
      </c>
      <c r="T107" s="582">
        <v>0</v>
      </c>
      <c r="U107" s="729">
        <v>5</v>
      </c>
      <c r="V107" s="583">
        <v>0</v>
      </c>
      <c r="W107" s="584">
        <f t="shared" si="8"/>
        <v>23.0105</v>
      </c>
      <c r="X107" s="585">
        <f>IF(ISBLANK(C107),"",IF(RANK(Z107,$Z$107:$Z$108)&lt;2,"edasi "&amp;RANK(W107,$AB$103:$AB$110),RANK(W107,$AA$103:$AA$110)+4))</f>
        <v>5</v>
      </c>
      <c r="Z107" s="151">
        <f>IF(COUNTA(C107:V107)=0,100,W107+IF(RANK(W107,$W$107:$W$108)=1,100,0))</f>
        <v>23.0105</v>
      </c>
      <c r="AA107" s="149">
        <f>MIN(W107:W108)</f>
        <v>23.0105</v>
      </c>
      <c r="AB107" s="149">
        <f>MAX(W107:W108)</f>
        <v>24.020399999999999</v>
      </c>
    </row>
    <row r="108" spans="1:29" ht="14.25" thickTop="1" thickBot="1" x14ac:dyDescent="0.25">
      <c r="A108" s="556">
        <v>6</v>
      </c>
      <c r="B108" s="588" t="s">
        <v>38</v>
      </c>
      <c r="C108" s="581">
        <v>3</v>
      </c>
      <c r="D108" s="582">
        <v>0</v>
      </c>
      <c r="E108" s="582">
        <v>0</v>
      </c>
      <c r="F108" s="583">
        <v>0</v>
      </c>
      <c r="G108" s="581">
        <v>1</v>
      </c>
      <c r="H108" s="582">
        <v>3</v>
      </c>
      <c r="I108" s="582">
        <v>1</v>
      </c>
      <c r="J108" s="583">
        <v>0</v>
      </c>
      <c r="K108" s="581">
        <v>0</v>
      </c>
      <c r="L108" s="582">
        <v>0</v>
      </c>
      <c r="M108" s="582">
        <v>0</v>
      </c>
      <c r="N108" s="583">
        <v>3</v>
      </c>
      <c r="O108" s="581">
        <v>0</v>
      </c>
      <c r="P108" s="582">
        <v>0</v>
      </c>
      <c r="Q108" s="582">
        <v>3</v>
      </c>
      <c r="R108" s="583">
        <v>0</v>
      </c>
      <c r="S108" s="729">
        <v>5</v>
      </c>
      <c r="T108" s="582">
        <v>0</v>
      </c>
      <c r="U108" s="582">
        <v>0</v>
      </c>
      <c r="V108" s="729">
        <v>5</v>
      </c>
      <c r="W108" s="584">
        <f t="shared" si="8"/>
        <v>24.020399999999999</v>
      </c>
      <c r="X108" s="585" t="str">
        <f>IF(ISBLANK(C108),"",IF(RANK(Z108,$Z$107:$Z$108)&lt;2,"edasi "&amp;RANK(W108,$AB$103:$AB$110),RANK(W108,$AA$103:$AA$110)+4))</f>
        <v>edasi 1</v>
      </c>
      <c r="Z108" s="152">
        <f>IF(COUNTA(C108:V108)=0,0,W108+IF(RANK(W108,$W$107:$W$108)=1,100,0))</f>
        <v>124.0204</v>
      </c>
      <c r="AA108" s="149"/>
      <c r="AB108" s="149"/>
    </row>
    <row r="109" spans="1:29" ht="14.25" thickTop="1" thickBot="1" x14ac:dyDescent="0.25">
      <c r="A109" s="173">
        <v>2</v>
      </c>
      <c r="B109" s="193" t="s">
        <v>64</v>
      </c>
      <c r="C109" s="144">
        <v>3</v>
      </c>
      <c r="D109" s="145">
        <v>1</v>
      </c>
      <c r="E109" s="145">
        <v>1</v>
      </c>
      <c r="F109" s="622">
        <v>3</v>
      </c>
      <c r="G109" s="144">
        <v>0</v>
      </c>
      <c r="H109" s="145">
        <v>0</v>
      </c>
      <c r="I109" s="145">
        <v>0</v>
      </c>
      <c r="J109" s="622">
        <v>0</v>
      </c>
      <c r="K109" s="144">
        <v>1</v>
      </c>
      <c r="L109" s="145">
        <v>3</v>
      </c>
      <c r="M109" s="145">
        <v>0</v>
      </c>
      <c r="N109" s="622">
        <v>0</v>
      </c>
      <c r="O109" s="730">
        <v>5</v>
      </c>
      <c r="P109" s="145">
        <v>0</v>
      </c>
      <c r="Q109" s="145">
        <v>0</v>
      </c>
      <c r="R109" s="622">
        <v>0</v>
      </c>
      <c r="S109" s="144">
        <v>0</v>
      </c>
      <c r="T109" s="145">
        <v>0</v>
      </c>
      <c r="U109" s="145">
        <v>0</v>
      </c>
      <c r="V109" s="622">
        <v>3</v>
      </c>
      <c r="W109" s="584">
        <f t="shared" si="8"/>
        <v>20.010400000000001</v>
      </c>
      <c r="X109" s="147">
        <f>IF(ISBLANK(C109),"",IF(RANK(Z109,$Z$109:$Z$110)&lt;2,"edasi "&amp;RANK(W109,$AB$103:$AB$110),RANK(W109,$AA$103:$AA$110)+4))</f>
        <v>6</v>
      </c>
      <c r="Z109" s="151">
        <f>IF(COUNTA(C109:V109)=0,100,W109+IF(RANK(W109,$W$109:$W$110)=1,100,0))</f>
        <v>20.010400000000001</v>
      </c>
      <c r="AA109" s="149">
        <f>MIN(W109:W110)</f>
        <v>20.010400000000001</v>
      </c>
      <c r="AB109" s="149">
        <f>MAX(W109:W110)</f>
        <v>22.0105</v>
      </c>
    </row>
    <row r="110" spans="1:29" ht="14.25" thickTop="1" thickBot="1" x14ac:dyDescent="0.25">
      <c r="A110" s="177">
        <v>7</v>
      </c>
      <c r="B110" s="598" t="s">
        <v>35</v>
      </c>
      <c r="C110" s="156">
        <v>0</v>
      </c>
      <c r="D110" s="157">
        <v>1</v>
      </c>
      <c r="E110" s="157">
        <v>3</v>
      </c>
      <c r="F110" s="623">
        <v>3</v>
      </c>
      <c r="G110" s="156">
        <v>0</v>
      </c>
      <c r="H110" s="157">
        <v>0</v>
      </c>
      <c r="I110" s="157">
        <v>3</v>
      </c>
      <c r="J110" s="623">
        <v>0</v>
      </c>
      <c r="K110" s="156">
        <v>1</v>
      </c>
      <c r="L110" s="157">
        <v>3</v>
      </c>
      <c r="M110" s="157">
        <v>0</v>
      </c>
      <c r="N110" s="730">
        <v>5</v>
      </c>
      <c r="O110" s="156">
        <v>3</v>
      </c>
      <c r="P110" s="157">
        <v>0</v>
      </c>
      <c r="Q110" s="157">
        <v>0</v>
      </c>
      <c r="R110" s="623">
        <v>0</v>
      </c>
      <c r="S110" s="156">
        <v>0</v>
      </c>
      <c r="T110" s="157">
        <v>0</v>
      </c>
      <c r="U110" s="157">
        <v>0</v>
      </c>
      <c r="V110" s="623">
        <v>0</v>
      </c>
      <c r="W110" s="591">
        <f t="shared" si="8"/>
        <v>22.0105</v>
      </c>
      <c r="X110" s="592" t="str">
        <f>IF(ISBLANK(C110),"",IF(RANK(Z110,$Z$109:$Z$110)&lt;2,"edasi "&amp;RANK(W110,$AB$103:$AB$110),RANK(W110,$AA$103:$AA$110)+4))</f>
        <v>edasi 2</v>
      </c>
      <c r="Z110" s="152">
        <f>IF(COUNTA(C110:V110)=0,0,W110+IF(RANK(W110,$W$109:$W$110)=1,100,0))</f>
        <v>122.01050000000001</v>
      </c>
      <c r="AA110" s="149"/>
      <c r="AB110" s="149"/>
    </row>
    <row r="111" spans="1:29" ht="13.5" thickBot="1" x14ac:dyDescent="0.25">
      <c r="A111" s="544"/>
      <c r="B111" s="246" t="s">
        <v>217</v>
      </c>
      <c r="C111" s="247"/>
      <c r="D111" s="248"/>
      <c r="E111" s="248"/>
      <c r="F111" s="249"/>
      <c r="G111" s="247"/>
      <c r="H111" s="248"/>
      <c r="I111" s="248"/>
      <c r="J111" s="249"/>
      <c r="K111" s="247"/>
      <c r="L111" s="248"/>
      <c r="M111" s="248"/>
      <c r="N111" s="249"/>
      <c r="O111" s="247"/>
      <c r="P111" s="248"/>
      <c r="Q111" s="248"/>
      <c r="R111" s="249"/>
      <c r="S111" s="247"/>
      <c r="T111" s="248"/>
      <c r="U111" s="248"/>
      <c r="V111" s="249"/>
      <c r="W111" s="579" t="str">
        <f t="shared" si="8"/>
        <v/>
      </c>
      <c r="X111" s="250"/>
    </row>
    <row r="112" spans="1:29" ht="14.25" thickTop="1" thickBot="1" x14ac:dyDescent="0.25">
      <c r="A112" s="556">
        <v>1</v>
      </c>
      <c r="B112" s="588" t="s">
        <v>38</v>
      </c>
      <c r="C112" s="581">
        <v>3</v>
      </c>
      <c r="D112" s="729">
        <v>5</v>
      </c>
      <c r="E112" s="582">
        <v>0</v>
      </c>
      <c r="F112" s="583">
        <v>0</v>
      </c>
      <c r="G112" s="581">
        <v>0</v>
      </c>
      <c r="H112" s="582">
        <v>0</v>
      </c>
      <c r="I112" s="582">
        <v>3</v>
      </c>
      <c r="J112" s="583">
        <v>0</v>
      </c>
      <c r="K112" s="581">
        <v>1</v>
      </c>
      <c r="L112" s="582">
        <v>1</v>
      </c>
      <c r="M112" s="582">
        <v>0</v>
      </c>
      <c r="N112" s="583">
        <v>0</v>
      </c>
      <c r="O112" s="581">
        <v>0</v>
      </c>
      <c r="P112" s="582">
        <v>0</v>
      </c>
      <c r="Q112" s="582">
        <v>0</v>
      </c>
      <c r="R112" s="583">
        <v>0</v>
      </c>
      <c r="S112" s="729">
        <v>5</v>
      </c>
      <c r="T112" s="582">
        <v>0</v>
      </c>
      <c r="U112" s="582">
        <v>0</v>
      </c>
      <c r="V112" s="583">
        <v>3</v>
      </c>
      <c r="W112" s="584">
        <f t="shared" si="8"/>
        <v>21.020299999999999</v>
      </c>
      <c r="X112" s="585" t="str">
        <f>IF(COUNTA(C112:V112)=0,"",IF(W112=W113,"ümbervisk",IF(W112&gt;W113,"finaali "&amp;(IF(W112&lt;MAX(W114:W115),2,IF(W112=MAX(W114:W115),"",1))),"pronksi "&amp;(IF(W112&lt;MIN(W114:W115),2,IF(W112=MIN(W114:W115),"",1))))))</f>
        <v>finaali 1</v>
      </c>
    </row>
    <row r="113" spans="1:27" ht="13.5" thickTop="1" x14ac:dyDescent="0.2">
      <c r="A113" s="556">
        <v>4</v>
      </c>
      <c r="B113" s="553" t="s">
        <v>45</v>
      </c>
      <c r="C113" s="581">
        <v>0</v>
      </c>
      <c r="D113" s="582">
        <v>3</v>
      </c>
      <c r="E113" s="582">
        <v>0</v>
      </c>
      <c r="F113" s="583">
        <v>0</v>
      </c>
      <c r="G113" s="581">
        <v>0</v>
      </c>
      <c r="H113" s="582">
        <v>0</v>
      </c>
      <c r="I113" s="582">
        <v>0</v>
      </c>
      <c r="J113" s="583">
        <v>0</v>
      </c>
      <c r="K113" s="581">
        <v>0</v>
      </c>
      <c r="L113" s="582">
        <v>3</v>
      </c>
      <c r="M113" s="582">
        <v>1</v>
      </c>
      <c r="N113" s="583">
        <v>0</v>
      </c>
      <c r="O113" s="581">
        <v>0</v>
      </c>
      <c r="P113" s="582">
        <v>0</v>
      </c>
      <c r="Q113" s="582">
        <v>0</v>
      </c>
      <c r="R113" s="583">
        <v>0</v>
      </c>
      <c r="S113" s="581">
        <v>0</v>
      </c>
      <c r="T113" s="582">
        <v>0</v>
      </c>
      <c r="U113" s="582">
        <v>0</v>
      </c>
      <c r="V113" s="583">
        <v>0</v>
      </c>
      <c r="W113" s="584">
        <f t="shared" si="8"/>
        <v>7.0002000000000004</v>
      </c>
      <c r="X113" s="585" t="str">
        <f>IF(COUNTA(C113:V113)=0,"",IF(W112=W113,"ümbervisk",IF(W113&gt;W112,"finaali "&amp;(IF(W113&lt;MAX(W114:W115),2,IF(W113=MAX(W114:W115),"",1))),"pronksi "&amp;(IF(W113&lt;MIN(W114:W115),2,IF(W113=MIN(W114:W115),"",1))))))</f>
        <v xml:space="preserve">pronksi </v>
      </c>
    </row>
    <row r="114" spans="1:27" x14ac:dyDescent="0.2">
      <c r="A114" s="173">
        <v>2</v>
      </c>
      <c r="B114" s="193" t="s">
        <v>35</v>
      </c>
      <c r="C114" s="144">
        <v>0</v>
      </c>
      <c r="D114" s="145">
        <v>1</v>
      </c>
      <c r="E114" s="145">
        <v>0</v>
      </c>
      <c r="F114" s="622">
        <v>0</v>
      </c>
      <c r="G114" s="144">
        <v>3</v>
      </c>
      <c r="H114" s="145">
        <v>3</v>
      </c>
      <c r="I114" s="145">
        <v>0</v>
      </c>
      <c r="J114" s="622">
        <v>0</v>
      </c>
      <c r="K114" s="144">
        <v>0</v>
      </c>
      <c r="L114" s="145">
        <v>0</v>
      </c>
      <c r="M114" s="145">
        <v>0</v>
      </c>
      <c r="N114" s="622">
        <v>0</v>
      </c>
      <c r="O114" s="144">
        <v>0</v>
      </c>
      <c r="P114" s="145">
        <v>0</v>
      </c>
      <c r="Q114" s="145">
        <v>0</v>
      </c>
      <c r="R114" s="622">
        <v>0</v>
      </c>
      <c r="S114" s="144">
        <v>0</v>
      </c>
      <c r="T114" s="145">
        <v>0</v>
      </c>
      <c r="U114" s="145">
        <v>0</v>
      </c>
      <c r="V114" s="622">
        <v>0</v>
      </c>
      <c r="W114" s="584">
        <f t="shared" si="8"/>
        <v>7.0002000000000004</v>
      </c>
      <c r="X114" s="147" t="str">
        <f>IF(COUNTA(C114:V114)=0,"",IF(W114=W115,"ümbervisk",IF(W114&gt;W115,"finaali "&amp;(IF(W114&lt;MAX(W112:W113),2,IF(W114=MAX(W112:W113),"",1))),"pronksi "&amp;(IF(W114&lt;MIN(W112:W113),2,IF(W114=MIN(W112:W113),"",1))))))</f>
        <v xml:space="preserve">pronksi </v>
      </c>
    </row>
    <row r="115" spans="1:27" ht="13.5" thickBot="1" x14ac:dyDescent="0.25">
      <c r="A115" s="177">
        <v>3</v>
      </c>
      <c r="B115" s="598" t="s">
        <v>166</v>
      </c>
      <c r="C115" s="156">
        <v>3</v>
      </c>
      <c r="D115" s="157">
        <v>0</v>
      </c>
      <c r="E115" s="157">
        <v>3</v>
      </c>
      <c r="F115" s="623">
        <v>0</v>
      </c>
      <c r="G115" s="156">
        <v>0</v>
      </c>
      <c r="H115" s="157">
        <v>1</v>
      </c>
      <c r="I115" s="157">
        <v>0</v>
      </c>
      <c r="J115" s="623">
        <v>0</v>
      </c>
      <c r="K115" s="156">
        <v>1</v>
      </c>
      <c r="L115" s="157">
        <v>0</v>
      </c>
      <c r="M115" s="157">
        <v>1</v>
      </c>
      <c r="N115" s="623">
        <v>0</v>
      </c>
      <c r="O115" s="156">
        <v>0</v>
      </c>
      <c r="P115" s="157">
        <v>3</v>
      </c>
      <c r="Q115" s="157">
        <v>3</v>
      </c>
      <c r="R115" s="623">
        <v>0</v>
      </c>
      <c r="S115" s="156">
        <v>0</v>
      </c>
      <c r="T115" s="157">
        <v>0</v>
      </c>
      <c r="U115" s="157">
        <v>0</v>
      </c>
      <c r="V115" s="623">
        <v>0</v>
      </c>
      <c r="W115" s="591">
        <f t="shared" si="8"/>
        <v>15.000400000000001</v>
      </c>
      <c r="X115" s="592" t="str">
        <f>IF(COUNTA(C115:V115)=0,"",IF(W114=W115,"ümbervisk",IF(W115&gt;W114,"finaali "&amp;(IF(W115&lt;MAX(W112:W113),2,IF(W115=MAX(W112:W113),"",1))),"pronksi "&amp;(IF(W115&lt;MIN(W112:W113),2,IF(W115=MIN(W112:W113),"",1))))))</f>
        <v>finaali 2</v>
      </c>
    </row>
    <row r="116" spans="1:27" x14ac:dyDescent="0.2">
      <c r="A116" s="544"/>
      <c r="B116" s="597" t="s">
        <v>218</v>
      </c>
      <c r="C116" s="247"/>
      <c r="D116" s="248"/>
      <c r="E116" s="248"/>
      <c r="F116" s="249"/>
      <c r="G116" s="247"/>
      <c r="H116" s="248"/>
      <c r="I116" s="248"/>
      <c r="J116" s="249"/>
      <c r="K116" s="247"/>
      <c r="L116" s="248"/>
      <c r="M116" s="248"/>
      <c r="N116" s="249"/>
      <c r="O116" s="247"/>
      <c r="P116" s="248"/>
      <c r="Q116" s="248"/>
      <c r="R116" s="249"/>
      <c r="S116" s="247"/>
      <c r="T116" s="248"/>
      <c r="U116" s="248"/>
      <c r="V116" s="249"/>
      <c r="W116" s="579" t="str">
        <f t="shared" si="8"/>
        <v/>
      </c>
      <c r="X116" s="250"/>
    </row>
    <row r="117" spans="1:27" ht="13.5" thickBot="1" x14ac:dyDescent="0.25">
      <c r="A117" s="173"/>
      <c r="B117" s="195" t="s">
        <v>45</v>
      </c>
      <c r="C117" s="144">
        <v>0</v>
      </c>
      <c r="D117" s="145">
        <v>0</v>
      </c>
      <c r="E117" s="145">
        <v>0</v>
      </c>
      <c r="F117" s="622">
        <v>0</v>
      </c>
      <c r="G117" s="144">
        <v>0</v>
      </c>
      <c r="H117" s="145">
        <v>3</v>
      </c>
      <c r="I117" s="145">
        <v>0</v>
      </c>
      <c r="J117" s="622">
        <v>0</v>
      </c>
      <c r="K117" s="144">
        <v>1</v>
      </c>
      <c r="L117" s="145">
        <v>0</v>
      </c>
      <c r="M117" s="145">
        <v>1</v>
      </c>
      <c r="N117" s="622">
        <v>3</v>
      </c>
      <c r="O117" s="144">
        <v>0</v>
      </c>
      <c r="P117" s="145">
        <v>0</v>
      </c>
      <c r="Q117" s="145">
        <v>0</v>
      </c>
      <c r="R117" s="622">
        <v>0</v>
      </c>
      <c r="S117" s="144">
        <v>0</v>
      </c>
      <c r="T117" s="145">
        <v>0</v>
      </c>
      <c r="U117" s="145">
        <v>0</v>
      </c>
      <c r="V117" s="622">
        <v>0</v>
      </c>
      <c r="W117" s="584">
        <f t="shared" si="8"/>
        <v>8.0001999999999995</v>
      </c>
      <c r="X117" s="155">
        <f ca="1">IF( INDIRECT("RC[-1]",0)=MAX(( INDIRECT("R[-1]C[-1]",0)):( INDIRECT("R[1]C[-1]",0))),3,4)</f>
        <v>4</v>
      </c>
    </row>
    <row r="118" spans="1:27" ht="14.25" thickTop="1" thickBot="1" x14ac:dyDescent="0.25">
      <c r="A118" s="177"/>
      <c r="B118" s="598" t="s">
        <v>35</v>
      </c>
      <c r="C118" s="156">
        <v>0</v>
      </c>
      <c r="D118" s="157">
        <v>0</v>
      </c>
      <c r="E118" s="157">
        <v>0</v>
      </c>
      <c r="F118" s="623">
        <v>3</v>
      </c>
      <c r="G118" s="156">
        <v>3</v>
      </c>
      <c r="H118" s="157">
        <v>3</v>
      </c>
      <c r="I118" s="157">
        <v>0</v>
      </c>
      <c r="J118" s="623">
        <v>3</v>
      </c>
      <c r="K118" s="156">
        <v>3</v>
      </c>
      <c r="L118" s="157">
        <v>3</v>
      </c>
      <c r="M118" s="157">
        <v>3</v>
      </c>
      <c r="N118" s="623">
        <v>0</v>
      </c>
      <c r="O118" s="156">
        <v>0</v>
      </c>
      <c r="P118" s="157">
        <v>3</v>
      </c>
      <c r="Q118" s="157">
        <v>0</v>
      </c>
      <c r="R118" s="623">
        <v>0</v>
      </c>
      <c r="S118" s="156">
        <v>0</v>
      </c>
      <c r="T118" s="157">
        <v>0</v>
      </c>
      <c r="U118" s="730">
        <v>5</v>
      </c>
      <c r="V118" s="623">
        <v>0</v>
      </c>
      <c r="W118" s="591">
        <f t="shared" si="8"/>
        <v>29.010800000000003</v>
      </c>
      <c r="X118" s="160">
        <f ca="1">IF( INDIRECT("RC[-1]",0)=MAX(( INDIRECT("R[-1]C[-1]",0)):( INDIRECT("R[1]C[-1]",0))),3,4)</f>
        <v>3</v>
      </c>
    </row>
    <row r="119" spans="1:27" ht="13.5" thickBot="1" x14ac:dyDescent="0.25">
      <c r="A119" s="544"/>
      <c r="B119" s="597" t="s">
        <v>219</v>
      </c>
      <c r="C119" s="619"/>
      <c r="D119" s="620"/>
      <c r="E119" s="620"/>
      <c r="F119" s="621"/>
      <c r="G119" s="247"/>
      <c r="H119" s="248"/>
      <c r="I119" s="248"/>
      <c r="J119" s="249"/>
      <c r="K119" s="247"/>
      <c r="L119" s="248"/>
      <c r="M119" s="248"/>
      <c r="N119" s="249"/>
      <c r="O119" s="247"/>
      <c r="P119" s="248"/>
      <c r="Q119" s="248"/>
      <c r="R119" s="249"/>
      <c r="S119" s="247"/>
      <c r="T119" s="248"/>
      <c r="U119" s="248"/>
      <c r="V119" s="249"/>
      <c r="W119" s="579" t="str">
        <f t="shared" si="8"/>
        <v/>
      </c>
      <c r="X119" s="250"/>
    </row>
    <row r="120" spans="1:27" ht="14.25" thickTop="1" thickBot="1" x14ac:dyDescent="0.25">
      <c r="A120" s="173"/>
      <c r="B120" s="617" t="s">
        <v>38</v>
      </c>
      <c r="C120" s="144">
        <v>3</v>
      </c>
      <c r="D120" s="145">
        <v>3</v>
      </c>
      <c r="E120" s="145">
        <v>0</v>
      </c>
      <c r="F120" s="622">
        <v>0</v>
      </c>
      <c r="G120" s="144">
        <v>0</v>
      </c>
      <c r="H120" s="145">
        <v>3</v>
      </c>
      <c r="I120" s="145">
        <v>0</v>
      </c>
      <c r="J120" s="622">
        <v>0</v>
      </c>
      <c r="K120" s="144">
        <v>1</v>
      </c>
      <c r="L120" s="145">
        <v>0</v>
      </c>
      <c r="M120" s="145">
        <v>1</v>
      </c>
      <c r="N120" s="622">
        <v>0</v>
      </c>
      <c r="O120" s="144">
        <v>1</v>
      </c>
      <c r="P120" s="145">
        <v>0</v>
      </c>
      <c r="Q120" s="145">
        <v>0</v>
      </c>
      <c r="R120" s="622">
        <v>1</v>
      </c>
      <c r="S120" s="730">
        <v>5</v>
      </c>
      <c r="T120" s="145">
        <v>0</v>
      </c>
      <c r="U120" s="145">
        <v>0</v>
      </c>
      <c r="V120" s="622">
        <v>0</v>
      </c>
      <c r="W120" s="584">
        <f t="shared" si="8"/>
        <v>18.010300000000001</v>
      </c>
      <c r="X120" s="155">
        <f ca="1">IF( INDIRECT("RC[-1]",0)=MAX(( INDIRECT("R[-1]C[-1]",0)):( INDIRECT("R[1]C[-1]",0))),1,2)</f>
        <v>2</v>
      </c>
    </row>
    <row r="121" spans="1:27" ht="14.25" thickTop="1" thickBot="1" x14ac:dyDescent="0.25">
      <c r="A121" s="177"/>
      <c r="B121" s="618" t="s">
        <v>166</v>
      </c>
      <c r="C121" s="156">
        <v>0</v>
      </c>
      <c r="D121" s="157">
        <v>3</v>
      </c>
      <c r="E121" s="157">
        <v>3</v>
      </c>
      <c r="F121" s="623">
        <v>0</v>
      </c>
      <c r="G121" s="156">
        <v>0</v>
      </c>
      <c r="H121" s="157">
        <v>0</v>
      </c>
      <c r="I121" s="157">
        <v>0</v>
      </c>
      <c r="J121" s="623">
        <v>1</v>
      </c>
      <c r="K121" s="156">
        <v>3</v>
      </c>
      <c r="L121" s="157">
        <v>3</v>
      </c>
      <c r="M121" s="157">
        <v>3</v>
      </c>
      <c r="N121" s="623">
        <v>0</v>
      </c>
      <c r="O121" s="156">
        <v>0</v>
      </c>
      <c r="P121" s="157">
        <v>0</v>
      </c>
      <c r="Q121" s="157">
        <v>3</v>
      </c>
      <c r="R121" s="623">
        <v>3</v>
      </c>
      <c r="S121" s="156">
        <v>0</v>
      </c>
      <c r="T121" s="157">
        <v>0</v>
      </c>
      <c r="U121" s="157">
        <v>0</v>
      </c>
      <c r="V121" s="623">
        <v>0</v>
      </c>
      <c r="W121" s="591">
        <f t="shared" si="8"/>
        <v>22.000699999999998</v>
      </c>
      <c r="X121" s="160">
        <f ca="1">IF( INDIRECT("RC[-1]",0)=MAX(( INDIRECT("R[-1]C[-1]",0)):( INDIRECT("R[1]C[-1]",0))),1,2)</f>
        <v>1</v>
      </c>
    </row>
    <row r="122" spans="1:27" x14ac:dyDescent="0.2">
      <c r="A122" s="599"/>
      <c r="B122" s="600"/>
      <c r="C122" s="601"/>
      <c r="D122" s="601"/>
      <c r="E122" s="601"/>
      <c r="F122" s="601"/>
      <c r="G122" s="601"/>
      <c r="H122" s="601"/>
      <c r="I122" s="601"/>
      <c r="J122" s="601"/>
      <c r="K122" s="601"/>
      <c r="L122" s="601"/>
      <c r="M122" s="601"/>
      <c r="N122" s="601"/>
      <c r="O122" s="601"/>
      <c r="P122" s="601"/>
      <c r="Q122" s="601"/>
      <c r="R122" s="601"/>
      <c r="S122" s="601"/>
      <c r="T122" s="601"/>
      <c r="U122" s="601"/>
      <c r="V122" s="601"/>
      <c r="W122" s="602"/>
      <c r="X122" s="603"/>
    </row>
    <row r="123" spans="1:27" x14ac:dyDescent="0.2">
      <c r="A123" s="599"/>
      <c r="B123" s="604" t="s">
        <v>719</v>
      </c>
      <c r="C123" s="144">
        <f t="shared" ref="C123:V123" si="9">SUM(C9:C110,C112:C121)</f>
        <v>67</v>
      </c>
      <c r="D123" s="145">
        <f t="shared" si="9"/>
        <v>63</v>
      </c>
      <c r="E123" s="605">
        <f t="shared" si="9"/>
        <v>47</v>
      </c>
      <c r="F123" s="606">
        <f t="shared" si="9"/>
        <v>35</v>
      </c>
      <c r="G123" s="607">
        <f t="shared" si="9"/>
        <v>33</v>
      </c>
      <c r="H123" s="605">
        <f t="shared" si="9"/>
        <v>36</v>
      </c>
      <c r="I123" s="605">
        <f t="shared" si="9"/>
        <v>44</v>
      </c>
      <c r="J123" s="606">
        <f t="shared" si="9"/>
        <v>19</v>
      </c>
      <c r="K123" s="607">
        <f t="shared" si="9"/>
        <v>32</v>
      </c>
      <c r="L123" s="605">
        <f t="shared" si="9"/>
        <v>49</v>
      </c>
      <c r="M123" s="605">
        <f t="shared" si="9"/>
        <v>28</v>
      </c>
      <c r="N123" s="606">
        <f t="shared" si="9"/>
        <v>38</v>
      </c>
      <c r="O123" s="607">
        <f t="shared" si="9"/>
        <v>31</v>
      </c>
      <c r="P123" s="605">
        <f t="shared" si="9"/>
        <v>34</v>
      </c>
      <c r="Q123" s="605">
        <f t="shared" si="9"/>
        <v>22</v>
      </c>
      <c r="R123" s="606">
        <f t="shared" si="9"/>
        <v>28</v>
      </c>
      <c r="S123" s="607">
        <f t="shared" si="9"/>
        <v>28</v>
      </c>
      <c r="T123" s="605">
        <f t="shared" si="9"/>
        <v>10</v>
      </c>
      <c r="U123" s="605">
        <f t="shared" si="9"/>
        <v>15</v>
      </c>
      <c r="V123" s="606">
        <f t="shared" si="9"/>
        <v>36</v>
      </c>
      <c r="W123" s="602"/>
      <c r="X123" s="603"/>
    </row>
    <row r="124" spans="1:27" x14ac:dyDescent="0.2">
      <c r="A124" s="599"/>
      <c r="C124" s="610">
        <f t="shared" ref="C124:V124" si="10">SUM(C9:C110,C112:C121)</f>
        <v>67</v>
      </c>
      <c r="D124" s="608">
        <f t="shared" si="10"/>
        <v>63</v>
      </c>
      <c r="E124" s="608">
        <f t="shared" si="10"/>
        <v>47</v>
      </c>
      <c r="F124" s="609">
        <f t="shared" si="10"/>
        <v>35</v>
      </c>
      <c r="G124" s="610">
        <f t="shared" si="10"/>
        <v>33</v>
      </c>
      <c r="H124" s="608">
        <f t="shared" si="10"/>
        <v>36</v>
      </c>
      <c r="I124" s="608">
        <f t="shared" si="10"/>
        <v>44</v>
      </c>
      <c r="J124" s="609">
        <f t="shared" si="10"/>
        <v>19</v>
      </c>
      <c r="K124" s="610">
        <f t="shared" si="10"/>
        <v>32</v>
      </c>
      <c r="L124" s="608">
        <f t="shared" si="10"/>
        <v>49</v>
      </c>
      <c r="M124" s="608">
        <f t="shared" si="10"/>
        <v>28</v>
      </c>
      <c r="N124" s="609">
        <f t="shared" si="10"/>
        <v>38</v>
      </c>
      <c r="O124" s="610">
        <f t="shared" si="10"/>
        <v>31</v>
      </c>
      <c r="P124" s="608">
        <f t="shared" si="10"/>
        <v>34</v>
      </c>
      <c r="Q124" s="608">
        <f t="shared" si="10"/>
        <v>22</v>
      </c>
      <c r="R124" s="609">
        <f t="shared" si="10"/>
        <v>28</v>
      </c>
      <c r="S124" s="610">
        <f t="shared" si="10"/>
        <v>28</v>
      </c>
      <c r="T124" s="608">
        <f t="shared" si="10"/>
        <v>10</v>
      </c>
      <c r="U124" s="608">
        <f t="shared" si="10"/>
        <v>15</v>
      </c>
      <c r="V124" s="609">
        <f t="shared" si="10"/>
        <v>36</v>
      </c>
      <c r="W124" s="602"/>
      <c r="X124" s="603"/>
    </row>
    <row r="125" spans="1:27" x14ac:dyDescent="0.2">
      <c r="A125" s="599"/>
      <c r="B125" s="600"/>
      <c r="C125" s="999">
        <f>SUM(C9:F110,C112:F121)</f>
        <v>212</v>
      </c>
      <c r="D125" s="1000"/>
      <c r="E125" s="1000"/>
      <c r="F125" s="1001"/>
      <c r="G125" s="999">
        <f>SUM(G9:J110,G112:J121)</f>
        <v>132</v>
      </c>
      <c r="H125" s="1000"/>
      <c r="I125" s="1000"/>
      <c r="J125" s="1001"/>
      <c r="K125" s="999">
        <f>SUM(K9:N110,K112:N121)</f>
        <v>147</v>
      </c>
      <c r="L125" s="1000"/>
      <c r="M125" s="1000"/>
      <c r="N125" s="1001"/>
      <c r="O125" s="999">
        <f>SUM(O9:R110,O112:R121)</f>
        <v>115</v>
      </c>
      <c r="P125" s="1000"/>
      <c r="Q125" s="1000"/>
      <c r="R125" s="1001"/>
      <c r="S125" s="999">
        <f>SUM(S9:V110,S112:V121)</f>
        <v>89</v>
      </c>
      <c r="T125" s="1000"/>
      <c r="U125" s="1000"/>
      <c r="V125" s="1001"/>
      <c r="W125" s="602"/>
      <c r="X125" s="603"/>
    </row>
    <row r="126" spans="1:27" x14ac:dyDescent="0.2">
      <c r="A126" s="599"/>
      <c r="B126" s="600"/>
      <c r="C126" s="601"/>
      <c r="D126" s="601"/>
      <c r="E126" s="601"/>
      <c r="F126" s="601"/>
      <c r="G126" s="601"/>
      <c r="H126" s="601"/>
      <c r="I126" s="601"/>
      <c r="J126" s="601"/>
      <c r="K126" s="601"/>
      <c r="L126" s="601"/>
      <c r="M126" s="601"/>
      <c r="N126" s="601"/>
      <c r="O126" s="601"/>
      <c r="P126" s="601"/>
      <c r="Q126" s="601"/>
      <c r="R126" s="601"/>
      <c r="S126" s="601"/>
      <c r="T126" s="601"/>
      <c r="U126" s="601"/>
      <c r="V126" s="601"/>
      <c r="W126" s="602"/>
      <c r="X126" s="603"/>
    </row>
    <row r="127" spans="1:27" x14ac:dyDescent="0.2">
      <c r="A127" s="172"/>
      <c r="B127" s="172"/>
      <c r="C127" s="172"/>
      <c r="D127" s="172"/>
      <c r="E127" s="172"/>
      <c r="F127" s="172"/>
      <c r="G127" s="172"/>
      <c r="H127" s="172"/>
      <c r="I127" s="172"/>
      <c r="J127" s="172"/>
      <c r="K127" s="172"/>
      <c r="L127" s="172"/>
      <c r="M127" s="172"/>
      <c r="N127" s="172"/>
      <c r="O127" s="611"/>
      <c r="P127" s="172"/>
      <c r="Q127" s="172"/>
      <c r="R127" s="172"/>
      <c r="S127" s="172"/>
      <c r="T127" s="612"/>
      <c r="U127" s="172"/>
      <c r="V127" s="172"/>
      <c r="W127" s="172"/>
      <c r="X127" s="172"/>
      <c r="Y127" s="172"/>
    </row>
    <row r="128" spans="1:27" x14ac:dyDescent="0.2">
      <c r="A128" s="178">
        <v>1</v>
      </c>
      <c r="B128" s="203" t="str">
        <f t="shared" ref="B128:B137" ca="1" si="11">IF(IFERROR(INDEX($B$9:$B$121,MATCH($A128,$X$9:$X$121,0)),"")=0,"",IFERROR(INDEX($B$9:$B$121,MATCH($A128,$X$9:$X$121,0)),""))</f>
        <v>Harry Lusbo</v>
      </c>
      <c r="C128" s="172"/>
      <c r="D128" s="172"/>
      <c r="E128" s="613"/>
      <c r="F128" s="614">
        <v>11</v>
      </c>
      <c r="G128" s="258" t="str">
        <f t="shared" ref="G128:G136" si="12">IF(IFERROR(INDEX($B$9:$B$121,MATCH($F128,$X$9:$X$121,0)),"")=0,"",IFERROR(INDEX($B$9:$B$121,MATCH($F128,$X$9:$X$121,0)),""))</f>
        <v>Silver Kingissepp</v>
      </c>
      <c r="H128" s="259"/>
      <c r="I128" s="259"/>
      <c r="J128" s="259"/>
      <c r="K128" s="259"/>
      <c r="L128" s="259"/>
      <c r="M128" s="260"/>
      <c r="P128" s="720"/>
      <c r="Q128" s="721" t="s">
        <v>776</v>
      </c>
      <c r="R128" s="719" t="s">
        <v>164</v>
      </c>
      <c r="S128" s="259"/>
      <c r="T128" s="259"/>
      <c r="U128" s="675"/>
      <c r="V128" s="675"/>
      <c r="W128" s="722"/>
      <c r="X128" s="723"/>
      <c r="Z128" s="615"/>
      <c r="AA128" s="260"/>
    </row>
    <row r="129" spans="1:27" x14ac:dyDescent="0.2">
      <c r="A129" s="178">
        <v>2</v>
      </c>
      <c r="B129" s="179" t="str">
        <f t="shared" ca="1" si="11"/>
        <v>Ivar Viljaste</v>
      </c>
      <c r="C129" s="172"/>
      <c r="D129" s="172"/>
      <c r="E129" s="613"/>
      <c r="F129" s="614">
        <v>12</v>
      </c>
      <c r="G129" s="258" t="str">
        <f t="shared" si="12"/>
        <v>Tiit Kattai</v>
      </c>
      <c r="H129" s="259"/>
      <c r="I129" s="259"/>
      <c r="J129" s="259"/>
      <c r="K129" s="259"/>
      <c r="L129" s="259"/>
      <c r="M129" s="260"/>
      <c r="P129" s="613"/>
      <c r="Q129" s="614">
        <v>22</v>
      </c>
      <c r="R129" s="258" t="str">
        <f>IF(IFERROR(INDEX($B$9:$B$121,MATCH($Q129,$X$9:$X$121,0)),"")=0,"",IFERROR(INDEX($B$9:$B$121,MATCH($Q129,$X$9:$X$121,0)),""))</f>
        <v>Jaan Sepp</v>
      </c>
      <c r="S129" s="259"/>
      <c r="T129" s="259"/>
      <c r="U129" s="675"/>
      <c r="V129" s="675"/>
      <c r="W129" s="722"/>
      <c r="X129" s="723"/>
      <c r="Z129" s="615"/>
      <c r="AA129" s="260"/>
    </row>
    <row r="130" spans="1:27" x14ac:dyDescent="0.2">
      <c r="A130" s="178">
        <v>3</v>
      </c>
      <c r="B130" s="180" t="str">
        <f t="shared" ca="1" si="11"/>
        <v>Kalju Olmre</v>
      </c>
      <c r="C130" s="172"/>
      <c r="D130" s="172"/>
      <c r="E130" s="613"/>
      <c r="F130" s="614">
        <v>13</v>
      </c>
      <c r="G130" s="258" t="str">
        <f t="shared" si="12"/>
        <v>Jaan Joonas</v>
      </c>
      <c r="H130" s="259"/>
      <c r="I130" s="259"/>
      <c r="J130" s="259"/>
      <c r="K130" s="259"/>
      <c r="L130" s="259"/>
      <c r="M130" s="260"/>
      <c r="P130" s="613"/>
      <c r="Q130" s="721" t="s">
        <v>777</v>
      </c>
      <c r="R130" s="719" t="s">
        <v>154</v>
      </c>
      <c r="S130" s="259"/>
      <c r="T130" s="259"/>
      <c r="U130" s="675"/>
      <c r="V130" s="675"/>
      <c r="W130" s="722"/>
      <c r="X130" s="723"/>
      <c r="Z130" s="615"/>
      <c r="AA130" s="260"/>
    </row>
    <row r="131" spans="1:27" x14ac:dyDescent="0.2">
      <c r="A131" s="178">
        <v>4</v>
      </c>
      <c r="B131" s="323" t="str">
        <f t="shared" ca="1" si="11"/>
        <v>Oskar Sepp</v>
      </c>
      <c r="C131" s="172"/>
      <c r="D131" s="172"/>
      <c r="E131" s="613"/>
      <c r="F131" s="614">
        <v>14</v>
      </c>
      <c r="G131" s="258" t="str">
        <f t="shared" si="12"/>
        <v>Aigar Lusbo</v>
      </c>
      <c r="H131" s="259"/>
      <c r="I131" s="259"/>
      <c r="J131" s="259"/>
      <c r="K131" s="259"/>
      <c r="L131" s="259"/>
      <c r="M131" s="260"/>
      <c r="P131" s="613"/>
      <c r="Q131" s="721" t="s">
        <v>777</v>
      </c>
      <c r="R131" s="719" t="s">
        <v>172</v>
      </c>
      <c r="S131" s="259"/>
      <c r="T131" s="259"/>
      <c r="U131" s="675"/>
      <c r="V131" s="675"/>
      <c r="W131" s="722"/>
      <c r="X131" s="723"/>
      <c r="Z131" s="615"/>
      <c r="AA131" s="260"/>
    </row>
    <row r="132" spans="1:27" x14ac:dyDescent="0.2">
      <c r="A132" s="178">
        <v>5</v>
      </c>
      <c r="B132" s="323" t="str">
        <f t="shared" si="11"/>
        <v>Marek Kolk</v>
      </c>
      <c r="C132" s="172"/>
      <c r="D132" s="172"/>
      <c r="E132" s="613"/>
      <c r="F132" s="614">
        <v>15</v>
      </c>
      <c r="G132" s="258" t="str">
        <f t="shared" si="12"/>
        <v>Kaido Kopel</v>
      </c>
      <c r="H132" s="259"/>
      <c r="I132" s="259"/>
      <c r="J132" s="259"/>
      <c r="K132" s="259"/>
      <c r="L132" s="259"/>
      <c r="M132" s="260"/>
      <c r="P132" s="613"/>
      <c r="Q132" s="614">
        <v>25</v>
      </c>
      <c r="R132" s="258" t="str">
        <f>IF(IFERROR(INDEX($B$9:$B$121,MATCH($Q132,$X$9:$X$121,0)),"")=0,"",IFERROR(INDEX($B$9:$B$121,MATCH($Q132,$X$9:$X$121,0)),""))</f>
        <v>Vladimir Ogneštšikov</v>
      </c>
      <c r="S132" s="259"/>
      <c r="T132" s="259"/>
      <c r="U132" s="675"/>
      <c r="V132" s="675"/>
      <c r="W132" s="722"/>
      <c r="X132" s="723"/>
      <c r="Z132" s="615"/>
      <c r="AA132" s="260"/>
    </row>
    <row r="133" spans="1:27" x14ac:dyDescent="0.2">
      <c r="A133" s="178">
        <v>6</v>
      </c>
      <c r="B133" s="323" t="str">
        <f t="shared" si="11"/>
        <v>Ülo Piik</v>
      </c>
      <c r="C133" s="172"/>
      <c r="D133" s="172"/>
      <c r="E133" s="613"/>
      <c r="F133" s="614">
        <v>16</v>
      </c>
      <c r="G133" s="258" t="str">
        <f t="shared" si="12"/>
        <v>Urmo Auväärt</v>
      </c>
      <c r="H133" s="259"/>
      <c r="I133" s="259"/>
      <c r="J133" s="259"/>
      <c r="K133" s="259"/>
      <c r="L133" s="259"/>
      <c r="M133" s="260"/>
      <c r="P133" s="613"/>
      <c r="Q133" s="614">
        <v>26</v>
      </c>
      <c r="R133" s="258" t="str">
        <f>IF(IFERROR(INDEX($B$9:$B$121,MATCH($Q133,$X$9:$X$121,0)),"")=0,"",IFERROR(INDEX($B$9:$B$121,MATCH($Q133,$X$9:$X$121,0)),""))</f>
        <v>Vahur Raudsepp</v>
      </c>
      <c r="S133" s="259"/>
      <c r="T133" s="259"/>
      <c r="U133" s="675"/>
      <c r="V133" s="675"/>
      <c r="W133" s="722"/>
      <c r="X133" s="723"/>
      <c r="Z133" s="615"/>
      <c r="AA133" s="260"/>
    </row>
    <row r="134" spans="1:27" x14ac:dyDescent="0.2">
      <c r="A134" s="178">
        <v>7</v>
      </c>
      <c r="B134" s="323" t="str">
        <f t="shared" si="11"/>
        <v>Aimar Poom</v>
      </c>
      <c r="C134" s="172"/>
      <c r="D134" s="172"/>
      <c r="E134" s="613"/>
      <c r="F134" s="614">
        <v>17</v>
      </c>
      <c r="G134" s="258" t="str">
        <f t="shared" si="12"/>
        <v>Marko Ode</v>
      </c>
      <c r="H134" s="259"/>
      <c r="I134" s="259"/>
      <c r="J134" s="259"/>
      <c r="K134" s="259"/>
      <c r="L134" s="259"/>
      <c r="M134" s="260"/>
      <c r="P134" s="172"/>
      <c r="Q134" s="172"/>
      <c r="R134" s="172"/>
      <c r="S134" s="172"/>
      <c r="T134" s="172"/>
      <c r="U134" s="172"/>
      <c r="V134" s="172"/>
      <c r="W134" s="172"/>
      <c r="X134" s="172"/>
      <c r="Z134" s="615"/>
      <c r="AA134" s="260"/>
    </row>
    <row r="135" spans="1:27" x14ac:dyDescent="0.2">
      <c r="A135" s="178">
        <v>8</v>
      </c>
      <c r="B135" s="323" t="str">
        <f t="shared" si="11"/>
        <v>Toomas Hoole</v>
      </c>
      <c r="C135" s="172"/>
      <c r="D135" s="172"/>
      <c r="E135" s="613"/>
      <c r="F135" s="614">
        <v>18</v>
      </c>
      <c r="G135" s="258" t="str">
        <f t="shared" si="12"/>
        <v>Valmar Pantšenko</v>
      </c>
      <c r="H135" s="259"/>
      <c r="I135" s="259"/>
      <c r="J135" s="259"/>
      <c r="K135" s="259"/>
      <c r="L135" s="259"/>
      <c r="M135" s="260"/>
      <c r="P135" s="172"/>
      <c r="Q135" s="172"/>
      <c r="R135" s="172"/>
      <c r="S135" s="172"/>
      <c r="T135" s="172"/>
      <c r="U135" s="172"/>
      <c r="V135" s="172"/>
      <c r="W135" s="172"/>
      <c r="X135" s="172"/>
      <c r="Z135" s="615"/>
      <c r="AA135" s="260"/>
    </row>
    <row r="136" spans="1:27" x14ac:dyDescent="0.2">
      <c r="A136" s="178">
        <v>9</v>
      </c>
      <c r="B136" s="323" t="str">
        <f t="shared" si="11"/>
        <v>Janek Tarto</v>
      </c>
      <c r="C136" s="172"/>
      <c r="D136" s="172"/>
      <c r="E136" s="613"/>
      <c r="F136" s="614">
        <v>19</v>
      </c>
      <c r="G136" s="258" t="str">
        <f t="shared" si="12"/>
        <v>Alari Keedus</v>
      </c>
      <c r="H136" s="259"/>
      <c r="I136" s="259"/>
      <c r="J136" s="259"/>
      <c r="K136" s="259"/>
      <c r="L136" s="259"/>
      <c r="M136" s="260"/>
      <c r="P136" s="172"/>
      <c r="Q136" s="172"/>
      <c r="R136" s="172"/>
      <c r="S136" s="172"/>
      <c r="T136" s="172"/>
      <c r="U136" s="172"/>
      <c r="V136" s="172"/>
      <c r="W136" s="172"/>
      <c r="X136" s="172"/>
      <c r="Z136" s="615"/>
      <c r="AA136" s="260"/>
    </row>
    <row r="137" spans="1:27" x14ac:dyDescent="0.2">
      <c r="A137" s="178">
        <v>10</v>
      </c>
      <c r="B137" s="323" t="str">
        <f t="shared" si="11"/>
        <v>Aarne Välja</v>
      </c>
      <c r="C137" s="172"/>
      <c r="D137" s="172"/>
      <c r="E137" s="720"/>
      <c r="F137" s="721" t="s">
        <v>776</v>
      </c>
      <c r="G137" s="719" t="s">
        <v>778</v>
      </c>
      <c r="H137" s="259"/>
      <c r="I137" s="259"/>
      <c r="J137" s="259"/>
      <c r="K137" s="259"/>
      <c r="L137" s="259"/>
      <c r="M137" s="260"/>
      <c r="P137" s="172"/>
      <c r="Q137" s="172"/>
      <c r="R137" s="172"/>
      <c r="S137" s="172"/>
      <c r="T137" s="172"/>
      <c r="U137" s="172"/>
      <c r="V137" s="172"/>
      <c r="W137" s="172"/>
      <c r="Z137" s="615"/>
      <c r="AA137" s="260"/>
    </row>
    <row r="138" spans="1:27" x14ac:dyDescent="0.2">
      <c r="B138" s="526"/>
      <c r="C138" s="631"/>
      <c r="D138" s="631"/>
      <c r="E138" s="631"/>
      <c r="F138" s="631"/>
      <c r="G138" s="631"/>
      <c r="H138" s="631"/>
      <c r="I138" s="631"/>
      <c r="J138" s="631"/>
      <c r="K138" s="631"/>
      <c r="L138" s="631"/>
      <c r="M138" s="631"/>
      <c r="N138" s="631"/>
      <c r="O138" s="631"/>
      <c r="P138" s="631"/>
      <c r="Q138" s="631"/>
      <c r="R138" s="631"/>
      <c r="S138" s="631"/>
      <c r="T138" s="631"/>
      <c r="U138" s="631"/>
      <c r="V138" s="631"/>
      <c r="W138" s="631"/>
      <c r="X138" s="172"/>
      <c r="Y138" s="172"/>
    </row>
    <row r="139" spans="1:27" x14ac:dyDescent="0.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row>
    <row r="140" spans="1:27" x14ac:dyDescent="0.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row>
    <row r="141" spans="1:27" x14ac:dyDescent="0.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row>
    <row r="142" spans="1:27" x14ac:dyDescent="0.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row>
    <row r="143" spans="1:27" x14ac:dyDescent="0.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row>
    <row r="144" spans="1:27" x14ac:dyDescent="0.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row>
  </sheetData>
  <mergeCells count="5">
    <mergeCell ref="C125:F125"/>
    <mergeCell ref="G125:J125"/>
    <mergeCell ref="K125:N125"/>
    <mergeCell ref="O125:R125"/>
    <mergeCell ref="S125:V125"/>
  </mergeCells>
  <conditionalFormatting sqref="B21:B28">
    <cfRule type="duplicateValues" dxfId="346" priority="49" stopIfTrue="1"/>
  </conditionalFormatting>
  <conditionalFormatting sqref="B18:B20">
    <cfRule type="duplicateValues" dxfId="345" priority="48" stopIfTrue="1"/>
  </conditionalFormatting>
  <conditionalFormatting sqref="B29:B34 B10:B12">
    <cfRule type="duplicateValues" dxfId="344" priority="52" stopIfTrue="1"/>
  </conditionalFormatting>
  <conditionalFormatting sqref="B36:B41">
    <cfRule type="duplicateValues" dxfId="343" priority="46" stopIfTrue="1"/>
  </conditionalFormatting>
  <conditionalFormatting sqref="X36:X43 X60:X63">
    <cfRule type="duplicateValues" dxfId="342" priority="53"/>
    <cfRule type="top10" dxfId="341" priority="54" stopIfTrue="1" rank="100"/>
  </conditionalFormatting>
  <conditionalFormatting sqref="B42:B43 B60:B63">
    <cfRule type="duplicateValues" dxfId="340" priority="55" stopIfTrue="1"/>
  </conditionalFormatting>
  <conditionalFormatting sqref="B52:B57">
    <cfRule type="duplicateValues" dxfId="339" priority="42" stopIfTrue="1"/>
  </conditionalFormatting>
  <conditionalFormatting sqref="X52:X59">
    <cfRule type="duplicateValues" dxfId="338" priority="43"/>
    <cfRule type="top10" dxfId="337" priority="44" stopIfTrue="1" rank="100"/>
  </conditionalFormatting>
  <conditionalFormatting sqref="B58:B59">
    <cfRule type="duplicateValues" dxfId="336" priority="45" stopIfTrue="1"/>
  </conditionalFormatting>
  <conditionalFormatting sqref="B78:B83">
    <cfRule type="duplicateValues" dxfId="335" priority="38" stopIfTrue="1"/>
  </conditionalFormatting>
  <conditionalFormatting sqref="X78:X85 X94:X97">
    <cfRule type="duplicateValues" dxfId="334" priority="39"/>
    <cfRule type="top10" dxfId="333" priority="40" stopIfTrue="1" rank="100"/>
  </conditionalFormatting>
  <conditionalFormatting sqref="B84:B85 B94:B97">
    <cfRule type="duplicateValues" dxfId="332" priority="41" stopIfTrue="1"/>
  </conditionalFormatting>
  <conditionalFormatting sqref="B86:B91">
    <cfRule type="duplicateValues" dxfId="331" priority="34" stopIfTrue="1"/>
  </conditionalFormatting>
  <conditionalFormatting sqref="X86:X93">
    <cfRule type="duplicateValues" dxfId="330" priority="35"/>
    <cfRule type="top10" dxfId="329" priority="36" stopIfTrue="1" rank="100"/>
  </conditionalFormatting>
  <conditionalFormatting sqref="B92:B93">
    <cfRule type="duplicateValues" dxfId="328" priority="37" stopIfTrue="1"/>
  </conditionalFormatting>
  <conditionalFormatting sqref="B98:B99">
    <cfRule type="duplicateValues" dxfId="327" priority="30" stopIfTrue="1"/>
  </conditionalFormatting>
  <conditionalFormatting sqref="X98:X101">
    <cfRule type="duplicateValues" dxfId="326" priority="31"/>
    <cfRule type="top10" dxfId="325" priority="32" stopIfTrue="1" rank="100"/>
  </conditionalFormatting>
  <conditionalFormatting sqref="B100:B101">
    <cfRule type="duplicateValues" dxfId="324" priority="33" stopIfTrue="1"/>
  </conditionalFormatting>
  <conditionalFormatting sqref="B64:B65">
    <cfRule type="duplicateValues" dxfId="323" priority="29" stopIfTrue="1"/>
  </conditionalFormatting>
  <conditionalFormatting sqref="B44:B49">
    <cfRule type="duplicateValues" dxfId="322" priority="25" stopIfTrue="1"/>
  </conditionalFormatting>
  <conditionalFormatting sqref="X44:X51">
    <cfRule type="duplicateValues" dxfId="321" priority="26"/>
    <cfRule type="top10" dxfId="320" priority="27" stopIfTrue="1" rank="100"/>
  </conditionalFormatting>
  <conditionalFormatting sqref="B50:B51">
    <cfRule type="duplicateValues" dxfId="319" priority="28" stopIfTrue="1"/>
  </conditionalFormatting>
  <conditionalFormatting sqref="W36:W39">
    <cfRule type="top10" dxfId="318" priority="23" rank="1"/>
  </conditionalFormatting>
  <conditionalFormatting sqref="W40:W43">
    <cfRule type="top10" dxfId="317" priority="22" rank="1"/>
  </conditionalFormatting>
  <conditionalFormatting sqref="W44:W47">
    <cfRule type="top10" dxfId="316" priority="21" rank="1"/>
  </conditionalFormatting>
  <conditionalFormatting sqref="W48:W51">
    <cfRule type="top10" dxfId="315" priority="20" rank="1"/>
  </conditionalFormatting>
  <conditionalFormatting sqref="W52:W55">
    <cfRule type="top10" dxfId="314" priority="19" rank="1"/>
  </conditionalFormatting>
  <conditionalFormatting sqref="W56:W59">
    <cfRule type="top10" dxfId="313" priority="18" rank="1"/>
  </conditionalFormatting>
  <conditionalFormatting sqref="W60:W63">
    <cfRule type="top10" dxfId="312" priority="17" rank="1"/>
  </conditionalFormatting>
  <conditionalFormatting sqref="W64:W67">
    <cfRule type="top10" dxfId="311" priority="16" rank="1"/>
  </conditionalFormatting>
  <conditionalFormatting sqref="W78:W81">
    <cfRule type="top10" dxfId="310" priority="15" rank="1"/>
  </conditionalFormatting>
  <conditionalFormatting sqref="W82:W85">
    <cfRule type="top10" dxfId="309" priority="14" rank="1"/>
  </conditionalFormatting>
  <conditionalFormatting sqref="W86:W89">
    <cfRule type="top10" dxfId="308" priority="13" rank="1"/>
  </conditionalFormatting>
  <conditionalFormatting sqref="W90:W93">
    <cfRule type="top10" dxfId="307" priority="12" rank="1"/>
  </conditionalFormatting>
  <conditionalFormatting sqref="W94:W97">
    <cfRule type="top10" dxfId="306" priority="11" rank="1"/>
  </conditionalFormatting>
  <conditionalFormatting sqref="W98:W101">
    <cfRule type="top10" dxfId="305" priority="10" rank="1"/>
  </conditionalFormatting>
  <conditionalFormatting sqref="W103:W104">
    <cfRule type="top10" dxfId="304" priority="56" rank="1"/>
  </conditionalFormatting>
  <conditionalFormatting sqref="W105:W106">
    <cfRule type="top10" dxfId="303" priority="57" rank="1"/>
  </conditionalFormatting>
  <conditionalFormatting sqref="W107:W108">
    <cfRule type="top10" dxfId="302" priority="58" rank="1"/>
  </conditionalFormatting>
  <conditionalFormatting sqref="W112:W113">
    <cfRule type="top10" dxfId="301" priority="59" rank="1"/>
  </conditionalFormatting>
  <conditionalFormatting sqref="W114:W115">
    <cfRule type="top10" dxfId="300" priority="60" rank="1"/>
  </conditionalFormatting>
  <conditionalFormatting sqref="W117:W118">
    <cfRule type="top10" dxfId="299" priority="61" rank="1"/>
  </conditionalFormatting>
  <conditionalFormatting sqref="W120:W123 W125:W126">
    <cfRule type="top10" dxfId="298" priority="62" rank="1"/>
  </conditionalFormatting>
  <conditionalFormatting sqref="X103:X110">
    <cfRule type="duplicateValues" dxfId="297" priority="63"/>
    <cfRule type="top10" dxfId="296" priority="64" stopIfTrue="1" rank="4"/>
  </conditionalFormatting>
  <conditionalFormatting sqref="W109:W110">
    <cfRule type="top10" dxfId="295" priority="65" rank="1"/>
  </conditionalFormatting>
  <conditionalFormatting sqref="W125:W126 W9:W123">
    <cfRule type="top10" dxfId="294" priority="70" rank="1"/>
  </conditionalFormatting>
  <conditionalFormatting sqref="X64:X67">
    <cfRule type="duplicateValues" dxfId="293" priority="71"/>
    <cfRule type="top10" dxfId="292" priority="72" stopIfTrue="1" rank="100"/>
  </conditionalFormatting>
  <conditionalFormatting sqref="B66:B67">
    <cfRule type="duplicateValues" dxfId="291" priority="73" stopIfTrue="1"/>
  </conditionalFormatting>
  <conditionalFormatting sqref="C125:V126">
    <cfRule type="colorScale" priority="7">
      <colorScale>
        <cfvo type="min"/>
        <cfvo type="percentile" val="50"/>
        <cfvo type="max"/>
        <color rgb="FFF8696B"/>
        <color rgb="FFFFEB84"/>
        <color rgb="FF63BE7B"/>
      </colorScale>
    </cfRule>
  </conditionalFormatting>
  <conditionalFormatting sqref="W124">
    <cfRule type="top10" dxfId="290" priority="5" rank="1"/>
  </conditionalFormatting>
  <conditionalFormatting sqref="W124">
    <cfRule type="top10" dxfId="289" priority="6" rank="1"/>
  </conditionalFormatting>
  <conditionalFormatting sqref="C124:V124">
    <cfRule type="dataBar" priority="4">
      <dataBar>
        <cfvo type="min"/>
        <cfvo type="max"/>
        <color rgb="FF008AEF"/>
      </dataBar>
      <extLst>
        <ext xmlns:x14="http://schemas.microsoft.com/office/spreadsheetml/2009/9/main" uri="{B025F937-C7B1-47D3-B67F-A62EFF666E3E}">
          <x14:id>{CB789364-9AA2-4E76-B859-4430D3139332}</x14:id>
        </ext>
      </extLst>
    </cfRule>
  </conditionalFormatting>
  <conditionalFormatting sqref="C123:V123">
    <cfRule type="top10" dxfId="288" priority="2" rank="1"/>
    <cfRule type="colorScale" priority="3">
      <colorScale>
        <cfvo type="min"/>
        <cfvo type="percentile" val="50"/>
        <cfvo type="max"/>
        <color rgb="FFF8696B"/>
        <color rgb="FFFFEB84"/>
        <color rgb="FF63BE7B"/>
      </colorScale>
    </cfRule>
  </conditionalFormatting>
  <conditionalFormatting sqref="C125:V125">
    <cfRule type="top10" dxfId="287" priority="1" rank="1"/>
  </conditionalFormatting>
  <conditionalFormatting sqref="X9:X34">
    <cfRule type="duplicateValues" dxfId="286" priority="13194"/>
    <cfRule type="top10" dxfId="285" priority="13195" rank="100"/>
  </conditionalFormatting>
  <conditionalFormatting sqref="X69:X76">
    <cfRule type="duplicateValues" dxfId="284" priority="13199"/>
    <cfRule type="top10" dxfId="283" priority="13200" rank="100"/>
  </conditionalFormatting>
  <conditionalFormatting sqref="Y69:Y76">
    <cfRule type="duplicateValues" dxfId="282" priority="13202"/>
  </conditionalFormatting>
  <pageMargins left="0.78740157480314965" right="0.27559055118110237" top="0.59055118110236227" bottom="0.39370078740157483" header="0.39370078740157483" footer="0"/>
  <pageSetup paperSize="9" fitToHeight="0" orientation="portrait" r:id="rId1"/>
  <headerFooter alignWithMargins="0">
    <oddHeader>&amp;R&amp;"Arial,Regular"&amp;9Page &amp;P of &amp;N</oddHeader>
  </headerFooter>
  <rowBreaks count="1" manualBreakCount="1">
    <brk id="101"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CB789364-9AA2-4E76-B859-4430D3139332}">
            <x14:dataBar minLength="0" maxLength="100" gradient="0">
              <x14:cfvo type="autoMin"/>
              <x14:cfvo type="autoMax"/>
              <x14:negativeFillColor rgb="FFFF0000"/>
              <x14:axisColor rgb="FF000000"/>
            </x14:dataBar>
          </x14:cfRule>
          <xm:sqref>C124:V124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AC101"/>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142" customWidth="1"/>
    <col min="2" max="2" width="18.85546875" style="142" customWidth="1"/>
    <col min="3" max="22" width="2.7109375" style="142" customWidth="1"/>
    <col min="23" max="23" width="3" style="142" bestFit="1" customWidth="1"/>
    <col min="24" max="24" width="11.5703125" style="142" bestFit="1" customWidth="1"/>
    <col min="25" max="25" width="3" style="142" customWidth="1"/>
    <col min="26" max="27" width="4" style="142" hidden="1" customWidth="1"/>
    <col min="28" max="28" width="4.5703125" style="142" hidden="1" customWidth="1"/>
    <col min="29" max="29" width="9.140625" style="142"/>
    <col min="30" max="36" width="2.7109375" style="142" customWidth="1"/>
    <col min="37" max="226" width="9.140625" style="142"/>
    <col min="227" max="227" width="3" style="142" customWidth="1"/>
    <col min="228" max="228" width="18.7109375" style="142" customWidth="1"/>
    <col min="229" max="248" width="2.85546875" style="142" customWidth="1"/>
    <col min="249" max="249" width="3" style="142" bestFit="1" customWidth="1"/>
    <col min="250" max="250" width="10.5703125" style="142" customWidth="1"/>
    <col min="251" max="253" width="0" style="142" hidden="1" customWidth="1"/>
    <col min="254" max="482" width="9.140625" style="142"/>
    <col min="483" max="483" width="3" style="142" customWidth="1"/>
    <col min="484" max="484" width="18.7109375" style="142" customWidth="1"/>
    <col min="485" max="504" width="2.85546875" style="142" customWidth="1"/>
    <col min="505" max="505" width="3" style="142" bestFit="1" customWidth="1"/>
    <col min="506" max="506" width="10.5703125" style="142" customWidth="1"/>
    <col min="507" max="509" width="0" style="142" hidden="1" customWidth="1"/>
    <col min="510" max="738" width="9.140625" style="142"/>
    <col min="739" max="739" width="3" style="142" customWidth="1"/>
    <col min="740" max="740" width="18.7109375" style="142" customWidth="1"/>
    <col min="741" max="760" width="2.85546875" style="142" customWidth="1"/>
    <col min="761" max="761" width="3" style="142" bestFit="1" customWidth="1"/>
    <col min="762" max="762" width="10.5703125" style="142" customWidth="1"/>
    <col min="763" max="765" width="0" style="142" hidden="1" customWidth="1"/>
    <col min="766" max="994" width="9.140625" style="142"/>
    <col min="995" max="995" width="3" style="142" customWidth="1"/>
    <col min="996" max="996" width="18.7109375" style="142" customWidth="1"/>
    <col min="997" max="1016" width="2.85546875" style="142" customWidth="1"/>
    <col min="1017" max="1017" width="3" style="142" bestFit="1" customWidth="1"/>
    <col min="1018" max="1018" width="10.5703125" style="142" customWidth="1"/>
    <col min="1019" max="1021" width="0" style="142" hidden="1" customWidth="1"/>
    <col min="1022" max="1250" width="9.140625" style="142"/>
    <col min="1251" max="1251" width="3" style="142" customWidth="1"/>
    <col min="1252" max="1252" width="18.7109375" style="142" customWidth="1"/>
    <col min="1253" max="1272" width="2.85546875" style="142" customWidth="1"/>
    <col min="1273" max="1273" width="3" style="142" bestFit="1" customWidth="1"/>
    <col min="1274" max="1274" width="10.5703125" style="142" customWidth="1"/>
    <col min="1275" max="1277" width="0" style="142" hidden="1" customWidth="1"/>
    <col min="1278" max="1506" width="9.140625" style="142"/>
    <col min="1507" max="1507" width="3" style="142" customWidth="1"/>
    <col min="1508" max="1508" width="18.7109375" style="142" customWidth="1"/>
    <col min="1509" max="1528" width="2.85546875" style="142" customWidth="1"/>
    <col min="1529" max="1529" width="3" style="142" bestFit="1" customWidth="1"/>
    <col min="1530" max="1530" width="10.5703125" style="142" customWidth="1"/>
    <col min="1531" max="1533" width="0" style="142" hidden="1" customWidth="1"/>
    <col min="1534" max="1762" width="9.140625" style="142"/>
    <col min="1763" max="1763" width="3" style="142" customWidth="1"/>
    <col min="1764" max="1764" width="18.7109375" style="142" customWidth="1"/>
    <col min="1765" max="1784" width="2.85546875" style="142" customWidth="1"/>
    <col min="1785" max="1785" width="3" style="142" bestFit="1" customWidth="1"/>
    <col min="1786" max="1786" width="10.5703125" style="142" customWidth="1"/>
    <col min="1787" max="1789" width="0" style="142" hidden="1" customWidth="1"/>
    <col min="1790" max="2018" width="9.140625" style="142"/>
    <col min="2019" max="2019" width="3" style="142" customWidth="1"/>
    <col min="2020" max="2020" width="18.7109375" style="142" customWidth="1"/>
    <col min="2021" max="2040" width="2.85546875" style="142" customWidth="1"/>
    <col min="2041" max="2041" width="3" style="142" bestFit="1" customWidth="1"/>
    <col min="2042" max="2042" width="10.5703125" style="142" customWidth="1"/>
    <col min="2043" max="2045" width="0" style="142" hidden="1" customWidth="1"/>
    <col min="2046" max="2274" width="9.140625" style="142"/>
    <col min="2275" max="2275" width="3" style="142" customWidth="1"/>
    <col min="2276" max="2276" width="18.7109375" style="142" customWidth="1"/>
    <col min="2277" max="2296" width="2.85546875" style="142" customWidth="1"/>
    <col min="2297" max="2297" width="3" style="142" bestFit="1" customWidth="1"/>
    <col min="2298" max="2298" width="10.5703125" style="142" customWidth="1"/>
    <col min="2299" max="2301" width="0" style="142" hidden="1" customWidth="1"/>
    <col min="2302" max="2530" width="9.140625" style="142"/>
    <col min="2531" max="2531" width="3" style="142" customWidth="1"/>
    <col min="2532" max="2532" width="18.7109375" style="142" customWidth="1"/>
    <col min="2533" max="2552" width="2.85546875" style="142" customWidth="1"/>
    <col min="2553" max="2553" width="3" style="142" bestFit="1" customWidth="1"/>
    <col min="2554" max="2554" width="10.5703125" style="142" customWidth="1"/>
    <col min="2555" max="2557" width="0" style="142" hidden="1" customWidth="1"/>
    <col min="2558" max="2786" width="9.140625" style="142"/>
    <col min="2787" max="2787" width="3" style="142" customWidth="1"/>
    <col min="2788" max="2788" width="18.7109375" style="142" customWidth="1"/>
    <col min="2789" max="2808" width="2.85546875" style="142" customWidth="1"/>
    <col min="2809" max="2809" width="3" style="142" bestFit="1" customWidth="1"/>
    <col min="2810" max="2810" width="10.5703125" style="142" customWidth="1"/>
    <col min="2811" max="2813" width="0" style="142" hidden="1" customWidth="1"/>
    <col min="2814" max="3042" width="9.140625" style="142"/>
    <col min="3043" max="3043" width="3" style="142" customWidth="1"/>
    <col min="3044" max="3044" width="18.7109375" style="142" customWidth="1"/>
    <col min="3045" max="3064" width="2.85546875" style="142" customWidth="1"/>
    <col min="3065" max="3065" width="3" style="142" bestFit="1" customWidth="1"/>
    <col min="3066" max="3066" width="10.5703125" style="142" customWidth="1"/>
    <col min="3067" max="3069" width="0" style="142" hidden="1" customWidth="1"/>
    <col min="3070" max="3298" width="9.140625" style="142"/>
    <col min="3299" max="3299" width="3" style="142" customWidth="1"/>
    <col min="3300" max="3300" width="18.7109375" style="142" customWidth="1"/>
    <col min="3301" max="3320" width="2.85546875" style="142" customWidth="1"/>
    <col min="3321" max="3321" width="3" style="142" bestFit="1" customWidth="1"/>
    <col min="3322" max="3322" width="10.5703125" style="142" customWidth="1"/>
    <col min="3323" max="3325" width="0" style="142" hidden="1" customWidth="1"/>
    <col min="3326" max="3554" width="9.140625" style="142"/>
    <col min="3555" max="3555" width="3" style="142" customWidth="1"/>
    <col min="3556" max="3556" width="18.7109375" style="142" customWidth="1"/>
    <col min="3557" max="3576" width="2.85546875" style="142" customWidth="1"/>
    <col min="3577" max="3577" width="3" style="142" bestFit="1" customWidth="1"/>
    <col min="3578" max="3578" width="10.5703125" style="142" customWidth="1"/>
    <col min="3579" max="3581" width="0" style="142" hidden="1" customWidth="1"/>
    <col min="3582" max="3810" width="9.140625" style="142"/>
    <col min="3811" max="3811" width="3" style="142" customWidth="1"/>
    <col min="3812" max="3812" width="18.7109375" style="142" customWidth="1"/>
    <col min="3813" max="3832" width="2.85546875" style="142" customWidth="1"/>
    <col min="3833" max="3833" width="3" style="142" bestFit="1" customWidth="1"/>
    <col min="3834" max="3834" width="10.5703125" style="142" customWidth="1"/>
    <col min="3835" max="3837" width="0" style="142" hidden="1" customWidth="1"/>
    <col min="3838" max="4066" width="9.140625" style="142"/>
    <col min="4067" max="4067" width="3" style="142" customWidth="1"/>
    <col min="4068" max="4068" width="18.7109375" style="142" customWidth="1"/>
    <col min="4069" max="4088" width="2.85546875" style="142" customWidth="1"/>
    <col min="4089" max="4089" width="3" style="142" bestFit="1" customWidth="1"/>
    <col min="4090" max="4090" width="10.5703125" style="142" customWidth="1"/>
    <col min="4091" max="4093" width="0" style="142" hidden="1" customWidth="1"/>
    <col min="4094" max="4322" width="9.140625" style="142"/>
    <col min="4323" max="4323" width="3" style="142" customWidth="1"/>
    <col min="4324" max="4324" width="18.7109375" style="142" customWidth="1"/>
    <col min="4325" max="4344" width="2.85546875" style="142" customWidth="1"/>
    <col min="4345" max="4345" width="3" style="142" bestFit="1" customWidth="1"/>
    <col min="4346" max="4346" width="10.5703125" style="142" customWidth="1"/>
    <col min="4347" max="4349" width="0" style="142" hidden="1" customWidth="1"/>
    <col min="4350" max="4578" width="9.140625" style="142"/>
    <col min="4579" max="4579" width="3" style="142" customWidth="1"/>
    <col min="4580" max="4580" width="18.7109375" style="142" customWidth="1"/>
    <col min="4581" max="4600" width="2.85546875" style="142" customWidth="1"/>
    <col min="4601" max="4601" width="3" style="142" bestFit="1" customWidth="1"/>
    <col min="4602" max="4602" width="10.5703125" style="142" customWidth="1"/>
    <col min="4603" max="4605" width="0" style="142" hidden="1" customWidth="1"/>
    <col min="4606" max="4834" width="9.140625" style="142"/>
    <col min="4835" max="4835" width="3" style="142" customWidth="1"/>
    <col min="4836" max="4836" width="18.7109375" style="142" customWidth="1"/>
    <col min="4837" max="4856" width="2.85546875" style="142" customWidth="1"/>
    <col min="4857" max="4857" width="3" style="142" bestFit="1" customWidth="1"/>
    <col min="4858" max="4858" width="10.5703125" style="142" customWidth="1"/>
    <col min="4859" max="4861" width="0" style="142" hidden="1" customWidth="1"/>
    <col min="4862" max="5090" width="9.140625" style="142"/>
    <col min="5091" max="5091" width="3" style="142" customWidth="1"/>
    <col min="5092" max="5092" width="18.7109375" style="142" customWidth="1"/>
    <col min="5093" max="5112" width="2.85546875" style="142" customWidth="1"/>
    <col min="5113" max="5113" width="3" style="142" bestFit="1" customWidth="1"/>
    <col min="5114" max="5114" width="10.5703125" style="142" customWidth="1"/>
    <col min="5115" max="5117" width="0" style="142" hidden="1" customWidth="1"/>
    <col min="5118" max="5346" width="9.140625" style="142"/>
    <col min="5347" max="5347" width="3" style="142" customWidth="1"/>
    <col min="5348" max="5348" width="18.7109375" style="142" customWidth="1"/>
    <col min="5349" max="5368" width="2.85546875" style="142" customWidth="1"/>
    <col min="5369" max="5369" width="3" style="142" bestFit="1" customWidth="1"/>
    <col min="5370" max="5370" width="10.5703125" style="142" customWidth="1"/>
    <col min="5371" max="5373" width="0" style="142" hidden="1" customWidth="1"/>
    <col min="5374" max="5602" width="9.140625" style="142"/>
    <col min="5603" max="5603" width="3" style="142" customWidth="1"/>
    <col min="5604" max="5604" width="18.7109375" style="142" customWidth="1"/>
    <col min="5605" max="5624" width="2.85546875" style="142" customWidth="1"/>
    <col min="5625" max="5625" width="3" style="142" bestFit="1" customWidth="1"/>
    <col min="5626" max="5626" width="10.5703125" style="142" customWidth="1"/>
    <col min="5627" max="5629" width="0" style="142" hidden="1" customWidth="1"/>
    <col min="5630" max="5858" width="9.140625" style="142"/>
    <col min="5859" max="5859" width="3" style="142" customWidth="1"/>
    <col min="5860" max="5860" width="18.7109375" style="142" customWidth="1"/>
    <col min="5861" max="5880" width="2.85546875" style="142" customWidth="1"/>
    <col min="5881" max="5881" width="3" style="142" bestFit="1" customWidth="1"/>
    <col min="5882" max="5882" width="10.5703125" style="142" customWidth="1"/>
    <col min="5883" max="5885" width="0" style="142" hidden="1" customWidth="1"/>
    <col min="5886" max="6114" width="9.140625" style="142"/>
    <col min="6115" max="6115" width="3" style="142" customWidth="1"/>
    <col min="6116" max="6116" width="18.7109375" style="142" customWidth="1"/>
    <col min="6117" max="6136" width="2.85546875" style="142" customWidth="1"/>
    <col min="6137" max="6137" width="3" style="142" bestFit="1" customWidth="1"/>
    <col min="6138" max="6138" width="10.5703125" style="142" customWidth="1"/>
    <col min="6139" max="6141" width="0" style="142" hidden="1" customWidth="1"/>
    <col min="6142" max="6370" width="9.140625" style="142"/>
    <col min="6371" max="6371" width="3" style="142" customWidth="1"/>
    <col min="6372" max="6372" width="18.7109375" style="142" customWidth="1"/>
    <col min="6373" max="6392" width="2.85546875" style="142" customWidth="1"/>
    <col min="6393" max="6393" width="3" style="142" bestFit="1" customWidth="1"/>
    <col min="6394" max="6394" width="10.5703125" style="142" customWidth="1"/>
    <col min="6395" max="6397" width="0" style="142" hidden="1" customWidth="1"/>
    <col min="6398" max="6626" width="9.140625" style="142"/>
    <col min="6627" max="6627" width="3" style="142" customWidth="1"/>
    <col min="6628" max="6628" width="18.7109375" style="142" customWidth="1"/>
    <col min="6629" max="6648" width="2.85546875" style="142" customWidth="1"/>
    <col min="6649" max="6649" width="3" style="142" bestFit="1" customWidth="1"/>
    <col min="6650" max="6650" width="10.5703125" style="142" customWidth="1"/>
    <col min="6651" max="6653" width="0" style="142" hidden="1" customWidth="1"/>
    <col min="6654" max="6882" width="9.140625" style="142"/>
    <col min="6883" max="6883" width="3" style="142" customWidth="1"/>
    <col min="6884" max="6884" width="18.7109375" style="142" customWidth="1"/>
    <col min="6885" max="6904" width="2.85546875" style="142" customWidth="1"/>
    <col min="6905" max="6905" width="3" style="142" bestFit="1" customWidth="1"/>
    <col min="6906" max="6906" width="10.5703125" style="142" customWidth="1"/>
    <col min="6907" max="6909" width="0" style="142" hidden="1" customWidth="1"/>
    <col min="6910" max="7138" width="9.140625" style="142"/>
    <col min="7139" max="7139" width="3" style="142" customWidth="1"/>
    <col min="7140" max="7140" width="18.7109375" style="142" customWidth="1"/>
    <col min="7141" max="7160" width="2.85546875" style="142" customWidth="1"/>
    <col min="7161" max="7161" width="3" style="142" bestFit="1" customWidth="1"/>
    <col min="7162" max="7162" width="10.5703125" style="142" customWidth="1"/>
    <col min="7163" max="7165" width="0" style="142" hidden="1" customWidth="1"/>
    <col min="7166" max="7394" width="9.140625" style="142"/>
    <col min="7395" max="7395" width="3" style="142" customWidth="1"/>
    <col min="7396" max="7396" width="18.7109375" style="142" customWidth="1"/>
    <col min="7397" max="7416" width="2.85546875" style="142" customWidth="1"/>
    <col min="7417" max="7417" width="3" style="142" bestFit="1" customWidth="1"/>
    <col min="7418" max="7418" width="10.5703125" style="142" customWidth="1"/>
    <col min="7419" max="7421" width="0" style="142" hidden="1" customWidth="1"/>
    <col min="7422" max="7650" width="9.140625" style="142"/>
    <col min="7651" max="7651" width="3" style="142" customWidth="1"/>
    <col min="7652" max="7652" width="18.7109375" style="142" customWidth="1"/>
    <col min="7653" max="7672" width="2.85546875" style="142" customWidth="1"/>
    <col min="7673" max="7673" width="3" style="142" bestFit="1" customWidth="1"/>
    <col min="7674" max="7674" width="10.5703125" style="142" customWidth="1"/>
    <col min="7675" max="7677" width="0" style="142" hidden="1" customWidth="1"/>
    <col min="7678" max="7906" width="9.140625" style="142"/>
    <col min="7907" max="7907" width="3" style="142" customWidth="1"/>
    <col min="7908" max="7908" width="18.7109375" style="142" customWidth="1"/>
    <col min="7909" max="7928" width="2.85546875" style="142" customWidth="1"/>
    <col min="7929" max="7929" width="3" style="142" bestFit="1" customWidth="1"/>
    <col min="7930" max="7930" width="10.5703125" style="142" customWidth="1"/>
    <col min="7931" max="7933" width="0" style="142" hidden="1" customWidth="1"/>
    <col min="7934" max="8162" width="9.140625" style="142"/>
    <col min="8163" max="8163" width="3" style="142" customWidth="1"/>
    <col min="8164" max="8164" width="18.7109375" style="142" customWidth="1"/>
    <col min="8165" max="8184" width="2.85546875" style="142" customWidth="1"/>
    <col min="8185" max="8185" width="3" style="142" bestFit="1" customWidth="1"/>
    <col min="8186" max="8186" width="10.5703125" style="142" customWidth="1"/>
    <col min="8187" max="8189" width="0" style="142" hidden="1" customWidth="1"/>
    <col min="8190" max="8418" width="9.140625" style="142"/>
    <col min="8419" max="8419" width="3" style="142" customWidth="1"/>
    <col min="8420" max="8420" width="18.7109375" style="142" customWidth="1"/>
    <col min="8421" max="8440" width="2.85546875" style="142" customWidth="1"/>
    <col min="8441" max="8441" width="3" style="142" bestFit="1" customWidth="1"/>
    <col min="8442" max="8442" width="10.5703125" style="142" customWidth="1"/>
    <col min="8443" max="8445" width="0" style="142" hidden="1" customWidth="1"/>
    <col min="8446" max="8674" width="9.140625" style="142"/>
    <col min="8675" max="8675" width="3" style="142" customWidth="1"/>
    <col min="8676" max="8676" width="18.7109375" style="142" customWidth="1"/>
    <col min="8677" max="8696" width="2.85546875" style="142" customWidth="1"/>
    <col min="8697" max="8697" width="3" style="142" bestFit="1" customWidth="1"/>
    <col min="8698" max="8698" width="10.5703125" style="142" customWidth="1"/>
    <col min="8699" max="8701" width="0" style="142" hidden="1" customWidth="1"/>
    <col min="8702" max="8930" width="9.140625" style="142"/>
    <col min="8931" max="8931" width="3" style="142" customWidth="1"/>
    <col min="8932" max="8932" width="18.7109375" style="142" customWidth="1"/>
    <col min="8933" max="8952" width="2.85546875" style="142" customWidth="1"/>
    <col min="8953" max="8953" width="3" style="142" bestFit="1" customWidth="1"/>
    <col min="8954" max="8954" width="10.5703125" style="142" customWidth="1"/>
    <col min="8955" max="8957" width="0" style="142" hidden="1" customWidth="1"/>
    <col min="8958" max="9186" width="9.140625" style="142"/>
    <col min="9187" max="9187" width="3" style="142" customWidth="1"/>
    <col min="9188" max="9188" width="18.7109375" style="142" customWidth="1"/>
    <col min="9189" max="9208" width="2.85546875" style="142" customWidth="1"/>
    <col min="9209" max="9209" width="3" style="142" bestFit="1" customWidth="1"/>
    <col min="9210" max="9210" width="10.5703125" style="142" customWidth="1"/>
    <col min="9211" max="9213" width="0" style="142" hidden="1" customWidth="1"/>
    <col min="9214" max="9442" width="9.140625" style="142"/>
    <col min="9443" max="9443" width="3" style="142" customWidth="1"/>
    <col min="9444" max="9444" width="18.7109375" style="142" customWidth="1"/>
    <col min="9445" max="9464" width="2.85546875" style="142" customWidth="1"/>
    <col min="9465" max="9465" width="3" style="142" bestFit="1" customWidth="1"/>
    <col min="9466" max="9466" width="10.5703125" style="142" customWidth="1"/>
    <col min="9467" max="9469" width="0" style="142" hidden="1" customWidth="1"/>
    <col min="9470" max="9698" width="9.140625" style="142"/>
    <col min="9699" max="9699" width="3" style="142" customWidth="1"/>
    <col min="9700" max="9700" width="18.7109375" style="142" customWidth="1"/>
    <col min="9701" max="9720" width="2.85546875" style="142" customWidth="1"/>
    <col min="9721" max="9721" width="3" style="142" bestFit="1" customWidth="1"/>
    <col min="9722" max="9722" width="10.5703125" style="142" customWidth="1"/>
    <col min="9723" max="9725" width="0" style="142" hidden="1" customWidth="1"/>
    <col min="9726" max="9954" width="9.140625" style="142"/>
    <col min="9955" max="9955" width="3" style="142" customWidth="1"/>
    <col min="9956" max="9956" width="18.7109375" style="142" customWidth="1"/>
    <col min="9957" max="9976" width="2.85546875" style="142" customWidth="1"/>
    <col min="9977" max="9977" width="3" style="142" bestFit="1" customWidth="1"/>
    <col min="9978" max="9978" width="10.5703125" style="142" customWidth="1"/>
    <col min="9979" max="9981" width="0" style="142" hidden="1" customWidth="1"/>
    <col min="9982" max="10210" width="9.140625" style="142"/>
    <col min="10211" max="10211" width="3" style="142" customWidth="1"/>
    <col min="10212" max="10212" width="18.7109375" style="142" customWidth="1"/>
    <col min="10213" max="10232" width="2.85546875" style="142" customWidth="1"/>
    <col min="10233" max="10233" width="3" style="142" bestFit="1" customWidth="1"/>
    <col min="10234" max="10234" width="10.5703125" style="142" customWidth="1"/>
    <col min="10235" max="10237" width="0" style="142" hidden="1" customWidth="1"/>
    <col min="10238" max="10466" width="9.140625" style="142"/>
    <col min="10467" max="10467" width="3" style="142" customWidth="1"/>
    <col min="10468" max="10468" width="18.7109375" style="142" customWidth="1"/>
    <col min="10469" max="10488" width="2.85546875" style="142" customWidth="1"/>
    <col min="10489" max="10489" width="3" style="142" bestFit="1" customWidth="1"/>
    <col min="10490" max="10490" width="10.5703125" style="142" customWidth="1"/>
    <col min="10491" max="10493" width="0" style="142" hidden="1" customWidth="1"/>
    <col min="10494" max="10722" width="9.140625" style="142"/>
    <col min="10723" max="10723" width="3" style="142" customWidth="1"/>
    <col min="10724" max="10724" width="18.7109375" style="142" customWidth="1"/>
    <col min="10725" max="10744" width="2.85546875" style="142" customWidth="1"/>
    <col min="10745" max="10745" width="3" style="142" bestFit="1" customWidth="1"/>
    <col min="10746" max="10746" width="10.5703125" style="142" customWidth="1"/>
    <col min="10747" max="10749" width="0" style="142" hidden="1" customWidth="1"/>
    <col min="10750" max="10978" width="9.140625" style="142"/>
    <col min="10979" max="10979" width="3" style="142" customWidth="1"/>
    <col min="10980" max="10980" width="18.7109375" style="142" customWidth="1"/>
    <col min="10981" max="11000" width="2.85546875" style="142" customWidth="1"/>
    <col min="11001" max="11001" width="3" style="142" bestFit="1" customWidth="1"/>
    <col min="11002" max="11002" width="10.5703125" style="142" customWidth="1"/>
    <col min="11003" max="11005" width="0" style="142" hidden="1" customWidth="1"/>
    <col min="11006" max="11234" width="9.140625" style="142"/>
    <col min="11235" max="11235" width="3" style="142" customWidth="1"/>
    <col min="11236" max="11236" width="18.7109375" style="142" customWidth="1"/>
    <col min="11237" max="11256" width="2.85546875" style="142" customWidth="1"/>
    <col min="11257" max="11257" width="3" style="142" bestFit="1" customWidth="1"/>
    <col min="11258" max="11258" width="10.5703125" style="142" customWidth="1"/>
    <col min="11259" max="11261" width="0" style="142" hidden="1" customWidth="1"/>
    <col min="11262" max="11490" width="9.140625" style="142"/>
    <col min="11491" max="11491" width="3" style="142" customWidth="1"/>
    <col min="11492" max="11492" width="18.7109375" style="142" customWidth="1"/>
    <col min="11493" max="11512" width="2.85546875" style="142" customWidth="1"/>
    <col min="11513" max="11513" width="3" style="142" bestFit="1" customWidth="1"/>
    <col min="11514" max="11514" width="10.5703125" style="142" customWidth="1"/>
    <col min="11515" max="11517" width="0" style="142" hidden="1" customWidth="1"/>
    <col min="11518" max="11746" width="9.140625" style="142"/>
    <col min="11747" max="11747" width="3" style="142" customWidth="1"/>
    <col min="11748" max="11748" width="18.7109375" style="142" customWidth="1"/>
    <col min="11749" max="11768" width="2.85546875" style="142" customWidth="1"/>
    <col min="11769" max="11769" width="3" style="142" bestFit="1" customWidth="1"/>
    <col min="11770" max="11770" width="10.5703125" style="142" customWidth="1"/>
    <col min="11771" max="11773" width="0" style="142" hidden="1" customWidth="1"/>
    <col min="11774" max="12002" width="9.140625" style="142"/>
    <col min="12003" max="12003" width="3" style="142" customWidth="1"/>
    <col min="12004" max="12004" width="18.7109375" style="142" customWidth="1"/>
    <col min="12005" max="12024" width="2.85546875" style="142" customWidth="1"/>
    <col min="12025" max="12025" width="3" style="142" bestFit="1" customWidth="1"/>
    <col min="12026" max="12026" width="10.5703125" style="142" customWidth="1"/>
    <col min="12027" max="12029" width="0" style="142" hidden="1" customWidth="1"/>
    <col min="12030" max="12258" width="9.140625" style="142"/>
    <col min="12259" max="12259" width="3" style="142" customWidth="1"/>
    <col min="12260" max="12260" width="18.7109375" style="142" customWidth="1"/>
    <col min="12261" max="12280" width="2.85546875" style="142" customWidth="1"/>
    <col min="12281" max="12281" width="3" style="142" bestFit="1" customWidth="1"/>
    <col min="12282" max="12282" width="10.5703125" style="142" customWidth="1"/>
    <col min="12283" max="12285" width="0" style="142" hidden="1" customWidth="1"/>
    <col min="12286" max="12514" width="9.140625" style="142"/>
    <col min="12515" max="12515" width="3" style="142" customWidth="1"/>
    <col min="12516" max="12516" width="18.7109375" style="142" customWidth="1"/>
    <col min="12517" max="12536" width="2.85546875" style="142" customWidth="1"/>
    <col min="12537" max="12537" width="3" style="142" bestFit="1" customWidth="1"/>
    <col min="12538" max="12538" width="10.5703125" style="142" customWidth="1"/>
    <col min="12539" max="12541" width="0" style="142" hidden="1" customWidth="1"/>
    <col min="12542" max="12770" width="9.140625" style="142"/>
    <col min="12771" max="12771" width="3" style="142" customWidth="1"/>
    <col min="12772" max="12772" width="18.7109375" style="142" customWidth="1"/>
    <col min="12773" max="12792" width="2.85546875" style="142" customWidth="1"/>
    <col min="12793" max="12793" width="3" style="142" bestFit="1" customWidth="1"/>
    <col min="12794" max="12794" width="10.5703125" style="142" customWidth="1"/>
    <col min="12795" max="12797" width="0" style="142" hidden="1" customWidth="1"/>
    <col min="12798" max="13026" width="9.140625" style="142"/>
    <col min="13027" max="13027" width="3" style="142" customWidth="1"/>
    <col min="13028" max="13028" width="18.7109375" style="142" customWidth="1"/>
    <col min="13029" max="13048" width="2.85546875" style="142" customWidth="1"/>
    <col min="13049" max="13049" width="3" style="142" bestFit="1" customWidth="1"/>
    <col min="13050" max="13050" width="10.5703125" style="142" customWidth="1"/>
    <col min="13051" max="13053" width="0" style="142" hidden="1" customWidth="1"/>
    <col min="13054" max="13282" width="9.140625" style="142"/>
    <col min="13283" max="13283" width="3" style="142" customWidth="1"/>
    <col min="13284" max="13284" width="18.7109375" style="142" customWidth="1"/>
    <col min="13285" max="13304" width="2.85546875" style="142" customWidth="1"/>
    <col min="13305" max="13305" width="3" style="142" bestFit="1" customWidth="1"/>
    <col min="13306" max="13306" width="10.5703125" style="142" customWidth="1"/>
    <col min="13307" max="13309" width="0" style="142" hidden="1" customWidth="1"/>
    <col min="13310" max="13538" width="9.140625" style="142"/>
    <col min="13539" max="13539" width="3" style="142" customWidth="1"/>
    <col min="13540" max="13540" width="18.7109375" style="142" customWidth="1"/>
    <col min="13541" max="13560" width="2.85546875" style="142" customWidth="1"/>
    <col min="13561" max="13561" width="3" style="142" bestFit="1" customWidth="1"/>
    <col min="13562" max="13562" width="10.5703125" style="142" customWidth="1"/>
    <col min="13563" max="13565" width="0" style="142" hidden="1" customWidth="1"/>
    <col min="13566" max="13794" width="9.140625" style="142"/>
    <col min="13795" max="13795" width="3" style="142" customWidth="1"/>
    <col min="13796" max="13796" width="18.7109375" style="142" customWidth="1"/>
    <col min="13797" max="13816" width="2.85546875" style="142" customWidth="1"/>
    <col min="13817" max="13817" width="3" style="142" bestFit="1" customWidth="1"/>
    <col min="13818" max="13818" width="10.5703125" style="142" customWidth="1"/>
    <col min="13819" max="13821" width="0" style="142" hidden="1" customWidth="1"/>
    <col min="13822" max="14050" width="9.140625" style="142"/>
    <col min="14051" max="14051" width="3" style="142" customWidth="1"/>
    <col min="14052" max="14052" width="18.7109375" style="142" customWidth="1"/>
    <col min="14053" max="14072" width="2.85546875" style="142" customWidth="1"/>
    <col min="14073" max="14073" width="3" style="142" bestFit="1" customWidth="1"/>
    <col min="14074" max="14074" width="10.5703125" style="142" customWidth="1"/>
    <col min="14075" max="14077" width="0" style="142" hidden="1" customWidth="1"/>
    <col min="14078" max="14306" width="9.140625" style="142"/>
    <col min="14307" max="14307" width="3" style="142" customWidth="1"/>
    <col min="14308" max="14308" width="18.7109375" style="142" customWidth="1"/>
    <col min="14309" max="14328" width="2.85546875" style="142" customWidth="1"/>
    <col min="14329" max="14329" width="3" style="142" bestFit="1" customWidth="1"/>
    <col min="14330" max="14330" width="10.5703125" style="142" customWidth="1"/>
    <col min="14331" max="14333" width="0" style="142" hidden="1" customWidth="1"/>
    <col min="14334" max="14562" width="9.140625" style="142"/>
    <col min="14563" max="14563" width="3" style="142" customWidth="1"/>
    <col min="14564" max="14564" width="18.7109375" style="142" customWidth="1"/>
    <col min="14565" max="14584" width="2.85546875" style="142" customWidth="1"/>
    <col min="14585" max="14585" width="3" style="142" bestFit="1" customWidth="1"/>
    <col min="14586" max="14586" width="10.5703125" style="142" customWidth="1"/>
    <col min="14587" max="14589" width="0" style="142" hidden="1" customWidth="1"/>
    <col min="14590" max="14818" width="9.140625" style="142"/>
    <col min="14819" max="14819" width="3" style="142" customWidth="1"/>
    <col min="14820" max="14820" width="18.7109375" style="142" customWidth="1"/>
    <col min="14821" max="14840" width="2.85546875" style="142" customWidth="1"/>
    <col min="14841" max="14841" width="3" style="142" bestFit="1" customWidth="1"/>
    <col min="14842" max="14842" width="10.5703125" style="142" customWidth="1"/>
    <col min="14843" max="14845" width="0" style="142" hidden="1" customWidth="1"/>
    <col min="14846" max="15074" width="9.140625" style="142"/>
    <col min="15075" max="15075" width="3" style="142" customWidth="1"/>
    <col min="15076" max="15076" width="18.7109375" style="142" customWidth="1"/>
    <col min="15077" max="15096" width="2.85546875" style="142" customWidth="1"/>
    <col min="15097" max="15097" width="3" style="142" bestFit="1" customWidth="1"/>
    <col min="15098" max="15098" width="10.5703125" style="142" customWidth="1"/>
    <col min="15099" max="15101" width="0" style="142" hidden="1" customWidth="1"/>
    <col min="15102" max="15330" width="9.140625" style="142"/>
    <col min="15331" max="15331" width="3" style="142" customWidth="1"/>
    <col min="15332" max="15332" width="18.7109375" style="142" customWidth="1"/>
    <col min="15333" max="15352" width="2.85546875" style="142" customWidth="1"/>
    <col min="15353" max="15353" width="3" style="142" bestFit="1" customWidth="1"/>
    <col min="15354" max="15354" width="10.5703125" style="142" customWidth="1"/>
    <col min="15355" max="15357" width="0" style="142" hidden="1" customWidth="1"/>
    <col min="15358" max="15586" width="9.140625" style="142"/>
    <col min="15587" max="15587" width="3" style="142" customWidth="1"/>
    <col min="15588" max="15588" width="18.7109375" style="142" customWidth="1"/>
    <col min="15589" max="15608" width="2.85546875" style="142" customWidth="1"/>
    <col min="15609" max="15609" width="3" style="142" bestFit="1" customWidth="1"/>
    <col min="15610" max="15610" width="10.5703125" style="142" customWidth="1"/>
    <col min="15611" max="15613" width="0" style="142" hidden="1" customWidth="1"/>
    <col min="15614" max="15842" width="9.140625" style="142"/>
    <col min="15843" max="15843" width="3" style="142" customWidth="1"/>
    <col min="15844" max="15844" width="18.7109375" style="142" customWidth="1"/>
    <col min="15845" max="15864" width="2.85546875" style="142" customWidth="1"/>
    <col min="15865" max="15865" width="3" style="142" bestFit="1" customWidth="1"/>
    <col min="15866" max="15866" width="10.5703125" style="142" customWidth="1"/>
    <col min="15867" max="15869" width="0" style="142" hidden="1" customWidth="1"/>
    <col min="15870" max="16098" width="9.140625" style="142"/>
    <col min="16099" max="16099" width="3" style="142" customWidth="1"/>
    <col min="16100" max="16100" width="18.7109375" style="142" customWidth="1"/>
    <col min="16101" max="16120" width="2.85546875" style="142" customWidth="1"/>
    <col min="16121" max="16121" width="3" style="142" bestFit="1" customWidth="1"/>
    <col min="16122" max="16122" width="10.5703125" style="142" customWidth="1"/>
    <col min="16123" max="16125" width="0" style="142" hidden="1" customWidth="1"/>
    <col min="16126" max="16384" width="9.140625" style="142"/>
  </cols>
  <sheetData>
    <row r="1" spans="1:29" s="135" customFormat="1" x14ac:dyDescent="0.2">
      <c r="A1" s="117" t="str">
        <f>UPPER((Kalend!E13)&amp;" - "&amp;(Kalend!C13)&amp;" - "&amp;(Kalend!D13))</f>
        <v>5M - 17. EESTI MV - TULISTAMINE</v>
      </c>
      <c r="B1" s="206"/>
      <c r="C1" s="206"/>
      <c r="D1" s="206"/>
      <c r="E1" s="206"/>
      <c r="I1" s="204" t="s">
        <v>169</v>
      </c>
      <c r="Q1" s="85" t="str">
        <f>HYPERLINK("#Üldreiting!I1","Reiting")</f>
        <v>Reiting</v>
      </c>
      <c r="R1" s="206"/>
      <c r="S1" s="206"/>
      <c r="T1" s="206"/>
      <c r="U1" s="206"/>
    </row>
    <row r="2" spans="1:29" s="135" customFormat="1" x14ac:dyDescent="0.2">
      <c r="A2" s="116" t="str">
        <f>"Toimumisaeg: "&amp;(Kalend!A13)&amp;" kell "&amp;(Kalend!B13)</f>
        <v>Toimumisaeg: P, 11.06.2017 kell 10:00</v>
      </c>
      <c r="B2" s="206"/>
      <c r="C2" s="206"/>
      <c r="D2" s="206"/>
      <c r="E2" s="206"/>
      <c r="O2" s="206"/>
      <c r="P2" s="206"/>
      <c r="Q2" s="206"/>
      <c r="R2" s="206"/>
      <c r="S2" s="206"/>
      <c r="T2" s="206"/>
    </row>
    <row r="3" spans="1:29" s="135" customFormat="1" x14ac:dyDescent="0.2">
      <c r="A3" s="116" t="str">
        <f>"Toimumiskoht: "&amp;(Kalend!H13)</f>
        <v>Toimumiskoht: Kohtla-Järve, Järveküla tee 44</v>
      </c>
      <c r="B3" s="206"/>
      <c r="C3" s="206"/>
      <c r="D3" s="206"/>
      <c r="E3" s="206"/>
      <c r="O3" s="206"/>
      <c r="P3" s="206"/>
      <c r="Q3" s="206"/>
      <c r="R3" s="206"/>
      <c r="S3" s="206"/>
      <c r="T3" s="206"/>
    </row>
    <row r="4" spans="1:29" s="135" customFormat="1" x14ac:dyDescent="0.2">
      <c r="A4" s="116" t="str">
        <f>"Korraldaja: "&amp;(Kalend!I13)</f>
        <v>Korraldaja: Kohtla-Järve SHK, Ivar Viljaste</v>
      </c>
      <c r="B4" s="206"/>
      <c r="C4" s="206"/>
      <c r="D4" s="206"/>
      <c r="E4" s="206"/>
      <c r="O4" s="206"/>
      <c r="P4" s="206"/>
      <c r="Q4" s="206"/>
      <c r="R4" s="206"/>
      <c r="S4" s="206"/>
      <c r="T4" s="206"/>
    </row>
    <row r="5" spans="1:29" s="135" customFormat="1" ht="13.5" thickBot="1" x14ac:dyDescent="0.25">
      <c r="A5" s="206"/>
      <c r="B5" s="206"/>
      <c r="C5" s="206"/>
      <c r="D5" s="206"/>
      <c r="E5" s="206"/>
      <c r="F5" s="206"/>
      <c r="G5" s="206"/>
      <c r="H5" s="206"/>
      <c r="I5" s="206"/>
      <c r="J5" s="206"/>
      <c r="K5" s="206"/>
    </row>
    <row r="6" spans="1:29" ht="58.5" customHeight="1" thickBot="1" x14ac:dyDescent="0.25">
      <c r="A6" s="232"/>
      <c r="B6" s="233"/>
      <c r="C6" s="234"/>
      <c r="D6" s="234"/>
      <c r="E6" s="234"/>
      <c r="F6" s="234"/>
      <c r="G6" s="235"/>
      <c r="H6" s="234"/>
      <c r="I6" s="234"/>
      <c r="J6" s="236"/>
      <c r="K6" s="234"/>
      <c r="L6" s="234"/>
      <c r="M6" s="234"/>
      <c r="N6" s="234"/>
      <c r="O6" s="235"/>
      <c r="P6" s="234"/>
      <c r="Q6" s="234"/>
      <c r="R6" s="236"/>
      <c r="S6" s="234"/>
      <c r="T6" s="234"/>
      <c r="U6" s="234"/>
      <c r="V6" s="234"/>
      <c r="W6" s="237"/>
      <c r="X6" s="237"/>
      <c r="Y6" s="508" t="s">
        <v>716</v>
      </c>
    </row>
    <row r="7" spans="1:29" s="143" customFormat="1" ht="13.5" thickBot="1" x14ac:dyDescent="0.25">
      <c r="A7" s="509"/>
      <c r="B7" s="239"/>
      <c r="C7" s="240">
        <v>6</v>
      </c>
      <c r="D7" s="241">
        <v>7</v>
      </c>
      <c r="E7" s="241">
        <v>8</v>
      </c>
      <c r="F7" s="242">
        <v>9</v>
      </c>
      <c r="G7" s="240">
        <v>6</v>
      </c>
      <c r="H7" s="241">
        <v>7</v>
      </c>
      <c r="I7" s="241">
        <v>8</v>
      </c>
      <c r="J7" s="242">
        <v>9</v>
      </c>
      <c r="K7" s="240">
        <v>6</v>
      </c>
      <c r="L7" s="241">
        <v>7</v>
      </c>
      <c r="M7" s="241">
        <v>8</v>
      </c>
      <c r="N7" s="242">
        <v>9</v>
      </c>
      <c r="O7" s="240">
        <v>6</v>
      </c>
      <c r="P7" s="241">
        <v>7</v>
      </c>
      <c r="Q7" s="241">
        <v>8</v>
      </c>
      <c r="R7" s="242">
        <v>9</v>
      </c>
      <c r="S7" s="240">
        <v>6</v>
      </c>
      <c r="T7" s="241">
        <v>7</v>
      </c>
      <c r="U7" s="241">
        <v>8</v>
      </c>
      <c r="V7" s="242">
        <v>9</v>
      </c>
      <c r="W7" s="634" t="s">
        <v>155</v>
      </c>
      <c r="X7" s="244" t="s">
        <v>222</v>
      </c>
      <c r="Y7" s="244" t="s">
        <v>709</v>
      </c>
    </row>
    <row r="8" spans="1:29" x14ac:dyDescent="0.2">
      <c r="A8" s="510" t="s">
        <v>717</v>
      </c>
      <c r="B8" s="246" t="s">
        <v>221</v>
      </c>
      <c r="C8" s="247"/>
      <c r="D8" s="248"/>
      <c r="E8" s="248"/>
      <c r="F8" s="249"/>
      <c r="G8" s="247"/>
      <c r="H8" s="248"/>
      <c r="I8" s="248"/>
      <c r="J8" s="249"/>
      <c r="K8" s="247"/>
      <c r="L8" s="248"/>
      <c r="M8" s="248"/>
      <c r="N8" s="249"/>
      <c r="O8" s="247"/>
      <c r="P8" s="248"/>
      <c r="Q8" s="248"/>
      <c r="R8" s="249"/>
      <c r="S8" s="247"/>
      <c r="T8" s="248"/>
      <c r="U8" s="248"/>
      <c r="V8" s="249"/>
      <c r="W8" s="635"/>
      <c r="X8" s="250"/>
      <c r="Y8" s="511"/>
    </row>
    <row r="9" spans="1:29" x14ac:dyDescent="0.2">
      <c r="A9" s="546">
        <v>1</v>
      </c>
      <c r="B9" s="636" t="s">
        <v>723</v>
      </c>
      <c r="C9" s="548">
        <v>0</v>
      </c>
      <c r="D9" s="550">
        <v>0</v>
      </c>
      <c r="E9" s="550">
        <v>0</v>
      </c>
      <c r="F9" s="551">
        <v>0</v>
      </c>
      <c r="G9" s="548">
        <v>0</v>
      </c>
      <c r="H9" s="550">
        <v>0</v>
      </c>
      <c r="I9" s="550">
        <v>0</v>
      </c>
      <c r="J9" s="551">
        <v>0</v>
      </c>
      <c r="K9" s="548">
        <v>0</v>
      </c>
      <c r="L9" s="550">
        <v>0</v>
      </c>
      <c r="M9" s="550">
        <v>0</v>
      </c>
      <c r="N9" s="551">
        <v>0</v>
      </c>
      <c r="O9" s="548">
        <v>0</v>
      </c>
      <c r="P9" s="550">
        <v>0</v>
      </c>
      <c r="Q9" s="550">
        <v>0</v>
      </c>
      <c r="R9" s="551">
        <v>0</v>
      </c>
      <c r="S9" s="548">
        <v>0</v>
      </c>
      <c r="T9" s="550">
        <v>0</v>
      </c>
      <c r="U9" s="550">
        <v>0</v>
      </c>
      <c r="V9" s="551">
        <v>0</v>
      </c>
      <c r="W9" s="637">
        <f>SUM(C9:V9)+COUNTIF(C9:V9,5)/100+COUNTIF(C9:V9,3)/10000</f>
        <v>0</v>
      </c>
      <c r="X9" s="714" t="s">
        <v>771</v>
      </c>
    </row>
    <row r="10" spans="1:29" x14ac:dyDescent="0.2">
      <c r="A10" s="546">
        <v>2</v>
      </c>
      <c r="B10" s="638" t="s">
        <v>50</v>
      </c>
      <c r="C10" s="548">
        <v>0</v>
      </c>
      <c r="D10" s="550">
        <v>3</v>
      </c>
      <c r="E10" s="550">
        <v>0</v>
      </c>
      <c r="F10" s="551">
        <v>0</v>
      </c>
      <c r="G10" s="548">
        <v>0</v>
      </c>
      <c r="H10" s="550">
        <v>0</v>
      </c>
      <c r="I10" s="550">
        <v>0</v>
      </c>
      <c r="J10" s="551">
        <v>0</v>
      </c>
      <c r="K10" s="548">
        <v>0</v>
      </c>
      <c r="L10" s="550">
        <v>1</v>
      </c>
      <c r="M10" s="550">
        <v>0</v>
      </c>
      <c r="N10" s="551">
        <v>0</v>
      </c>
      <c r="O10" s="548">
        <v>0</v>
      </c>
      <c r="P10" s="550">
        <v>3</v>
      </c>
      <c r="Q10" s="550">
        <v>0</v>
      </c>
      <c r="R10" s="551">
        <v>1</v>
      </c>
      <c r="S10" s="548">
        <v>0</v>
      </c>
      <c r="T10" s="550">
        <v>0</v>
      </c>
      <c r="U10" s="550">
        <v>0</v>
      </c>
      <c r="V10" s="551">
        <v>0</v>
      </c>
      <c r="W10" s="637">
        <f t="shared" ref="W10:W14" si="0">SUM(C10:V10)+COUNTIF(C10:V10,5)/100+COUNTIF(C10:V10,3)/10000</f>
        <v>8.0001999999999995</v>
      </c>
      <c r="X10" s="552" t="s">
        <v>772</v>
      </c>
    </row>
    <row r="11" spans="1:29" x14ac:dyDescent="0.2">
      <c r="A11" s="169">
        <v>3</v>
      </c>
      <c r="B11" s="639" t="s">
        <v>638</v>
      </c>
      <c r="C11" s="166">
        <v>3</v>
      </c>
      <c r="D11" s="167">
        <v>3</v>
      </c>
      <c r="E11" s="167">
        <v>0</v>
      </c>
      <c r="F11" s="168">
        <v>0</v>
      </c>
      <c r="G11" s="166">
        <v>0</v>
      </c>
      <c r="H11" s="167">
        <v>0</v>
      </c>
      <c r="I11" s="167">
        <v>0</v>
      </c>
      <c r="J11" s="168">
        <v>0</v>
      </c>
      <c r="K11" s="166">
        <v>1</v>
      </c>
      <c r="L11" s="167">
        <v>0</v>
      </c>
      <c r="M11" s="167">
        <v>0</v>
      </c>
      <c r="N11" s="168">
        <v>0</v>
      </c>
      <c r="O11" s="166">
        <v>0</v>
      </c>
      <c r="P11" s="167">
        <v>0</v>
      </c>
      <c r="Q11" s="167">
        <v>0</v>
      </c>
      <c r="R11" s="168">
        <v>0</v>
      </c>
      <c r="S11" s="166">
        <v>0</v>
      </c>
      <c r="T11" s="167">
        <v>0</v>
      </c>
      <c r="U11" s="167">
        <v>0</v>
      </c>
      <c r="V11" s="168">
        <v>0</v>
      </c>
      <c r="W11" s="637">
        <f t="shared" si="0"/>
        <v>7.0002000000000004</v>
      </c>
      <c r="X11" s="150" t="s">
        <v>768</v>
      </c>
    </row>
    <row r="12" spans="1:29" x14ac:dyDescent="0.2">
      <c r="A12" s="169">
        <v>4</v>
      </c>
      <c r="B12" s="639" t="s">
        <v>52</v>
      </c>
      <c r="C12" s="166">
        <v>0</v>
      </c>
      <c r="D12" s="167">
        <v>0</v>
      </c>
      <c r="E12" s="167">
        <v>1</v>
      </c>
      <c r="F12" s="168">
        <v>0</v>
      </c>
      <c r="G12" s="166">
        <v>0</v>
      </c>
      <c r="H12" s="167">
        <v>3</v>
      </c>
      <c r="I12" s="167">
        <v>0</v>
      </c>
      <c r="J12" s="168">
        <v>0</v>
      </c>
      <c r="K12" s="166">
        <v>0</v>
      </c>
      <c r="L12" s="167">
        <v>0</v>
      </c>
      <c r="M12" s="167">
        <v>0</v>
      </c>
      <c r="N12" s="168">
        <v>0</v>
      </c>
      <c r="O12" s="166">
        <v>0</v>
      </c>
      <c r="P12" s="167">
        <v>0</v>
      </c>
      <c r="Q12" s="167">
        <v>0</v>
      </c>
      <c r="R12" s="168">
        <v>0</v>
      </c>
      <c r="S12" s="166">
        <v>0</v>
      </c>
      <c r="T12" s="167">
        <v>0</v>
      </c>
      <c r="U12" s="167">
        <v>0</v>
      </c>
      <c r="V12" s="168">
        <v>0</v>
      </c>
      <c r="W12" s="637">
        <f t="shared" si="0"/>
        <v>4.0000999999999998</v>
      </c>
      <c r="X12" s="150" t="s">
        <v>769</v>
      </c>
    </row>
    <row r="13" spans="1:29" x14ac:dyDescent="0.2">
      <c r="A13" s="546">
        <v>5</v>
      </c>
      <c r="B13" s="636" t="s">
        <v>36</v>
      </c>
      <c r="C13" s="548">
        <v>0</v>
      </c>
      <c r="D13" s="550">
        <v>0</v>
      </c>
      <c r="E13" s="550">
        <v>0</v>
      </c>
      <c r="F13" s="551">
        <v>0</v>
      </c>
      <c r="G13" s="548">
        <v>0</v>
      </c>
      <c r="H13" s="550">
        <v>0</v>
      </c>
      <c r="I13" s="550">
        <v>0</v>
      </c>
      <c r="J13" s="551">
        <v>0</v>
      </c>
      <c r="K13" s="548">
        <v>0</v>
      </c>
      <c r="L13" s="550">
        <v>0</v>
      </c>
      <c r="M13" s="550">
        <v>0</v>
      </c>
      <c r="N13" s="551">
        <v>0</v>
      </c>
      <c r="O13" s="548">
        <v>0</v>
      </c>
      <c r="P13" s="550">
        <v>0</v>
      </c>
      <c r="Q13" s="550">
        <v>0</v>
      </c>
      <c r="R13" s="551">
        <v>0</v>
      </c>
      <c r="S13" s="548">
        <v>3</v>
      </c>
      <c r="T13" s="550">
        <v>0</v>
      </c>
      <c r="U13" s="550">
        <v>0</v>
      </c>
      <c r="V13" s="551">
        <v>0</v>
      </c>
      <c r="W13" s="637">
        <f t="shared" si="0"/>
        <v>3.0001000000000002</v>
      </c>
      <c r="X13" s="552" t="s">
        <v>770</v>
      </c>
    </row>
    <row r="14" spans="1:29" ht="13.5" thickBot="1" x14ac:dyDescent="0.25">
      <c r="A14" s="546">
        <v>6</v>
      </c>
      <c r="B14" s="641" t="s">
        <v>42</v>
      </c>
      <c r="C14" s="548">
        <v>0</v>
      </c>
      <c r="D14" s="550">
        <v>0</v>
      </c>
      <c r="E14" s="550">
        <v>3</v>
      </c>
      <c r="F14" s="551">
        <v>0</v>
      </c>
      <c r="G14" s="548">
        <v>5</v>
      </c>
      <c r="H14" s="550">
        <v>3</v>
      </c>
      <c r="I14" s="550">
        <v>3</v>
      </c>
      <c r="J14" s="551">
        <v>0</v>
      </c>
      <c r="K14" s="548">
        <v>1</v>
      </c>
      <c r="L14" s="550">
        <v>3</v>
      </c>
      <c r="M14" s="550">
        <v>1</v>
      </c>
      <c r="N14" s="551">
        <v>0</v>
      </c>
      <c r="O14" s="548">
        <v>3</v>
      </c>
      <c r="P14" s="550">
        <v>0</v>
      </c>
      <c r="Q14" s="550">
        <v>3</v>
      </c>
      <c r="R14" s="551">
        <v>3</v>
      </c>
      <c r="S14" s="548">
        <v>0</v>
      </c>
      <c r="T14" s="550">
        <v>0</v>
      </c>
      <c r="U14" s="550">
        <v>0</v>
      </c>
      <c r="V14" s="551">
        <v>0</v>
      </c>
      <c r="W14" s="584">
        <f t="shared" si="0"/>
        <v>28.0107</v>
      </c>
      <c r="X14" s="552" t="s">
        <v>773</v>
      </c>
    </row>
    <row r="15" spans="1:29" ht="13.5" hidden="1" thickBot="1" x14ac:dyDescent="0.25">
      <c r="A15" s="544"/>
      <c r="B15" s="545" t="s">
        <v>718</v>
      </c>
      <c r="C15" s="144"/>
      <c r="D15" s="145"/>
      <c r="E15" s="145"/>
      <c r="F15" s="146"/>
      <c r="G15" s="144"/>
      <c r="H15" s="145"/>
      <c r="I15" s="145"/>
      <c r="J15" s="146"/>
      <c r="K15" s="144"/>
      <c r="L15" s="145"/>
      <c r="M15" s="145"/>
      <c r="N15" s="146"/>
      <c r="O15" s="144"/>
      <c r="P15" s="145"/>
      <c r="Q15" s="145"/>
      <c r="R15" s="146"/>
      <c r="S15" s="144"/>
      <c r="T15" s="145"/>
      <c r="U15" s="145"/>
      <c r="V15" s="146"/>
      <c r="W15" s="661"/>
      <c r="X15" s="250"/>
      <c r="Z15" s="148"/>
      <c r="AA15" s="149" t="s">
        <v>215</v>
      </c>
      <c r="AB15" s="149" t="s">
        <v>216</v>
      </c>
    </row>
    <row r="16" spans="1:29" ht="13.5" hidden="1" thickBot="1" x14ac:dyDescent="0.25">
      <c r="A16" s="546"/>
      <c r="B16" s="547"/>
      <c r="C16" s="548"/>
      <c r="D16" s="549"/>
      <c r="E16" s="550"/>
      <c r="F16" s="551"/>
      <c r="G16" s="548"/>
      <c r="H16" s="549"/>
      <c r="I16" s="550"/>
      <c r="J16" s="551"/>
      <c r="K16" s="548"/>
      <c r="L16" s="549"/>
      <c r="M16" s="550"/>
      <c r="N16" s="551"/>
      <c r="O16" s="548"/>
      <c r="P16" s="549"/>
      <c r="Q16" s="550"/>
      <c r="R16" s="551"/>
      <c r="S16" s="548"/>
      <c r="T16" s="549"/>
      <c r="U16" s="550"/>
      <c r="V16" s="551"/>
      <c r="W16" s="584" t="str">
        <f t="shared" ref="W16:W88" si="1">IF(COUNTA(C16:V16)=0,"",SUM(C16:V16)+COUNTIF(C16:V16,5)/100+COUNTIF(C16:V16,3)/10000)</f>
        <v/>
      </c>
      <c r="X16" s="552"/>
      <c r="AC16" s="526"/>
    </row>
    <row r="17" spans="1:29" ht="13.5" hidden="1" thickBot="1" x14ac:dyDescent="0.25">
      <c r="A17" s="546"/>
      <c r="B17" s="547"/>
      <c r="C17" s="548"/>
      <c r="D17" s="549"/>
      <c r="E17" s="550"/>
      <c r="F17" s="551"/>
      <c r="G17" s="548"/>
      <c r="H17" s="549"/>
      <c r="I17" s="550"/>
      <c r="J17" s="551"/>
      <c r="K17" s="548"/>
      <c r="L17" s="549"/>
      <c r="M17" s="550"/>
      <c r="N17" s="551"/>
      <c r="O17" s="548"/>
      <c r="P17" s="549"/>
      <c r="Q17" s="550"/>
      <c r="R17" s="551"/>
      <c r="S17" s="548"/>
      <c r="T17" s="549"/>
      <c r="U17" s="550"/>
      <c r="V17" s="551"/>
      <c r="W17" s="584" t="str">
        <f t="shared" si="1"/>
        <v/>
      </c>
      <c r="X17" s="552"/>
      <c r="AC17" s="526"/>
    </row>
    <row r="18" spans="1:29" ht="13.5" hidden="1" thickBot="1" x14ac:dyDescent="0.25">
      <c r="A18" s="546"/>
      <c r="B18" s="553"/>
      <c r="C18" s="548"/>
      <c r="D18" s="549"/>
      <c r="E18" s="550"/>
      <c r="F18" s="551"/>
      <c r="G18" s="548"/>
      <c r="H18" s="549"/>
      <c r="I18" s="550"/>
      <c r="J18" s="551"/>
      <c r="K18" s="548"/>
      <c r="L18" s="549"/>
      <c r="M18" s="550"/>
      <c r="N18" s="551"/>
      <c r="O18" s="548"/>
      <c r="P18" s="549"/>
      <c r="Q18" s="550"/>
      <c r="R18" s="551"/>
      <c r="S18" s="548"/>
      <c r="T18" s="549"/>
      <c r="U18" s="550"/>
      <c r="V18" s="551"/>
      <c r="W18" s="584" t="str">
        <f t="shared" si="1"/>
        <v/>
      </c>
      <c r="X18" s="552"/>
      <c r="AC18" s="526"/>
    </row>
    <row r="19" spans="1:29" ht="13.5" hidden="1" thickBot="1" x14ac:dyDescent="0.25">
      <c r="A19" s="546"/>
      <c r="B19" s="547"/>
      <c r="C19" s="548"/>
      <c r="D19" s="549"/>
      <c r="E19" s="550"/>
      <c r="F19" s="551"/>
      <c r="G19" s="548"/>
      <c r="H19" s="549"/>
      <c r="I19" s="550"/>
      <c r="J19" s="551"/>
      <c r="K19" s="548"/>
      <c r="L19" s="549"/>
      <c r="M19" s="550"/>
      <c r="N19" s="551"/>
      <c r="O19" s="548"/>
      <c r="P19" s="549"/>
      <c r="Q19" s="550"/>
      <c r="R19" s="551"/>
      <c r="S19" s="548"/>
      <c r="T19" s="549"/>
      <c r="U19" s="550"/>
      <c r="V19" s="551"/>
      <c r="W19" s="584" t="str">
        <f t="shared" si="1"/>
        <v/>
      </c>
      <c r="X19" s="552"/>
      <c r="AC19" s="526"/>
    </row>
    <row r="20" spans="1:29" ht="13.5" hidden="1" thickBot="1" x14ac:dyDescent="0.25">
      <c r="A20" s="169"/>
      <c r="B20" s="554"/>
      <c r="C20" s="166"/>
      <c r="D20" s="163"/>
      <c r="E20" s="167"/>
      <c r="F20" s="168"/>
      <c r="G20" s="166"/>
      <c r="H20" s="163"/>
      <c r="I20" s="167"/>
      <c r="J20" s="168"/>
      <c r="K20" s="166"/>
      <c r="L20" s="163"/>
      <c r="M20" s="167"/>
      <c r="N20" s="168"/>
      <c r="O20" s="166"/>
      <c r="P20" s="163"/>
      <c r="Q20" s="167"/>
      <c r="R20" s="168"/>
      <c r="S20" s="166"/>
      <c r="T20" s="163"/>
      <c r="U20" s="167"/>
      <c r="V20" s="168"/>
      <c r="W20" s="584" t="str">
        <f t="shared" si="1"/>
        <v/>
      </c>
      <c r="X20" s="150"/>
      <c r="AC20" s="526"/>
    </row>
    <row r="21" spans="1:29" ht="13.5" hidden="1" thickBot="1" x14ac:dyDescent="0.25">
      <c r="A21" s="169"/>
      <c r="B21" s="259"/>
      <c r="C21" s="166"/>
      <c r="D21" s="163"/>
      <c r="E21" s="167"/>
      <c r="F21" s="168"/>
      <c r="G21" s="166"/>
      <c r="H21" s="163"/>
      <c r="I21" s="167"/>
      <c r="J21" s="168"/>
      <c r="K21" s="166"/>
      <c r="L21" s="163"/>
      <c r="M21" s="167"/>
      <c r="N21" s="168"/>
      <c r="O21" s="166"/>
      <c r="P21" s="163"/>
      <c r="Q21" s="167"/>
      <c r="R21" s="168"/>
      <c r="S21" s="166"/>
      <c r="T21" s="163"/>
      <c r="U21" s="167"/>
      <c r="V21" s="168"/>
      <c r="W21" s="584" t="str">
        <f t="shared" si="1"/>
        <v/>
      </c>
      <c r="X21" s="150"/>
      <c r="AC21" s="526"/>
    </row>
    <row r="22" spans="1:29" ht="13.5" hidden="1" thickBot="1" x14ac:dyDescent="0.25">
      <c r="A22" s="555"/>
      <c r="B22" s="199"/>
      <c r="C22" s="166"/>
      <c r="D22" s="163"/>
      <c r="E22" s="167"/>
      <c r="F22" s="168"/>
      <c r="G22" s="166"/>
      <c r="H22" s="163"/>
      <c r="I22" s="167"/>
      <c r="J22" s="168"/>
      <c r="K22" s="166"/>
      <c r="L22" s="163"/>
      <c r="M22" s="167"/>
      <c r="N22" s="168"/>
      <c r="O22" s="166"/>
      <c r="P22" s="163"/>
      <c r="Q22" s="167"/>
      <c r="R22" s="168"/>
      <c r="S22" s="166"/>
      <c r="T22" s="163"/>
      <c r="U22" s="167"/>
      <c r="V22" s="168"/>
      <c r="W22" s="584" t="str">
        <f t="shared" ref="W22:W47" si="2">IF(COUNTA(C22:V22)=0,"",SUM(C22:V22)+COUNTIF(C22:V22,5)/100+COUNTIF(C22:V22,3)/10000)</f>
        <v/>
      </c>
      <c r="X22" s="150"/>
    </row>
    <row r="23" spans="1:29" ht="13.5" hidden="1" thickBot="1" x14ac:dyDescent="0.25">
      <c r="A23" s="555"/>
      <c r="B23" s="199"/>
      <c r="C23" s="166"/>
      <c r="D23" s="163"/>
      <c r="E23" s="167"/>
      <c r="F23" s="168"/>
      <c r="G23" s="166"/>
      <c r="H23" s="163"/>
      <c r="I23" s="167"/>
      <c r="J23" s="168"/>
      <c r="K23" s="166"/>
      <c r="L23" s="163"/>
      <c r="M23" s="167"/>
      <c r="N23" s="168"/>
      <c r="O23" s="166"/>
      <c r="P23" s="163"/>
      <c r="Q23" s="167"/>
      <c r="R23" s="168"/>
      <c r="S23" s="166"/>
      <c r="T23" s="163"/>
      <c r="U23" s="167"/>
      <c r="V23" s="168"/>
      <c r="W23" s="584" t="str">
        <f t="shared" si="2"/>
        <v/>
      </c>
      <c r="X23" s="150"/>
    </row>
    <row r="24" spans="1:29" ht="13.5" hidden="1" thickBot="1" x14ac:dyDescent="0.25">
      <c r="A24" s="546"/>
      <c r="B24" s="547"/>
      <c r="C24" s="548"/>
      <c r="D24" s="549"/>
      <c r="E24" s="550"/>
      <c r="F24" s="551"/>
      <c r="G24" s="548"/>
      <c r="H24" s="549"/>
      <c r="I24" s="550"/>
      <c r="J24" s="551"/>
      <c r="K24" s="548"/>
      <c r="L24" s="549"/>
      <c r="M24" s="550"/>
      <c r="N24" s="551"/>
      <c r="O24" s="548"/>
      <c r="P24" s="549"/>
      <c r="Q24" s="550"/>
      <c r="R24" s="551"/>
      <c r="S24" s="548"/>
      <c r="T24" s="549"/>
      <c r="U24" s="550"/>
      <c r="V24" s="551"/>
      <c r="W24" s="584" t="str">
        <f t="shared" si="2"/>
        <v/>
      </c>
      <c r="X24" s="552"/>
      <c r="AC24" s="526"/>
    </row>
    <row r="25" spans="1:29" ht="13.5" hidden="1" thickBot="1" x14ac:dyDescent="0.25">
      <c r="A25" s="546"/>
      <c r="B25" s="547"/>
      <c r="C25" s="548"/>
      <c r="D25" s="549"/>
      <c r="E25" s="550"/>
      <c r="F25" s="551"/>
      <c r="G25" s="548"/>
      <c r="H25" s="549"/>
      <c r="I25" s="550"/>
      <c r="J25" s="551"/>
      <c r="K25" s="548"/>
      <c r="L25" s="549"/>
      <c r="M25" s="550"/>
      <c r="N25" s="551"/>
      <c r="O25" s="548"/>
      <c r="P25" s="549"/>
      <c r="Q25" s="550"/>
      <c r="R25" s="551"/>
      <c r="S25" s="548"/>
      <c r="T25" s="549"/>
      <c r="U25" s="550"/>
      <c r="V25" s="551"/>
      <c r="W25" s="584" t="str">
        <f t="shared" si="2"/>
        <v/>
      </c>
      <c r="X25" s="552"/>
      <c r="AC25" s="526"/>
    </row>
    <row r="26" spans="1:29" ht="13.5" hidden="1" thickBot="1" x14ac:dyDescent="0.25">
      <c r="A26" s="546"/>
      <c r="B26" s="553"/>
      <c r="C26" s="548"/>
      <c r="D26" s="549"/>
      <c r="E26" s="550"/>
      <c r="F26" s="551"/>
      <c r="G26" s="548"/>
      <c r="H26" s="549"/>
      <c r="I26" s="550"/>
      <c r="J26" s="551"/>
      <c r="K26" s="548"/>
      <c r="L26" s="549"/>
      <c r="M26" s="550"/>
      <c r="N26" s="551"/>
      <c r="O26" s="548"/>
      <c r="P26" s="549"/>
      <c r="Q26" s="550"/>
      <c r="R26" s="551"/>
      <c r="S26" s="548"/>
      <c r="T26" s="549"/>
      <c r="U26" s="550"/>
      <c r="V26" s="551"/>
      <c r="W26" s="584" t="str">
        <f t="shared" si="2"/>
        <v/>
      </c>
      <c r="X26" s="552"/>
      <c r="AC26" s="526"/>
    </row>
    <row r="27" spans="1:29" ht="13.5" hidden="1" thickBot="1" x14ac:dyDescent="0.25">
      <c r="A27" s="546"/>
      <c r="B27" s="547"/>
      <c r="C27" s="548"/>
      <c r="D27" s="549"/>
      <c r="E27" s="550"/>
      <c r="F27" s="551"/>
      <c r="G27" s="548"/>
      <c r="H27" s="549"/>
      <c r="I27" s="550"/>
      <c r="J27" s="551"/>
      <c r="K27" s="548"/>
      <c r="L27" s="549"/>
      <c r="M27" s="550"/>
      <c r="N27" s="551"/>
      <c r="O27" s="548"/>
      <c r="P27" s="549"/>
      <c r="Q27" s="550"/>
      <c r="R27" s="551"/>
      <c r="S27" s="548"/>
      <c r="T27" s="549"/>
      <c r="U27" s="550"/>
      <c r="V27" s="551"/>
      <c r="W27" s="584" t="str">
        <f t="shared" si="2"/>
        <v/>
      </c>
      <c r="X27" s="552"/>
      <c r="AC27" s="526"/>
    </row>
    <row r="28" spans="1:29" ht="13.5" hidden="1" thickBot="1" x14ac:dyDescent="0.25">
      <c r="A28" s="169"/>
      <c r="B28" s="554"/>
      <c r="C28" s="166"/>
      <c r="D28" s="163"/>
      <c r="E28" s="167"/>
      <c r="F28" s="168"/>
      <c r="G28" s="166"/>
      <c r="H28" s="163"/>
      <c r="I28" s="167"/>
      <c r="J28" s="168"/>
      <c r="K28" s="166"/>
      <c r="L28" s="163"/>
      <c r="M28" s="167"/>
      <c r="N28" s="168"/>
      <c r="O28" s="166"/>
      <c r="P28" s="163"/>
      <c r="Q28" s="167"/>
      <c r="R28" s="168"/>
      <c r="S28" s="166"/>
      <c r="T28" s="163"/>
      <c r="U28" s="167"/>
      <c r="V28" s="168"/>
      <c r="W28" s="584" t="str">
        <f t="shared" si="2"/>
        <v/>
      </c>
      <c r="X28" s="150"/>
      <c r="AC28" s="526"/>
    </row>
    <row r="29" spans="1:29" ht="13.5" hidden="1" thickBot="1" x14ac:dyDescent="0.25">
      <c r="A29" s="169"/>
      <c r="B29" s="259"/>
      <c r="C29" s="166"/>
      <c r="D29" s="163"/>
      <c r="E29" s="167"/>
      <c r="F29" s="168"/>
      <c r="G29" s="166"/>
      <c r="H29" s="163"/>
      <c r="I29" s="167"/>
      <c r="J29" s="168"/>
      <c r="K29" s="166"/>
      <c r="L29" s="163"/>
      <c r="M29" s="167"/>
      <c r="N29" s="168"/>
      <c r="O29" s="166"/>
      <c r="P29" s="163"/>
      <c r="Q29" s="167"/>
      <c r="R29" s="168"/>
      <c r="S29" s="166"/>
      <c r="T29" s="163"/>
      <c r="U29" s="167"/>
      <c r="V29" s="168"/>
      <c r="W29" s="584" t="str">
        <f t="shared" si="2"/>
        <v/>
      </c>
      <c r="X29" s="150"/>
      <c r="AC29" s="526"/>
    </row>
    <row r="30" spans="1:29" ht="13.5" hidden="1" thickBot="1" x14ac:dyDescent="0.25">
      <c r="A30" s="555"/>
      <c r="B30" s="199"/>
      <c r="C30" s="166"/>
      <c r="D30" s="163"/>
      <c r="E30" s="167"/>
      <c r="F30" s="168"/>
      <c r="G30" s="166"/>
      <c r="H30" s="163"/>
      <c r="I30" s="167"/>
      <c r="J30" s="168"/>
      <c r="K30" s="166"/>
      <c r="L30" s="163"/>
      <c r="M30" s="167"/>
      <c r="N30" s="168"/>
      <c r="O30" s="166"/>
      <c r="P30" s="163"/>
      <c r="Q30" s="167"/>
      <c r="R30" s="168"/>
      <c r="S30" s="166"/>
      <c r="T30" s="163"/>
      <c r="U30" s="167"/>
      <c r="V30" s="168"/>
      <c r="W30" s="584" t="str">
        <f t="shared" si="2"/>
        <v/>
      </c>
      <c r="X30" s="150"/>
    </row>
    <row r="31" spans="1:29" ht="13.5" hidden="1" thickBot="1" x14ac:dyDescent="0.25">
      <c r="A31" s="555"/>
      <c r="B31" s="199"/>
      <c r="C31" s="166"/>
      <c r="D31" s="163"/>
      <c r="E31" s="167"/>
      <c r="F31" s="168"/>
      <c r="G31" s="166"/>
      <c r="H31" s="163"/>
      <c r="I31" s="167"/>
      <c r="J31" s="168"/>
      <c r="K31" s="166"/>
      <c r="L31" s="163"/>
      <c r="M31" s="167"/>
      <c r="N31" s="168"/>
      <c r="O31" s="166"/>
      <c r="P31" s="163"/>
      <c r="Q31" s="167"/>
      <c r="R31" s="168"/>
      <c r="S31" s="166"/>
      <c r="T31" s="163"/>
      <c r="U31" s="167"/>
      <c r="V31" s="168"/>
      <c r="W31" s="584" t="str">
        <f t="shared" si="2"/>
        <v/>
      </c>
      <c r="X31" s="150"/>
    </row>
    <row r="32" spans="1:29" ht="13.5" hidden="1" thickBot="1" x14ac:dyDescent="0.25">
      <c r="A32" s="546"/>
      <c r="B32" s="547"/>
      <c r="C32" s="548"/>
      <c r="D32" s="549"/>
      <c r="E32" s="550"/>
      <c r="F32" s="551"/>
      <c r="G32" s="548"/>
      <c r="H32" s="549"/>
      <c r="I32" s="550"/>
      <c r="J32" s="551"/>
      <c r="K32" s="548"/>
      <c r="L32" s="549"/>
      <c r="M32" s="550"/>
      <c r="N32" s="551"/>
      <c r="O32" s="548"/>
      <c r="P32" s="549"/>
      <c r="Q32" s="550"/>
      <c r="R32" s="551"/>
      <c r="S32" s="548"/>
      <c r="T32" s="549"/>
      <c r="U32" s="550"/>
      <c r="V32" s="551"/>
      <c r="W32" s="584" t="str">
        <f t="shared" si="2"/>
        <v/>
      </c>
      <c r="X32" s="552"/>
      <c r="AC32" s="526"/>
    </row>
    <row r="33" spans="1:29" ht="13.5" hidden="1" thickBot="1" x14ac:dyDescent="0.25">
      <c r="A33" s="546"/>
      <c r="B33" s="547"/>
      <c r="C33" s="548"/>
      <c r="D33" s="549"/>
      <c r="E33" s="550"/>
      <c r="F33" s="551"/>
      <c r="G33" s="548"/>
      <c r="H33" s="549"/>
      <c r="I33" s="550"/>
      <c r="J33" s="551"/>
      <c r="K33" s="548"/>
      <c r="L33" s="549"/>
      <c r="M33" s="550"/>
      <c r="N33" s="551"/>
      <c r="O33" s="548"/>
      <c r="P33" s="549"/>
      <c r="Q33" s="550"/>
      <c r="R33" s="551"/>
      <c r="S33" s="548"/>
      <c r="T33" s="549"/>
      <c r="U33" s="550"/>
      <c r="V33" s="551"/>
      <c r="W33" s="584" t="str">
        <f t="shared" si="2"/>
        <v/>
      </c>
      <c r="X33" s="552"/>
      <c r="AC33" s="526"/>
    </row>
    <row r="34" spans="1:29" ht="13.5" hidden="1" thickBot="1" x14ac:dyDescent="0.25">
      <c r="A34" s="546"/>
      <c r="B34" s="553"/>
      <c r="C34" s="548"/>
      <c r="D34" s="549"/>
      <c r="E34" s="550"/>
      <c r="F34" s="551"/>
      <c r="G34" s="548"/>
      <c r="H34" s="549"/>
      <c r="I34" s="550"/>
      <c r="J34" s="551"/>
      <c r="K34" s="548"/>
      <c r="L34" s="549"/>
      <c r="M34" s="550"/>
      <c r="N34" s="551"/>
      <c r="O34" s="548"/>
      <c r="P34" s="549"/>
      <c r="Q34" s="550"/>
      <c r="R34" s="551"/>
      <c r="S34" s="548"/>
      <c r="T34" s="549"/>
      <c r="U34" s="550"/>
      <c r="V34" s="551"/>
      <c r="W34" s="584" t="str">
        <f t="shared" si="2"/>
        <v/>
      </c>
      <c r="X34" s="552"/>
      <c r="AC34" s="526"/>
    </row>
    <row r="35" spans="1:29" ht="13.5" hidden="1" thickBot="1" x14ac:dyDescent="0.25">
      <c r="A35" s="546"/>
      <c r="B35" s="547"/>
      <c r="C35" s="548"/>
      <c r="D35" s="549"/>
      <c r="E35" s="550"/>
      <c r="F35" s="551"/>
      <c r="G35" s="548"/>
      <c r="H35" s="549"/>
      <c r="I35" s="550"/>
      <c r="J35" s="551"/>
      <c r="K35" s="548"/>
      <c r="L35" s="549"/>
      <c r="M35" s="550"/>
      <c r="N35" s="551"/>
      <c r="O35" s="548"/>
      <c r="P35" s="549"/>
      <c r="Q35" s="550"/>
      <c r="R35" s="551"/>
      <c r="S35" s="548"/>
      <c r="T35" s="549"/>
      <c r="U35" s="550"/>
      <c r="V35" s="551"/>
      <c r="W35" s="584" t="str">
        <f t="shared" si="2"/>
        <v/>
      </c>
      <c r="X35" s="552"/>
      <c r="AC35" s="526"/>
    </row>
    <row r="36" spans="1:29" ht="13.5" hidden="1" thickBot="1" x14ac:dyDescent="0.25">
      <c r="A36" s="169"/>
      <c r="B36" s="554"/>
      <c r="C36" s="166"/>
      <c r="D36" s="163"/>
      <c r="E36" s="167"/>
      <c r="F36" s="168"/>
      <c r="G36" s="166"/>
      <c r="H36" s="163"/>
      <c r="I36" s="167"/>
      <c r="J36" s="168"/>
      <c r="K36" s="166"/>
      <c r="L36" s="163"/>
      <c r="M36" s="167"/>
      <c r="N36" s="168"/>
      <c r="O36" s="166"/>
      <c r="P36" s="163"/>
      <c r="Q36" s="167"/>
      <c r="R36" s="168"/>
      <c r="S36" s="166"/>
      <c r="T36" s="163"/>
      <c r="U36" s="167"/>
      <c r="V36" s="168"/>
      <c r="W36" s="584" t="str">
        <f t="shared" si="2"/>
        <v/>
      </c>
      <c r="X36" s="150"/>
      <c r="AC36" s="526"/>
    </row>
    <row r="37" spans="1:29" ht="13.5" hidden="1" thickBot="1" x14ac:dyDescent="0.25">
      <c r="A37" s="169"/>
      <c r="B37" s="259"/>
      <c r="C37" s="166"/>
      <c r="D37" s="163"/>
      <c r="E37" s="167"/>
      <c r="F37" s="168"/>
      <c r="G37" s="166"/>
      <c r="H37" s="163"/>
      <c r="I37" s="167"/>
      <c r="J37" s="168"/>
      <c r="K37" s="166"/>
      <c r="L37" s="163"/>
      <c r="M37" s="167"/>
      <c r="N37" s="168"/>
      <c r="O37" s="166"/>
      <c r="P37" s="163"/>
      <c r="Q37" s="167"/>
      <c r="R37" s="168"/>
      <c r="S37" s="166"/>
      <c r="T37" s="163"/>
      <c r="U37" s="167"/>
      <c r="V37" s="168"/>
      <c r="W37" s="584" t="str">
        <f t="shared" si="2"/>
        <v/>
      </c>
      <c r="X37" s="150"/>
      <c r="AC37" s="526"/>
    </row>
    <row r="38" spans="1:29" ht="13.5" hidden="1" thickBot="1" x14ac:dyDescent="0.25">
      <c r="A38" s="555"/>
      <c r="B38" s="199"/>
      <c r="C38" s="166"/>
      <c r="D38" s="163"/>
      <c r="E38" s="167"/>
      <c r="F38" s="168"/>
      <c r="G38" s="166"/>
      <c r="H38" s="163"/>
      <c r="I38" s="167"/>
      <c r="J38" s="168"/>
      <c r="K38" s="166"/>
      <c r="L38" s="163"/>
      <c r="M38" s="167"/>
      <c r="N38" s="168"/>
      <c r="O38" s="166"/>
      <c r="P38" s="163"/>
      <c r="Q38" s="167"/>
      <c r="R38" s="168"/>
      <c r="S38" s="166"/>
      <c r="T38" s="163"/>
      <c r="U38" s="167"/>
      <c r="V38" s="168"/>
      <c r="W38" s="584" t="str">
        <f t="shared" si="2"/>
        <v/>
      </c>
      <c r="X38" s="150"/>
    </row>
    <row r="39" spans="1:29" ht="13.5" hidden="1" thickBot="1" x14ac:dyDescent="0.25">
      <c r="A39" s="555"/>
      <c r="B39" s="199"/>
      <c r="C39" s="166"/>
      <c r="D39" s="163"/>
      <c r="E39" s="167"/>
      <c r="F39" s="168"/>
      <c r="G39" s="166"/>
      <c r="H39" s="163"/>
      <c r="I39" s="167"/>
      <c r="J39" s="168"/>
      <c r="K39" s="166"/>
      <c r="L39" s="163"/>
      <c r="M39" s="167"/>
      <c r="N39" s="168"/>
      <c r="O39" s="166"/>
      <c r="P39" s="163"/>
      <c r="Q39" s="167"/>
      <c r="R39" s="168"/>
      <c r="S39" s="166"/>
      <c r="T39" s="163"/>
      <c r="U39" s="167"/>
      <c r="V39" s="168"/>
      <c r="W39" s="584" t="str">
        <f t="shared" si="2"/>
        <v/>
      </c>
      <c r="X39" s="150"/>
    </row>
    <row r="40" spans="1:29" ht="13.5" hidden="1" thickBot="1" x14ac:dyDescent="0.25">
      <c r="A40" s="546"/>
      <c r="B40" s="553"/>
      <c r="C40" s="548"/>
      <c r="D40" s="549"/>
      <c r="E40" s="550"/>
      <c r="F40" s="551"/>
      <c r="G40" s="548"/>
      <c r="H40" s="549"/>
      <c r="I40" s="550"/>
      <c r="J40" s="551"/>
      <c r="K40" s="548"/>
      <c r="L40" s="549"/>
      <c r="M40" s="550"/>
      <c r="N40" s="551"/>
      <c r="O40" s="548"/>
      <c r="P40" s="549"/>
      <c r="Q40" s="550"/>
      <c r="R40" s="551"/>
      <c r="S40" s="548"/>
      <c r="T40" s="549"/>
      <c r="U40" s="550"/>
      <c r="V40" s="551"/>
      <c r="W40" s="584" t="str">
        <f t="shared" si="2"/>
        <v/>
      </c>
      <c r="X40" s="552"/>
    </row>
    <row r="41" spans="1:29" ht="13.5" hidden="1" thickBot="1" x14ac:dyDescent="0.25">
      <c r="A41" s="546"/>
      <c r="B41" s="553"/>
      <c r="C41" s="548"/>
      <c r="D41" s="549"/>
      <c r="E41" s="550"/>
      <c r="F41" s="551"/>
      <c r="G41" s="548"/>
      <c r="H41" s="549"/>
      <c r="I41" s="550"/>
      <c r="J41" s="551"/>
      <c r="K41" s="548"/>
      <c r="L41" s="549"/>
      <c r="M41" s="550"/>
      <c r="N41" s="551"/>
      <c r="O41" s="548"/>
      <c r="P41" s="549"/>
      <c r="Q41" s="550"/>
      <c r="R41" s="551"/>
      <c r="S41" s="548"/>
      <c r="T41" s="549"/>
      <c r="U41" s="550"/>
      <c r="V41" s="551"/>
      <c r="W41" s="584" t="str">
        <f t="shared" si="2"/>
        <v/>
      </c>
      <c r="X41" s="552"/>
    </row>
    <row r="42" spans="1:29" ht="13.5" hidden="1" thickBot="1" x14ac:dyDescent="0.25">
      <c r="A42" s="546"/>
      <c r="B42" s="547"/>
      <c r="C42" s="548"/>
      <c r="D42" s="549"/>
      <c r="E42" s="550"/>
      <c r="F42" s="551"/>
      <c r="G42" s="548"/>
      <c r="H42" s="549"/>
      <c r="I42" s="550"/>
      <c r="J42" s="551"/>
      <c r="K42" s="548"/>
      <c r="L42" s="549"/>
      <c r="M42" s="550"/>
      <c r="N42" s="551"/>
      <c r="O42" s="548"/>
      <c r="P42" s="549"/>
      <c r="Q42" s="550"/>
      <c r="R42" s="551"/>
      <c r="S42" s="548"/>
      <c r="T42" s="549"/>
      <c r="U42" s="550"/>
      <c r="V42" s="551"/>
      <c r="W42" s="584" t="str">
        <f t="shared" si="2"/>
        <v/>
      </c>
      <c r="X42" s="552"/>
    </row>
    <row r="43" spans="1:29" ht="13.5" hidden="1" thickBot="1" x14ac:dyDescent="0.25">
      <c r="A43" s="546"/>
      <c r="B43" s="556"/>
      <c r="C43" s="548"/>
      <c r="D43" s="549"/>
      <c r="E43" s="550"/>
      <c r="F43" s="551"/>
      <c r="G43" s="548"/>
      <c r="H43" s="549"/>
      <c r="I43" s="550"/>
      <c r="J43" s="551"/>
      <c r="K43" s="548"/>
      <c r="L43" s="549"/>
      <c r="M43" s="550"/>
      <c r="N43" s="551"/>
      <c r="O43" s="548"/>
      <c r="P43" s="549"/>
      <c r="Q43" s="550"/>
      <c r="R43" s="551"/>
      <c r="S43" s="548"/>
      <c r="T43" s="549"/>
      <c r="U43" s="550"/>
      <c r="V43" s="551"/>
      <c r="W43" s="584" t="str">
        <f t="shared" si="2"/>
        <v/>
      </c>
      <c r="X43" s="552"/>
    </row>
    <row r="44" spans="1:29" ht="13.5" hidden="1" thickBot="1" x14ac:dyDescent="0.25">
      <c r="A44" s="169"/>
      <c r="B44" s="554"/>
      <c r="C44" s="166"/>
      <c r="D44" s="163"/>
      <c r="E44" s="167"/>
      <c r="F44" s="168"/>
      <c r="G44" s="166"/>
      <c r="H44" s="163"/>
      <c r="I44" s="167"/>
      <c r="J44" s="168"/>
      <c r="K44" s="166"/>
      <c r="L44" s="163"/>
      <c r="M44" s="167"/>
      <c r="N44" s="168"/>
      <c r="O44" s="166"/>
      <c r="P44" s="163"/>
      <c r="Q44" s="167"/>
      <c r="R44" s="168"/>
      <c r="S44" s="166"/>
      <c r="T44" s="163"/>
      <c r="U44" s="167"/>
      <c r="V44" s="168"/>
      <c r="W44" s="584" t="str">
        <f t="shared" si="2"/>
        <v/>
      </c>
      <c r="X44" s="150"/>
      <c r="AC44" s="526"/>
    </row>
    <row r="45" spans="1:29" ht="13.5" hidden="1" thickBot="1" x14ac:dyDescent="0.25">
      <c r="A45" s="169"/>
      <c r="B45" s="259"/>
      <c r="C45" s="166"/>
      <c r="D45" s="163"/>
      <c r="E45" s="167"/>
      <c r="F45" s="168"/>
      <c r="G45" s="166"/>
      <c r="H45" s="163"/>
      <c r="I45" s="167"/>
      <c r="J45" s="168"/>
      <c r="K45" s="166"/>
      <c r="L45" s="163"/>
      <c r="M45" s="167"/>
      <c r="N45" s="168"/>
      <c r="O45" s="166"/>
      <c r="P45" s="163"/>
      <c r="Q45" s="167"/>
      <c r="R45" s="168"/>
      <c r="S45" s="166"/>
      <c r="T45" s="163"/>
      <c r="U45" s="167"/>
      <c r="V45" s="168"/>
      <c r="W45" s="584" t="str">
        <f t="shared" si="2"/>
        <v/>
      </c>
      <c r="X45" s="150"/>
      <c r="AC45" s="526"/>
    </row>
    <row r="46" spans="1:29" ht="13.5" hidden="1" thickBot="1" x14ac:dyDescent="0.25">
      <c r="A46" s="555"/>
      <c r="B46" s="199"/>
      <c r="C46" s="166"/>
      <c r="D46" s="163"/>
      <c r="E46" s="167"/>
      <c r="F46" s="168"/>
      <c r="G46" s="166"/>
      <c r="H46" s="163"/>
      <c r="I46" s="167"/>
      <c r="J46" s="168"/>
      <c r="K46" s="166"/>
      <c r="L46" s="163"/>
      <c r="M46" s="167"/>
      <c r="N46" s="168"/>
      <c r="O46" s="166"/>
      <c r="P46" s="163"/>
      <c r="Q46" s="167"/>
      <c r="R46" s="168"/>
      <c r="S46" s="166"/>
      <c r="T46" s="163"/>
      <c r="U46" s="167"/>
      <c r="V46" s="168"/>
      <c r="W46" s="584" t="str">
        <f t="shared" si="2"/>
        <v/>
      </c>
      <c r="X46" s="150"/>
    </row>
    <row r="47" spans="1:29" ht="13.5" hidden="1" thickBot="1" x14ac:dyDescent="0.25">
      <c r="A47" s="557"/>
      <c r="B47" s="558"/>
      <c r="C47" s="559"/>
      <c r="D47" s="190"/>
      <c r="E47" s="560"/>
      <c r="F47" s="561"/>
      <c r="G47" s="559"/>
      <c r="H47" s="190"/>
      <c r="I47" s="560"/>
      <c r="J47" s="561"/>
      <c r="K47" s="559"/>
      <c r="L47" s="190"/>
      <c r="M47" s="560"/>
      <c r="N47" s="561"/>
      <c r="O47" s="559"/>
      <c r="P47" s="190"/>
      <c r="Q47" s="560"/>
      <c r="R47" s="561"/>
      <c r="S47" s="559"/>
      <c r="T47" s="190"/>
      <c r="U47" s="560"/>
      <c r="V47" s="561"/>
      <c r="W47" s="591" t="str">
        <f t="shared" si="2"/>
        <v/>
      </c>
      <c r="X47" s="159"/>
      <c r="Y47" s="154"/>
    </row>
    <row r="48" spans="1:29" x14ac:dyDescent="0.2">
      <c r="A48" s="562"/>
      <c r="B48" s="545" t="s">
        <v>220</v>
      </c>
      <c r="C48" s="247"/>
      <c r="D48" s="248"/>
      <c r="E48" s="248"/>
      <c r="F48" s="249"/>
      <c r="G48" s="247"/>
      <c r="H48" s="248"/>
      <c r="I48" s="248"/>
      <c r="J48" s="249"/>
      <c r="K48" s="247"/>
      <c r="L48" s="248"/>
      <c r="M48" s="248"/>
      <c r="N48" s="249"/>
      <c r="O48" s="247"/>
      <c r="P48" s="248"/>
      <c r="Q48" s="248"/>
      <c r="R48" s="249"/>
      <c r="S48" s="247"/>
      <c r="T48" s="248"/>
      <c r="U48" s="248"/>
      <c r="V48" s="249"/>
      <c r="W48" s="661"/>
      <c r="X48" s="250"/>
      <c r="Y48" s="563" t="s">
        <v>709</v>
      </c>
      <c r="Z48" s="148"/>
      <c r="AA48" s="149" t="s">
        <v>215</v>
      </c>
      <c r="AB48" s="149" t="s">
        <v>216</v>
      </c>
    </row>
    <row r="49" spans="1:29" x14ac:dyDescent="0.2">
      <c r="A49" s="556">
        <v>4</v>
      </c>
      <c r="B49" s="715" t="s">
        <v>723</v>
      </c>
      <c r="C49" s="581">
        <v>0</v>
      </c>
      <c r="D49" s="582">
        <v>0</v>
      </c>
      <c r="E49" s="582">
        <v>0</v>
      </c>
      <c r="F49" s="583">
        <v>3</v>
      </c>
      <c r="G49" s="581">
        <v>0</v>
      </c>
      <c r="H49" s="582">
        <v>0</v>
      </c>
      <c r="I49" s="582">
        <v>0</v>
      </c>
      <c r="J49" s="583">
        <v>0</v>
      </c>
      <c r="K49" s="581">
        <v>3</v>
      </c>
      <c r="L49" s="582">
        <v>3</v>
      </c>
      <c r="M49" s="582">
        <v>3</v>
      </c>
      <c r="N49" s="583">
        <v>0</v>
      </c>
      <c r="O49" s="581">
        <v>0</v>
      </c>
      <c r="P49" s="582">
        <v>0</v>
      </c>
      <c r="Q49" s="582">
        <v>0</v>
      </c>
      <c r="R49" s="583">
        <v>0</v>
      </c>
      <c r="S49" s="581">
        <v>0</v>
      </c>
      <c r="T49" s="582">
        <v>0</v>
      </c>
      <c r="U49" s="582">
        <v>0</v>
      </c>
      <c r="V49" s="583">
        <v>0</v>
      </c>
      <c r="W49" s="584">
        <f>SUM(C49:V49)+COUNTIF(C49:V49,5)/100+COUNTIF(C49:V49,3)/10000</f>
        <v>12.000400000000001</v>
      </c>
      <c r="X49" s="552">
        <v>6</v>
      </c>
      <c r="Y49" s="584">
        <f>W49+IFERROR(INDEX(W$9:W$14,MATCH(B49,B$9:B$14,0)),0)</f>
        <v>12.000400000000001</v>
      </c>
      <c r="Z49" s="151" t="e">
        <f>IF(COUNTA(C49:V49)=0,100,W49+IF(RANK(W49,#REF!)=1,100,0))</f>
        <v>#REF!</v>
      </c>
      <c r="AA49" s="149">
        <f>MIN(W49:W50)</f>
        <v>12.000400000000001</v>
      </c>
      <c r="AB49" s="149">
        <f>MAX(W49:W50)</f>
        <v>23.0106</v>
      </c>
    </row>
    <row r="50" spans="1:29" x14ac:dyDescent="0.2">
      <c r="A50" s="556">
        <v>3</v>
      </c>
      <c r="B50" s="715" t="s">
        <v>36</v>
      </c>
      <c r="C50" s="581">
        <v>3</v>
      </c>
      <c r="D50" s="582">
        <v>3</v>
      </c>
      <c r="E50" s="582">
        <v>5</v>
      </c>
      <c r="F50" s="583">
        <v>0</v>
      </c>
      <c r="G50" s="581">
        <v>3</v>
      </c>
      <c r="H50" s="582">
        <v>0</v>
      </c>
      <c r="I50" s="582">
        <v>3</v>
      </c>
      <c r="J50" s="583">
        <v>0</v>
      </c>
      <c r="K50" s="581">
        <v>0</v>
      </c>
      <c r="L50" s="582">
        <v>0</v>
      </c>
      <c r="M50" s="582">
        <v>0</v>
      </c>
      <c r="N50" s="583">
        <v>3</v>
      </c>
      <c r="O50" s="581">
        <v>0</v>
      </c>
      <c r="P50" s="582">
        <v>0</v>
      </c>
      <c r="Q50" s="582">
        <v>0</v>
      </c>
      <c r="R50" s="583">
        <v>0</v>
      </c>
      <c r="S50" s="581">
        <v>0</v>
      </c>
      <c r="T50" s="582">
        <v>3</v>
      </c>
      <c r="U50" s="582">
        <v>0</v>
      </c>
      <c r="V50" s="583">
        <v>0</v>
      </c>
      <c r="W50" s="584">
        <f t="shared" ref="W50" si="3">SUM(C50:V50)+COUNTIF(C50:V50,5)/100+COUNTIF(C50:V50,3)/10000</f>
        <v>23.0106</v>
      </c>
      <c r="X50" s="552" t="s">
        <v>774</v>
      </c>
      <c r="Y50" s="637">
        <f>W50+IFERROR(INDEX(W$9:W$14,MATCH(B50,B$9:B$14,0)),0)</f>
        <v>26.0107</v>
      </c>
      <c r="Z50" s="151"/>
      <c r="AA50" s="149"/>
      <c r="AB50" s="149"/>
    </row>
    <row r="51" spans="1:29" x14ac:dyDescent="0.2">
      <c r="A51" s="173">
        <v>2</v>
      </c>
      <c r="B51" s="639" t="s">
        <v>52</v>
      </c>
      <c r="C51" s="144">
        <v>3</v>
      </c>
      <c r="D51" s="145">
        <v>3</v>
      </c>
      <c r="E51" s="145">
        <v>3</v>
      </c>
      <c r="F51" s="146">
        <v>0</v>
      </c>
      <c r="G51" s="144">
        <v>0</v>
      </c>
      <c r="H51" s="145">
        <v>0</v>
      </c>
      <c r="I51" s="145">
        <v>0</v>
      </c>
      <c r="J51" s="146">
        <v>0</v>
      </c>
      <c r="K51" s="144">
        <v>0</v>
      </c>
      <c r="L51" s="145">
        <v>0</v>
      </c>
      <c r="M51" s="145">
        <v>1</v>
      </c>
      <c r="N51" s="146">
        <v>0</v>
      </c>
      <c r="O51" s="144">
        <v>0</v>
      </c>
      <c r="P51" s="145">
        <v>3</v>
      </c>
      <c r="Q51" s="145">
        <v>0</v>
      </c>
      <c r="R51" s="146">
        <v>0</v>
      </c>
      <c r="S51" s="144">
        <v>0</v>
      </c>
      <c r="T51" s="145">
        <v>0</v>
      </c>
      <c r="U51" s="145">
        <v>0</v>
      </c>
      <c r="V51" s="146">
        <v>0</v>
      </c>
      <c r="W51" s="584">
        <f>SUM(C51:V51)+COUNTIF(C51:V51,5)/100+COUNTIF(C51:V51,3)/10000</f>
        <v>13.000400000000001</v>
      </c>
      <c r="X51" s="150">
        <v>5</v>
      </c>
      <c r="Y51" s="584">
        <f>W51+IFERROR(INDEX(W$9:W$14,MATCH(B51,B$9:B$14,0)),0)</f>
        <v>17.000500000000002</v>
      </c>
      <c r="Z51" s="152" t="e">
        <f>IF(COUNTA(C51:V51)=0,0,W51+IF(RANK(W51,#REF!)=1,100,0))</f>
        <v>#REF!</v>
      </c>
      <c r="AA51" s="149"/>
      <c r="AB51" s="149"/>
    </row>
    <row r="52" spans="1:29" ht="13.5" thickBot="1" x14ac:dyDescent="0.25">
      <c r="A52" s="173">
        <v>1</v>
      </c>
      <c r="B52" s="639" t="s">
        <v>638</v>
      </c>
      <c r="C52" s="144">
        <v>5</v>
      </c>
      <c r="D52" s="145">
        <v>0</v>
      </c>
      <c r="E52" s="145">
        <v>0</v>
      </c>
      <c r="F52" s="146">
        <v>0</v>
      </c>
      <c r="G52" s="144">
        <v>3</v>
      </c>
      <c r="H52" s="145">
        <v>0</v>
      </c>
      <c r="I52" s="145">
        <v>5</v>
      </c>
      <c r="J52" s="146">
        <v>0</v>
      </c>
      <c r="K52" s="144">
        <v>1</v>
      </c>
      <c r="L52" s="145">
        <v>0</v>
      </c>
      <c r="M52" s="145">
        <v>0</v>
      </c>
      <c r="N52" s="146">
        <v>3</v>
      </c>
      <c r="O52" s="144">
        <v>0</v>
      </c>
      <c r="P52" s="145">
        <v>0</v>
      </c>
      <c r="Q52" s="145">
        <v>0</v>
      </c>
      <c r="R52" s="146">
        <v>0</v>
      </c>
      <c r="S52" s="144">
        <v>0</v>
      </c>
      <c r="T52" s="145">
        <v>0</v>
      </c>
      <c r="U52" s="145">
        <v>0</v>
      </c>
      <c r="V52" s="146">
        <v>0</v>
      </c>
      <c r="W52" s="584">
        <f t="shared" ref="W52" si="4">SUM(C52:V52)+COUNTIF(C52:V52,5)/100+COUNTIF(C52:V52,3)/10000</f>
        <v>17.020199999999999</v>
      </c>
      <c r="X52" s="716" t="s">
        <v>775</v>
      </c>
      <c r="Y52" s="637">
        <f>W52+IFERROR(INDEX(W$9:W$14,MATCH(B52,B$9:B$14,0)),0)</f>
        <v>24.020399999999999</v>
      </c>
      <c r="Z52" s="151" t="e">
        <f>IF(COUNTA(C52:V52)=0,100,W52+IF(RANK(W52,#REF!)=1,100,0))</f>
        <v>#REF!</v>
      </c>
      <c r="AA52" s="149">
        <f>MIN(W52:W52)</f>
        <v>17.020199999999999</v>
      </c>
      <c r="AB52" s="149">
        <f>MAX(W52:W52)</f>
        <v>17.020199999999999</v>
      </c>
    </row>
    <row r="53" spans="1:29" ht="13.5" hidden="1" thickBot="1" x14ac:dyDescent="0.25">
      <c r="A53" s="544"/>
      <c r="B53" s="545" t="s">
        <v>718</v>
      </c>
      <c r="C53" s="144"/>
      <c r="D53" s="145"/>
      <c r="E53" s="145"/>
      <c r="F53" s="146"/>
      <c r="G53" s="144"/>
      <c r="H53" s="145"/>
      <c r="I53" s="145"/>
      <c r="J53" s="146"/>
      <c r="K53" s="144"/>
      <c r="L53" s="145"/>
      <c r="M53" s="145"/>
      <c r="N53" s="146"/>
      <c r="O53" s="144"/>
      <c r="P53" s="145"/>
      <c r="Q53" s="145"/>
      <c r="R53" s="146"/>
      <c r="S53" s="144"/>
      <c r="T53" s="145"/>
      <c r="U53" s="145"/>
      <c r="V53" s="146"/>
      <c r="W53" s="661"/>
      <c r="X53" s="250"/>
      <c r="Z53" s="148"/>
      <c r="AA53" s="149" t="s">
        <v>215</v>
      </c>
      <c r="AB53" s="149" t="s">
        <v>216</v>
      </c>
    </row>
    <row r="54" spans="1:29" ht="13.5" hidden="1" thickBot="1" x14ac:dyDescent="0.25">
      <c r="A54" s="546"/>
      <c r="B54" s="547"/>
      <c r="C54" s="548"/>
      <c r="D54" s="549"/>
      <c r="E54" s="550"/>
      <c r="F54" s="551"/>
      <c r="G54" s="548"/>
      <c r="H54" s="549"/>
      <c r="I54" s="550"/>
      <c r="J54" s="551"/>
      <c r="K54" s="548"/>
      <c r="L54" s="549"/>
      <c r="M54" s="550"/>
      <c r="N54" s="551"/>
      <c r="O54" s="548"/>
      <c r="P54" s="549"/>
      <c r="Q54" s="550"/>
      <c r="R54" s="551"/>
      <c r="S54" s="548"/>
      <c r="T54" s="549"/>
      <c r="U54" s="550"/>
      <c r="V54" s="551"/>
      <c r="W54" s="584" t="str">
        <f t="shared" ref="W54:W73" si="5">IF(COUNTA(C54:V54)=0,"",SUM(C54:V54)+COUNTIF(C54:V54,5)/100+COUNTIF(C54:V54,3)/10000)</f>
        <v/>
      </c>
      <c r="X54" s="552"/>
      <c r="AC54" s="526"/>
    </row>
    <row r="55" spans="1:29" ht="13.5" hidden="1" thickBot="1" x14ac:dyDescent="0.25">
      <c r="A55" s="546"/>
      <c r="B55" s="547"/>
      <c r="C55" s="548"/>
      <c r="D55" s="549"/>
      <c r="E55" s="550"/>
      <c r="F55" s="551"/>
      <c r="G55" s="548"/>
      <c r="H55" s="549"/>
      <c r="I55" s="550"/>
      <c r="J55" s="551"/>
      <c r="K55" s="548"/>
      <c r="L55" s="549"/>
      <c r="M55" s="550"/>
      <c r="N55" s="551"/>
      <c r="O55" s="548"/>
      <c r="P55" s="549"/>
      <c r="Q55" s="550"/>
      <c r="R55" s="551"/>
      <c r="S55" s="548"/>
      <c r="T55" s="549"/>
      <c r="U55" s="550"/>
      <c r="V55" s="551"/>
      <c r="W55" s="584" t="str">
        <f t="shared" si="5"/>
        <v/>
      </c>
      <c r="X55" s="552"/>
      <c r="AC55" s="526"/>
    </row>
    <row r="56" spans="1:29" ht="13.5" hidden="1" thickBot="1" x14ac:dyDescent="0.25">
      <c r="A56" s="546"/>
      <c r="B56" s="553"/>
      <c r="C56" s="548"/>
      <c r="D56" s="549"/>
      <c r="E56" s="550"/>
      <c r="F56" s="551"/>
      <c r="G56" s="548"/>
      <c r="H56" s="549"/>
      <c r="I56" s="550"/>
      <c r="J56" s="551"/>
      <c r="K56" s="548"/>
      <c r="L56" s="549"/>
      <c r="M56" s="550"/>
      <c r="N56" s="551"/>
      <c r="O56" s="548"/>
      <c r="P56" s="549"/>
      <c r="Q56" s="550"/>
      <c r="R56" s="551"/>
      <c r="S56" s="548"/>
      <c r="T56" s="549"/>
      <c r="U56" s="550"/>
      <c r="V56" s="551"/>
      <c r="W56" s="584" t="str">
        <f t="shared" si="5"/>
        <v/>
      </c>
      <c r="X56" s="552"/>
      <c r="AC56" s="526"/>
    </row>
    <row r="57" spans="1:29" ht="13.5" hidden="1" thickBot="1" x14ac:dyDescent="0.25">
      <c r="A57" s="546"/>
      <c r="B57" s="547"/>
      <c r="C57" s="548"/>
      <c r="D57" s="549"/>
      <c r="E57" s="550"/>
      <c r="F57" s="551"/>
      <c r="G57" s="548"/>
      <c r="H57" s="549"/>
      <c r="I57" s="550"/>
      <c r="J57" s="551"/>
      <c r="K57" s="548"/>
      <c r="L57" s="549"/>
      <c r="M57" s="550"/>
      <c r="N57" s="551"/>
      <c r="O57" s="548"/>
      <c r="P57" s="549"/>
      <c r="Q57" s="550"/>
      <c r="R57" s="551"/>
      <c r="S57" s="548"/>
      <c r="T57" s="549"/>
      <c r="U57" s="550"/>
      <c r="V57" s="551"/>
      <c r="W57" s="584" t="str">
        <f t="shared" si="5"/>
        <v/>
      </c>
      <c r="X57" s="552"/>
      <c r="AC57" s="526"/>
    </row>
    <row r="58" spans="1:29" ht="13.5" hidden="1" thickBot="1" x14ac:dyDescent="0.25">
      <c r="A58" s="169"/>
      <c r="B58" s="554"/>
      <c r="C58" s="166"/>
      <c r="D58" s="163"/>
      <c r="E58" s="167"/>
      <c r="F58" s="168"/>
      <c r="G58" s="166"/>
      <c r="H58" s="163"/>
      <c r="I58" s="167"/>
      <c r="J58" s="168"/>
      <c r="K58" s="166"/>
      <c r="L58" s="163"/>
      <c r="M58" s="167"/>
      <c r="N58" s="168"/>
      <c r="O58" s="166"/>
      <c r="P58" s="163"/>
      <c r="Q58" s="167"/>
      <c r="R58" s="168"/>
      <c r="S58" s="166"/>
      <c r="T58" s="163"/>
      <c r="U58" s="167"/>
      <c r="V58" s="168"/>
      <c r="W58" s="584" t="str">
        <f t="shared" si="5"/>
        <v/>
      </c>
      <c r="X58" s="150"/>
      <c r="AC58" s="526"/>
    </row>
    <row r="59" spans="1:29" ht="13.5" hidden="1" thickBot="1" x14ac:dyDescent="0.25">
      <c r="A59" s="169"/>
      <c r="B59" s="259"/>
      <c r="C59" s="166"/>
      <c r="D59" s="163"/>
      <c r="E59" s="167"/>
      <c r="F59" s="168"/>
      <c r="G59" s="166"/>
      <c r="H59" s="163"/>
      <c r="I59" s="167"/>
      <c r="J59" s="168"/>
      <c r="K59" s="166"/>
      <c r="L59" s="163"/>
      <c r="M59" s="167"/>
      <c r="N59" s="168"/>
      <c r="O59" s="166"/>
      <c r="P59" s="163"/>
      <c r="Q59" s="167"/>
      <c r="R59" s="168"/>
      <c r="S59" s="166"/>
      <c r="T59" s="163"/>
      <c r="U59" s="167"/>
      <c r="V59" s="168"/>
      <c r="W59" s="584" t="str">
        <f t="shared" si="5"/>
        <v/>
      </c>
      <c r="X59" s="150"/>
      <c r="AC59" s="526"/>
    </row>
    <row r="60" spans="1:29" ht="13.5" hidden="1" thickBot="1" x14ac:dyDescent="0.25">
      <c r="A60" s="555"/>
      <c r="B60" s="199"/>
      <c r="C60" s="166"/>
      <c r="D60" s="163"/>
      <c r="E60" s="167"/>
      <c r="F60" s="168"/>
      <c r="G60" s="166"/>
      <c r="H60" s="163"/>
      <c r="I60" s="167"/>
      <c r="J60" s="168"/>
      <c r="K60" s="166"/>
      <c r="L60" s="163"/>
      <c r="M60" s="167"/>
      <c r="N60" s="168"/>
      <c r="O60" s="166"/>
      <c r="P60" s="163"/>
      <c r="Q60" s="167"/>
      <c r="R60" s="168"/>
      <c r="S60" s="166"/>
      <c r="T60" s="163"/>
      <c r="U60" s="167"/>
      <c r="V60" s="168"/>
      <c r="W60" s="584" t="str">
        <f t="shared" si="5"/>
        <v/>
      </c>
      <c r="X60" s="150"/>
    </row>
    <row r="61" spans="1:29" ht="13.5" hidden="1" thickBot="1" x14ac:dyDescent="0.25">
      <c r="A61" s="555"/>
      <c r="B61" s="199"/>
      <c r="C61" s="166"/>
      <c r="D61" s="163"/>
      <c r="E61" s="167"/>
      <c r="F61" s="168"/>
      <c r="G61" s="166"/>
      <c r="H61" s="163"/>
      <c r="I61" s="167"/>
      <c r="J61" s="168"/>
      <c r="K61" s="166"/>
      <c r="L61" s="163"/>
      <c r="M61" s="167"/>
      <c r="N61" s="168"/>
      <c r="O61" s="166"/>
      <c r="P61" s="163"/>
      <c r="Q61" s="167"/>
      <c r="R61" s="168"/>
      <c r="S61" s="166"/>
      <c r="T61" s="163"/>
      <c r="U61" s="167"/>
      <c r="V61" s="168"/>
      <c r="W61" s="584" t="str">
        <f t="shared" si="5"/>
        <v/>
      </c>
      <c r="X61" s="150"/>
    </row>
    <row r="62" spans="1:29" ht="13.5" hidden="1" thickBot="1" x14ac:dyDescent="0.25">
      <c r="A62" s="546"/>
      <c r="B62" s="547"/>
      <c r="C62" s="548"/>
      <c r="D62" s="549"/>
      <c r="E62" s="550"/>
      <c r="F62" s="551"/>
      <c r="G62" s="548"/>
      <c r="H62" s="549"/>
      <c r="I62" s="550"/>
      <c r="J62" s="551"/>
      <c r="K62" s="548"/>
      <c r="L62" s="549"/>
      <c r="M62" s="550"/>
      <c r="N62" s="551"/>
      <c r="O62" s="548"/>
      <c r="P62" s="549"/>
      <c r="Q62" s="550"/>
      <c r="R62" s="551"/>
      <c r="S62" s="548"/>
      <c r="T62" s="549"/>
      <c r="U62" s="550"/>
      <c r="V62" s="551"/>
      <c r="W62" s="584" t="str">
        <f t="shared" si="5"/>
        <v/>
      </c>
      <c r="X62" s="552"/>
      <c r="AC62" s="526"/>
    </row>
    <row r="63" spans="1:29" ht="13.5" hidden="1" thickBot="1" x14ac:dyDescent="0.25">
      <c r="A63" s="546"/>
      <c r="B63" s="547"/>
      <c r="C63" s="548"/>
      <c r="D63" s="549"/>
      <c r="E63" s="550"/>
      <c r="F63" s="551"/>
      <c r="G63" s="548"/>
      <c r="H63" s="549"/>
      <c r="I63" s="550"/>
      <c r="J63" s="551"/>
      <c r="K63" s="548"/>
      <c r="L63" s="549"/>
      <c r="M63" s="550"/>
      <c r="N63" s="551"/>
      <c r="O63" s="548"/>
      <c r="P63" s="549"/>
      <c r="Q63" s="550"/>
      <c r="R63" s="551"/>
      <c r="S63" s="548"/>
      <c r="T63" s="549"/>
      <c r="U63" s="550"/>
      <c r="V63" s="551"/>
      <c r="W63" s="584" t="str">
        <f t="shared" si="5"/>
        <v/>
      </c>
      <c r="X63" s="552"/>
      <c r="AC63" s="526"/>
    </row>
    <row r="64" spans="1:29" ht="13.5" hidden="1" thickBot="1" x14ac:dyDescent="0.25">
      <c r="A64" s="546"/>
      <c r="B64" s="553"/>
      <c r="C64" s="548"/>
      <c r="D64" s="549"/>
      <c r="E64" s="550"/>
      <c r="F64" s="551"/>
      <c r="G64" s="548"/>
      <c r="H64" s="549"/>
      <c r="I64" s="550"/>
      <c r="J64" s="551"/>
      <c r="K64" s="548"/>
      <c r="L64" s="549"/>
      <c r="M64" s="550"/>
      <c r="N64" s="551"/>
      <c r="O64" s="548"/>
      <c r="P64" s="549"/>
      <c r="Q64" s="550"/>
      <c r="R64" s="551"/>
      <c r="S64" s="548"/>
      <c r="T64" s="549"/>
      <c r="U64" s="550"/>
      <c r="V64" s="551"/>
      <c r="W64" s="584" t="str">
        <f t="shared" si="5"/>
        <v/>
      </c>
      <c r="X64" s="552"/>
      <c r="AC64" s="526"/>
    </row>
    <row r="65" spans="1:29" ht="13.5" hidden="1" thickBot="1" x14ac:dyDescent="0.25">
      <c r="A65" s="546"/>
      <c r="B65" s="547"/>
      <c r="C65" s="548"/>
      <c r="D65" s="549"/>
      <c r="E65" s="550"/>
      <c r="F65" s="551"/>
      <c r="G65" s="548"/>
      <c r="H65" s="549"/>
      <c r="I65" s="550"/>
      <c r="J65" s="551"/>
      <c r="K65" s="548"/>
      <c r="L65" s="549"/>
      <c r="M65" s="550"/>
      <c r="N65" s="551"/>
      <c r="O65" s="548"/>
      <c r="P65" s="549"/>
      <c r="Q65" s="550"/>
      <c r="R65" s="551"/>
      <c r="S65" s="548"/>
      <c r="T65" s="549"/>
      <c r="U65" s="550"/>
      <c r="V65" s="551"/>
      <c r="W65" s="584" t="str">
        <f t="shared" si="5"/>
        <v/>
      </c>
      <c r="X65" s="552"/>
      <c r="AC65" s="526"/>
    </row>
    <row r="66" spans="1:29" ht="13.5" hidden="1" thickBot="1" x14ac:dyDescent="0.25">
      <c r="A66" s="169"/>
      <c r="B66" s="554"/>
      <c r="C66" s="166"/>
      <c r="D66" s="163"/>
      <c r="E66" s="167"/>
      <c r="F66" s="168"/>
      <c r="G66" s="166"/>
      <c r="H66" s="163"/>
      <c r="I66" s="167"/>
      <c r="J66" s="168"/>
      <c r="K66" s="166"/>
      <c r="L66" s="163"/>
      <c r="M66" s="167"/>
      <c r="N66" s="168"/>
      <c r="O66" s="166"/>
      <c r="P66" s="163"/>
      <c r="Q66" s="167"/>
      <c r="R66" s="168"/>
      <c r="S66" s="166"/>
      <c r="T66" s="163"/>
      <c r="U66" s="167"/>
      <c r="V66" s="168"/>
      <c r="W66" s="584" t="str">
        <f t="shared" si="5"/>
        <v/>
      </c>
      <c r="X66" s="150"/>
      <c r="AC66" s="526"/>
    </row>
    <row r="67" spans="1:29" ht="13.5" hidden="1" thickBot="1" x14ac:dyDescent="0.25">
      <c r="A67" s="169"/>
      <c r="B67" s="259"/>
      <c r="C67" s="166"/>
      <c r="D67" s="163"/>
      <c r="E67" s="167"/>
      <c r="F67" s="168"/>
      <c r="G67" s="166"/>
      <c r="H67" s="163"/>
      <c r="I67" s="167"/>
      <c r="J67" s="168"/>
      <c r="K67" s="166"/>
      <c r="L67" s="163"/>
      <c r="M67" s="167"/>
      <c r="N67" s="168"/>
      <c r="O67" s="166"/>
      <c r="P67" s="163"/>
      <c r="Q67" s="167"/>
      <c r="R67" s="168"/>
      <c r="S67" s="166"/>
      <c r="T67" s="163"/>
      <c r="U67" s="167"/>
      <c r="V67" s="168"/>
      <c r="W67" s="584" t="str">
        <f t="shared" si="5"/>
        <v/>
      </c>
      <c r="X67" s="150"/>
      <c r="AC67" s="526"/>
    </row>
    <row r="68" spans="1:29" ht="13.5" hidden="1" thickBot="1" x14ac:dyDescent="0.25">
      <c r="A68" s="555"/>
      <c r="B68" s="199"/>
      <c r="C68" s="166"/>
      <c r="D68" s="163"/>
      <c r="E68" s="167"/>
      <c r="F68" s="168"/>
      <c r="G68" s="166"/>
      <c r="H68" s="163"/>
      <c r="I68" s="167"/>
      <c r="J68" s="168"/>
      <c r="K68" s="166"/>
      <c r="L68" s="163"/>
      <c r="M68" s="167"/>
      <c r="N68" s="168"/>
      <c r="O68" s="166"/>
      <c r="P68" s="163"/>
      <c r="Q68" s="167"/>
      <c r="R68" s="168"/>
      <c r="S68" s="166"/>
      <c r="T68" s="163"/>
      <c r="U68" s="167"/>
      <c r="V68" s="168"/>
      <c r="W68" s="584" t="str">
        <f t="shared" si="5"/>
        <v/>
      </c>
      <c r="X68" s="150"/>
    </row>
    <row r="69" spans="1:29" ht="13.5" hidden="1" thickBot="1" x14ac:dyDescent="0.25">
      <c r="A69" s="555"/>
      <c r="B69" s="199"/>
      <c r="C69" s="166"/>
      <c r="D69" s="163"/>
      <c r="E69" s="167"/>
      <c r="F69" s="168"/>
      <c r="G69" s="166"/>
      <c r="H69" s="163"/>
      <c r="I69" s="167"/>
      <c r="J69" s="168"/>
      <c r="K69" s="166"/>
      <c r="L69" s="163"/>
      <c r="M69" s="167"/>
      <c r="N69" s="168"/>
      <c r="O69" s="166"/>
      <c r="P69" s="163"/>
      <c r="Q69" s="167"/>
      <c r="R69" s="168"/>
      <c r="S69" s="166"/>
      <c r="T69" s="163"/>
      <c r="U69" s="167"/>
      <c r="V69" s="168"/>
      <c r="W69" s="584" t="str">
        <f t="shared" si="5"/>
        <v/>
      </c>
      <c r="X69" s="150"/>
    </row>
    <row r="70" spans="1:29" ht="13.5" hidden="1" thickBot="1" x14ac:dyDescent="0.25">
      <c r="A70" s="546"/>
      <c r="B70" s="553"/>
      <c r="C70" s="548"/>
      <c r="D70" s="549"/>
      <c r="E70" s="550"/>
      <c r="F70" s="551"/>
      <c r="G70" s="548"/>
      <c r="H70" s="549"/>
      <c r="I70" s="550"/>
      <c r="J70" s="551"/>
      <c r="K70" s="548"/>
      <c r="L70" s="549"/>
      <c r="M70" s="550"/>
      <c r="N70" s="551"/>
      <c r="O70" s="548"/>
      <c r="P70" s="549"/>
      <c r="Q70" s="550"/>
      <c r="R70" s="551"/>
      <c r="S70" s="548"/>
      <c r="T70" s="549"/>
      <c r="U70" s="550"/>
      <c r="V70" s="551"/>
      <c r="W70" s="584" t="str">
        <f t="shared" si="5"/>
        <v/>
      </c>
      <c r="X70" s="552"/>
    </row>
    <row r="71" spans="1:29" ht="13.5" hidden="1" thickBot="1" x14ac:dyDescent="0.25">
      <c r="A71" s="546"/>
      <c r="B71" s="553"/>
      <c r="C71" s="548"/>
      <c r="D71" s="549"/>
      <c r="E71" s="550"/>
      <c r="F71" s="551"/>
      <c r="G71" s="548"/>
      <c r="H71" s="549"/>
      <c r="I71" s="550"/>
      <c r="J71" s="551"/>
      <c r="K71" s="548"/>
      <c r="L71" s="549"/>
      <c r="M71" s="550"/>
      <c r="N71" s="551"/>
      <c r="O71" s="548"/>
      <c r="P71" s="549"/>
      <c r="Q71" s="550"/>
      <c r="R71" s="551"/>
      <c r="S71" s="548"/>
      <c r="T71" s="549"/>
      <c r="U71" s="550"/>
      <c r="V71" s="551"/>
      <c r="W71" s="584" t="str">
        <f t="shared" si="5"/>
        <v/>
      </c>
      <c r="X71" s="552"/>
    </row>
    <row r="72" spans="1:29" ht="13.5" hidden="1" thickBot="1" x14ac:dyDescent="0.25">
      <c r="A72" s="546"/>
      <c r="B72" s="547"/>
      <c r="C72" s="548"/>
      <c r="D72" s="549"/>
      <c r="E72" s="550"/>
      <c r="F72" s="551"/>
      <c r="G72" s="548"/>
      <c r="H72" s="549"/>
      <c r="I72" s="550"/>
      <c r="J72" s="551"/>
      <c r="K72" s="548"/>
      <c r="L72" s="549"/>
      <c r="M72" s="550"/>
      <c r="N72" s="551"/>
      <c r="O72" s="548"/>
      <c r="P72" s="549"/>
      <c r="Q72" s="550"/>
      <c r="R72" s="551"/>
      <c r="S72" s="548"/>
      <c r="T72" s="549"/>
      <c r="U72" s="550"/>
      <c r="V72" s="551"/>
      <c r="W72" s="584" t="str">
        <f t="shared" si="5"/>
        <v/>
      </c>
      <c r="X72" s="552"/>
    </row>
    <row r="73" spans="1:29" ht="13.5" hidden="1" thickBot="1" x14ac:dyDescent="0.25">
      <c r="A73" s="546"/>
      <c r="B73" s="556"/>
      <c r="C73" s="548"/>
      <c r="D73" s="549"/>
      <c r="E73" s="550"/>
      <c r="F73" s="551"/>
      <c r="G73" s="548"/>
      <c r="H73" s="549"/>
      <c r="I73" s="550"/>
      <c r="J73" s="551"/>
      <c r="K73" s="548"/>
      <c r="L73" s="549"/>
      <c r="M73" s="550"/>
      <c r="N73" s="551"/>
      <c r="O73" s="548"/>
      <c r="P73" s="549"/>
      <c r="Q73" s="550"/>
      <c r="R73" s="551"/>
      <c r="S73" s="548"/>
      <c r="T73" s="549"/>
      <c r="U73" s="550"/>
      <c r="V73" s="551"/>
      <c r="W73" s="584" t="str">
        <f t="shared" si="5"/>
        <v/>
      </c>
      <c r="X73" s="552"/>
    </row>
    <row r="74" spans="1:29" ht="13.5" hidden="1" thickBot="1" x14ac:dyDescent="0.25">
      <c r="A74" s="169"/>
      <c r="B74" s="554"/>
      <c r="C74" s="166"/>
      <c r="D74" s="163"/>
      <c r="E74" s="167"/>
      <c r="F74" s="168"/>
      <c r="G74" s="166"/>
      <c r="H74" s="163"/>
      <c r="I74" s="167"/>
      <c r="J74" s="168"/>
      <c r="K74" s="166"/>
      <c r="L74" s="163"/>
      <c r="M74" s="167"/>
      <c r="N74" s="168"/>
      <c r="O74" s="166"/>
      <c r="P74" s="163"/>
      <c r="Q74" s="167"/>
      <c r="R74" s="168"/>
      <c r="S74" s="166"/>
      <c r="T74" s="163"/>
      <c r="U74" s="167"/>
      <c r="V74" s="168"/>
      <c r="W74" s="584" t="str">
        <f t="shared" ref="W74:W77" si="6">IF(COUNTA(C74:V74)=0,"",SUM(C74:V74)+COUNTIF(C74:V74,5)/100+COUNTIF(C74:V74,3)/10000)</f>
        <v/>
      </c>
      <c r="X74" s="150"/>
      <c r="AC74" s="526"/>
    </row>
    <row r="75" spans="1:29" ht="13.5" hidden="1" thickBot="1" x14ac:dyDescent="0.25">
      <c r="A75" s="169"/>
      <c r="B75" s="259"/>
      <c r="C75" s="166"/>
      <c r="D75" s="163"/>
      <c r="E75" s="167"/>
      <c r="F75" s="168"/>
      <c r="G75" s="166"/>
      <c r="H75" s="163"/>
      <c r="I75" s="167"/>
      <c r="J75" s="168"/>
      <c r="K75" s="166"/>
      <c r="L75" s="163"/>
      <c r="M75" s="167"/>
      <c r="N75" s="168"/>
      <c r="O75" s="166"/>
      <c r="P75" s="163"/>
      <c r="Q75" s="167"/>
      <c r="R75" s="168"/>
      <c r="S75" s="166"/>
      <c r="T75" s="163"/>
      <c r="U75" s="167"/>
      <c r="V75" s="168"/>
      <c r="W75" s="584" t="str">
        <f t="shared" si="6"/>
        <v/>
      </c>
      <c r="X75" s="150"/>
      <c r="AC75" s="526"/>
    </row>
    <row r="76" spans="1:29" ht="13.5" hidden="1" thickBot="1" x14ac:dyDescent="0.25">
      <c r="A76" s="555"/>
      <c r="B76" s="199"/>
      <c r="C76" s="166"/>
      <c r="D76" s="163"/>
      <c r="E76" s="167"/>
      <c r="F76" s="168"/>
      <c r="G76" s="166"/>
      <c r="H76" s="163"/>
      <c r="I76" s="167"/>
      <c r="J76" s="168"/>
      <c r="K76" s="166"/>
      <c r="L76" s="163"/>
      <c r="M76" s="167"/>
      <c r="N76" s="168"/>
      <c r="O76" s="166"/>
      <c r="P76" s="163"/>
      <c r="Q76" s="167"/>
      <c r="R76" s="168"/>
      <c r="S76" s="166"/>
      <c r="T76" s="163"/>
      <c r="U76" s="167"/>
      <c r="V76" s="168"/>
      <c r="W76" s="584" t="str">
        <f t="shared" si="6"/>
        <v/>
      </c>
      <c r="X76" s="150"/>
    </row>
    <row r="77" spans="1:29" ht="13.5" hidden="1" thickBot="1" x14ac:dyDescent="0.25">
      <c r="A77" s="557"/>
      <c r="B77" s="558"/>
      <c r="C77" s="559"/>
      <c r="D77" s="190"/>
      <c r="E77" s="560"/>
      <c r="F77" s="561"/>
      <c r="G77" s="559"/>
      <c r="H77" s="190"/>
      <c r="I77" s="560"/>
      <c r="J77" s="561"/>
      <c r="K77" s="559"/>
      <c r="L77" s="190"/>
      <c r="M77" s="560"/>
      <c r="N77" s="561"/>
      <c r="O77" s="559"/>
      <c r="P77" s="190"/>
      <c r="Q77" s="560"/>
      <c r="R77" s="561"/>
      <c r="S77" s="559"/>
      <c r="T77" s="190"/>
      <c r="U77" s="560"/>
      <c r="V77" s="561"/>
      <c r="W77" s="591" t="str">
        <f t="shared" si="6"/>
        <v/>
      </c>
      <c r="X77" s="159"/>
    </row>
    <row r="78" spans="1:29" x14ac:dyDescent="0.2">
      <c r="A78" s="544"/>
      <c r="B78" s="246" t="s">
        <v>217</v>
      </c>
      <c r="C78" s="247"/>
      <c r="D78" s="248"/>
      <c r="E78" s="248"/>
      <c r="F78" s="249"/>
      <c r="G78" s="247"/>
      <c r="H78" s="248"/>
      <c r="I78" s="248"/>
      <c r="J78" s="249"/>
      <c r="K78" s="247"/>
      <c r="L78" s="248"/>
      <c r="M78" s="248"/>
      <c r="N78" s="249"/>
      <c r="O78" s="247"/>
      <c r="P78" s="248"/>
      <c r="Q78" s="248"/>
      <c r="R78" s="249"/>
      <c r="S78" s="247"/>
      <c r="T78" s="248"/>
      <c r="U78" s="248"/>
      <c r="V78" s="249"/>
      <c r="W78" s="673" t="str">
        <f t="shared" si="1"/>
        <v/>
      </c>
      <c r="X78" s="250"/>
    </row>
    <row r="79" spans="1:29" x14ac:dyDescent="0.2">
      <c r="A79" s="556">
        <v>1</v>
      </c>
      <c r="B79" s="641" t="s">
        <v>42</v>
      </c>
      <c r="C79" s="581">
        <v>3</v>
      </c>
      <c r="D79" s="582">
        <v>3</v>
      </c>
      <c r="E79" s="582">
        <v>0</v>
      </c>
      <c r="F79" s="583">
        <v>3</v>
      </c>
      <c r="G79" s="581">
        <v>0</v>
      </c>
      <c r="H79" s="582">
        <v>1</v>
      </c>
      <c r="I79" s="582">
        <v>5</v>
      </c>
      <c r="J79" s="583">
        <v>3</v>
      </c>
      <c r="K79" s="581">
        <v>0</v>
      </c>
      <c r="L79" s="582">
        <v>5</v>
      </c>
      <c r="M79" s="582">
        <v>0</v>
      </c>
      <c r="N79" s="583">
        <v>3</v>
      </c>
      <c r="O79" s="581">
        <v>0</v>
      </c>
      <c r="P79" s="582">
        <v>0</v>
      </c>
      <c r="Q79" s="582">
        <v>0</v>
      </c>
      <c r="R79" s="583">
        <v>0</v>
      </c>
      <c r="S79" s="581">
        <v>0</v>
      </c>
      <c r="T79" s="582">
        <v>0</v>
      </c>
      <c r="U79" s="582">
        <v>0</v>
      </c>
      <c r="V79" s="583">
        <v>0</v>
      </c>
      <c r="W79" s="584">
        <f t="shared" si="1"/>
        <v>26.020499999999998</v>
      </c>
      <c r="X79" s="585" t="str">
        <f>IF(COUNTA(C79:V79)=0,"",IF(W79=W80,"ümbervisk",IF(W79&gt;W80,"finaali "&amp;(IF(W79&lt;MAX(W81:W82),2,IF(W79=MAX(W81:W82),"",1))),"pronksi "&amp;(IF(W79&lt;MIN(W81:W82),2,IF(W79=MIN(W81:W82),"",1))))))</f>
        <v>finaali 1</v>
      </c>
    </row>
    <row r="80" spans="1:29" x14ac:dyDescent="0.2">
      <c r="A80" s="556">
        <v>4</v>
      </c>
      <c r="B80" s="586" t="s">
        <v>638</v>
      </c>
      <c r="C80" s="581">
        <v>1</v>
      </c>
      <c r="D80" s="582">
        <v>3</v>
      </c>
      <c r="E80" s="582">
        <v>0</v>
      </c>
      <c r="F80" s="583">
        <v>0</v>
      </c>
      <c r="G80" s="581">
        <v>1</v>
      </c>
      <c r="H80" s="582">
        <v>0</v>
      </c>
      <c r="I80" s="582">
        <v>0</v>
      </c>
      <c r="J80" s="583">
        <v>0</v>
      </c>
      <c r="K80" s="581">
        <v>0</v>
      </c>
      <c r="L80" s="582">
        <v>0</v>
      </c>
      <c r="M80" s="582">
        <v>0</v>
      </c>
      <c r="N80" s="583">
        <v>0</v>
      </c>
      <c r="O80" s="581">
        <v>0</v>
      </c>
      <c r="P80" s="582">
        <v>0</v>
      </c>
      <c r="Q80" s="582">
        <v>0</v>
      </c>
      <c r="R80" s="583">
        <v>0</v>
      </c>
      <c r="S80" s="581">
        <v>0</v>
      </c>
      <c r="T80" s="582">
        <v>0</v>
      </c>
      <c r="U80" s="582">
        <v>3</v>
      </c>
      <c r="V80" s="583">
        <v>0</v>
      </c>
      <c r="W80" s="584">
        <f t="shared" si="1"/>
        <v>8.0001999999999995</v>
      </c>
      <c r="X80" s="585" t="str">
        <f>IF(COUNTA(C80:V80)=0,"",IF(W79=W80,"ümbervisk",IF(W80&gt;W79,"finaali "&amp;(IF(W80&lt;MAX(W81:W82),2,IF(W80=MAX(W81:W82),"",1))),"pronksi "&amp;(IF(W80&lt;MIN(W81:W82),2,IF(W80=MIN(W81:W82),"",1))))))</f>
        <v>pronksi 2</v>
      </c>
    </row>
    <row r="81" spans="1:27" x14ac:dyDescent="0.2">
      <c r="A81" s="173">
        <v>2</v>
      </c>
      <c r="B81" s="589" t="s">
        <v>50</v>
      </c>
      <c r="C81" s="144">
        <v>0</v>
      </c>
      <c r="D81" s="145">
        <v>3</v>
      </c>
      <c r="E81" s="145">
        <v>1</v>
      </c>
      <c r="F81" s="146">
        <v>0</v>
      </c>
      <c r="G81" s="144">
        <v>0</v>
      </c>
      <c r="H81" s="145">
        <v>0</v>
      </c>
      <c r="I81" s="145">
        <v>0</v>
      </c>
      <c r="J81" s="146">
        <v>0</v>
      </c>
      <c r="K81" s="144">
        <v>0</v>
      </c>
      <c r="L81" s="145">
        <v>0</v>
      </c>
      <c r="M81" s="145">
        <v>0</v>
      </c>
      <c r="N81" s="146">
        <v>0</v>
      </c>
      <c r="O81" s="144">
        <v>0</v>
      </c>
      <c r="P81" s="145">
        <v>3</v>
      </c>
      <c r="Q81" s="145">
        <v>0</v>
      </c>
      <c r="R81" s="146">
        <v>0</v>
      </c>
      <c r="S81" s="144">
        <v>5</v>
      </c>
      <c r="T81" s="145">
        <v>0</v>
      </c>
      <c r="U81" s="145">
        <v>0</v>
      </c>
      <c r="V81" s="146">
        <v>0</v>
      </c>
      <c r="W81" s="584">
        <f t="shared" si="1"/>
        <v>12.010199999999999</v>
      </c>
      <c r="X81" s="147" t="str">
        <f>IF(COUNTA(C81:V81)=0,"",IF(W81=W82,"ümbervisk",IF(W81&gt;W82,"finaali "&amp;(IF(W81&lt;MAX(W79:W80),2,IF(W81=MAX(W79:W80),"",1))),"pronksi "&amp;(IF(W81&lt;MIN(W79:W80),2,IF(W81=MIN(W79:W80),"",1))))))</f>
        <v>finaali 2</v>
      </c>
    </row>
    <row r="82" spans="1:27" ht="13.5" thickBot="1" x14ac:dyDescent="0.25">
      <c r="A82" s="177">
        <v>3</v>
      </c>
      <c r="B82" s="649" t="s">
        <v>36</v>
      </c>
      <c r="C82" s="156">
        <v>0</v>
      </c>
      <c r="D82" s="157">
        <v>0</v>
      </c>
      <c r="E82" s="157">
        <v>0</v>
      </c>
      <c r="F82" s="158">
        <v>0</v>
      </c>
      <c r="G82" s="156">
        <v>0</v>
      </c>
      <c r="H82" s="157">
        <v>0</v>
      </c>
      <c r="I82" s="157">
        <v>0</v>
      </c>
      <c r="J82" s="158">
        <v>0</v>
      </c>
      <c r="K82" s="156">
        <v>3</v>
      </c>
      <c r="L82" s="157">
        <v>0</v>
      </c>
      <c r="M82" s="157">
        <v>0</v>
      </c>
      <c r="N82" s="158">
        <v>3</v>
      </c>
      <c r="O82" s="156">
        <v>0</v>
      </c>
      <c r="P82" s="157">
        <v>0</v>
      </c>
      <c r="Q82" s="157">
        <v>3</v>
      </c>
      <c r="R82" s="158">
        <v>0</v>
      </c>
      <c r="S82" s="156">
        <v>0</v>
      </c>
      <c r="T82" s="157">
        <v>0</v>
      </c>
      <c r="U82" s="157">
        <v>0</v>
      </c>
      <c r="V82" s="158">
        <v>0</v>
      </c>
      <c r="W82" s="591">
        <f t="shared" si="1"/>
        <v>9.0002999999999993</v>
      </c>
      <c r="X82" s="592" t="str">
        <f>IF(COUNTA(C82:V82)=0,"",IF(W81=W82,"ümbervisk",IF(W82&gt;W81,"finaali "&amp;(IF(W82&lt;MAX(W79:W80),2,IF(W82=MAX(W79:W80),"",1))),"pronksi "&amp;(IF(W82&lt;MIN(W79:W80),2,IF(W82=MIN(W79:W80),"",1))))))</f>
        <v>pronksi 1</v>
      </c>
    </row>
    <row r="83" spans="1:27" x14ac:dyDescent="0.2">
      <c r="A83" s="544"/>
      <c r="B83" s="597" t="s">
        <v>218</v>
      </c>
      <c r="C83" s="247"/>
      <c r="D83" s="248"/>
      <c r="E83" s="248"/>
      <c r="F83" s="249"/>
      <c r="G83" s="247"/>
      <c r="H83" s="248"/>
      <c r="I83" s="248"/>
      <c r="J83" s="249"/>
      <c r="K83" s="247"/>
      <c r="L83" s="248"/>
      <c r="M83" s="248"/>
      <c r="N83" s="249"/>
      <c r="O83" s="247"/>
      <c r="P83" s="248"/>
      <c r="Q83" s="248"/>
      <c r="R83" s="249"/>
      <c r="S83" s="247"/>
      <c r="T83" s="248"/>
      <c r="U83" s="248"/>
      <c r="V83" s="249"/>
      <c r="W83" s="673" t="str">
        <f t="shared" si="1"/>
        <v/>
      </c>
      <c r="X83" s="250"/>
    </row>
    <row r="84" spans="1:27" x14ac:dyDescent="0.2">
      <c r="A84" s="173"/>
      <c r="B84" s="195" t="s">
        <v>36</v>
      </c>
      <c r="C84" s="144">
        <v>0</v>
      </c>
      <c r="D84" s="145">
        <v>1</v>
      </c>
      <c r="E84" s="145">
        <v>0</v>
      </c>
      <c r="F84" s="146">
        <v>0</v>
      </c>
      <c r="G84" s="144">
        <v>0</v>
      </c>
      <c r="H84" s="145">
        <v>3</v>
      </c>
      <c r="I84" s="145">
        <v>0</v>
      </c>
      <c r="J84" s="146">
        <v>0</v>
      </c>
      <c r="K84" s="144">
        <v>3</v>
      </c>
      <c r="L84" s="145">
        <v>3</v>
      </c>
      <c r="M84" s="145">
        <v>0</v>
      </c>
      <c r="N84" s="146">
        <v>0</v>
      </c>
      <c r="O84" s="144">
        <v>0</v>
      </c>
      <c r="P84" s="145">
        <v>0</v>
      </c>
      <c r="Q84" s="145">
        <v>0</v>
      </c>
      <c r="R84" s="146">
        <v>0</v>
      </c>
      <c r="S84" s="144">
        <v>0</v>
      </c>
      <c r="T84" s="145">
        <v>3</v>
      </c>
      <c r="U84" s="145">
        <v>0</v>
      </c>
      <c r="V84" s="146">
        <v>0</v>
      </c>
      <c r="W84" s="584">
        <f t="shared" si="1"/>
        <v>13.000400000000001</v>
      </c>
      <c r="X84" s="155">
        <f ca="1">IF( INDIRECT("RC[-1]",0)=MAX(( INDIRECT("R[-1]C[-1]",0)):( INDIRECT("R[1]C[-1]",0))),3,4)</f>
        <v>3</v>
      </c>
    </row>
    <row r="85" spans="1:27" ht="13.5" thickBot="1" x14ac:dyDescent="0.25">
      <c r="A85" s="177"/>
      <c r="B85" s="598" t="s">
        <v>638</v>
      </c>
      <c r="C85" s="156">
        <v>1</v>
      </c>
      <c r="D85" s="157">
        <v>0</v>
      </c>
      <c r="E85" s="157">
        <v>0</v>
      </c>
      <c r="F85" s="158">
        <v>0</v>
      </c>
      <c r="G85" s="156">
        <v>1</v>
      </c>
      <c r="H85" s="157">
        <v>3</v>
      </c>
      <c r="I85" s="157">
        <v>0</v>
      </c>
      <c r="J85" s="671">
        <v>0</v>
      </c>
      <c r="K85" s="156">
        <v>0</v>
      </c>
      <c r="L85" s="157">
        <v>0</v>
      </c>
      <c r="M85" s="157">
        <v>0</v>
      </c>
      <c r="N85" s="158">
        <v>0</v>
      </c>
      <c r="O85" s="156">
        <v>0</v>
      </c>
      <c r="P85" s="157">
        <v>0</v>
      </c>
      <c r="Q85" s="157">
        <v>0</v>
      </c>
      <c r="R85" s="158">
        <v>0</v>
      </c>
      <c r="S85" s="156">
        <v>0</v>
      </c>
      <c r="T85" s="157">
        <v>0</v>
      </c>
      <c r="U85" s="157">
        <v>0</v>
      </c>
      <c r="V85" s="158">
        <v>0</v>
      </c>
      <c r="W85" s="591">
        <f t="shared" si="1"/>
        <v>5.0000999999999998</v>
      </c>
      <c r="X85" s="160">
        <f ca="1">IF( INDIRECT("RC[-1]",0)=MAX(( INDIRECT("R[-1]C[-1]",0)):( INDIRECT("R[1]C[-1]",0))),3,4)</f>
        <v>4</v>
      </c>
    </row>
    <row r="86" spans="1:27" x14ac:dyDescent="0.2">
      <c r="A86" s="544"/>
      <c r="B86" s="597" t="s">
        <v>219</v>
      </c>
      <c r="C86" s="247"/>
      <c r="D86" s="248"/>
      <c r="E86" s="248"/>
      <c r="F86" s="249"/>
      <c r="G86" s="247"/>
      <c r="H86" s="248"/>
      <c r="I86" s="248"/>
      <c r="J86" s="249"/>
      <c r="K86" s="247"/>
      <c r="L86" s="248"/>
      <c r="M86" s="248"/>
      <c r="N86" s="249"/>
      <c r="O86" s="247"/>
      <c r="P86" s="248"/>
      <c r="Q86" s="248"/>
      <c r="R86" s="249"/>
      <c r="S86" s="247"/>
      <c r="T86" s="248"/>
      <c r="U86" s="248"/>
      <c r="V86" s="249"/>
      <c r="W86" s="673" t="str">
        <f t="shared" si="1"/>
        <v/>
      </c>
      <c r="X86" s="250"/>
    </row>
    <row r="87" spans="1:27" x14ac:dyDescent="0.2">
      <c r="A87" s="173"/>
      <c r="B87" s="193" t="s">
        <v>50</v>
      </c>
      <c r="C87" s="144">
        <v>0</v>
      </c>
      <c r="D87" s="145">
        <v>0</v>
      </c>
      <c r="E87" s="145">
        <v>0</v>
      </c>
      <c r="F87" s="146">
        <v>0</v>
      </c>
      <c r="G87" s="144">
        <v>0</v>
      </c>
      <c r="H87" s="145">
        <v>3</v>
      </c>
      <c r="I87" s="145">
        <v>0</v>
      </c>
      <c r="J87" s="146">
        <v>0</v>
      </c>
      <c r="K87" s="144">
        <v>0</v>
      </c>
      <c r="L87" s="145">
        <v>0</v>
      </c>
      <c r="M87" s="145">
        <v>0</v>
      </c>
      <c r="N87" s="146">
        <v>0</v>
      </c>
      <c r="O87" s="144">
        <v>0</v>
      </c>
      <c r="P87" s="145">
        <v>0</v>
      </c>
      <c r="Q87" s="145">
        <v>0</v>
      </c>
      <c r="R87" s="146">
        <v>0</v>
      </c>
      <c r="S87" s="144">
        <v>0</v>
      </c>
      <c r="T87" s="145">
        <v>0</v>
      </c>
      <c r="U87" s="145">
        <v>0</v>
      </c>
      <c r="V87" s="146">
        <v>0</v>
      </c>
      <c r="W87" s="584">
        <f t="shared" si="1"/>
        <v>3.0001000000000002</v>
      </c>
      <c r="X87" s="155">
        <f ca="1">IF( INDIRECT("RC[-1]",0)=MAX(( INDIRECT("R[-1]C[-1]",0)):( INDIRECT("R[1]C[-1]",0))),1,2)</f>
        <v>2</v>
      </c>
    </row>
    <row r="88" spans="1:27" ht="13.5" thickBot="1" x14ac:dyDescent="0.25">
      <c r="A88" s="177"/>
      <c r="B88" s="194" t="s">
        <v>42</v>
      </c>
      <c r="C88" s="156">
        <v>3</v>
      </c>
      <c r="D88" s="157">
        <v>3</v>
      </c>
      <c r="E88" s="157">
        <v>0</v>
      </c>
      <c r="F88" s="158">
        <v>0</v>
      </c>
      <c r="G88" s="156">
        <v>0</v>
      </c>
      <c r="H88" s="157">
        <v>0</v>
      </c>
      <c r="I88" s="157">
        <v>0</v>
      </c>
      <c r="J88" s="158">
        <v>0</v>
      </c>
      <c r="K88" s="156">
        <v>3</v>
      </c>
      <c r="L88" s="157">
        <v>1</v>
      </c>
      <c r="M88" s="157">
        <v>0</v>
      </c>
      <c r="N88" s="158">
        <v>0</v>
      </c>
      <c r="O88" s="156">
        <v>3</v>
      </c>
      <c r="P88" s="157">
        <v>0</v>
      </c>
      <c r="Q88" s="157">
        <v>3</v>
      </c>
      <c r="R88" s="158">
        <v>0</v>
      </c>
      <c r="S88" s="156">
        <v>0</v>
      </c>
      <c r="T88" s="157">
        <v>0</v>
      </c>
      <c r="U88" s="157">
        <v>0</v>
      </c>
      <c r="V88" s="158">
        <v>0</v>
      </c>
      <c r="W88" s="591">
        <f t="shared" si="1"/>
        <v>16.000499999999999</v>
      </c>
      <c r="X88" s="160">
        <f ca="1">IF( INDIRECT("RC[-1]",0)=MAX(( INDIRECT("R[-1]C[-1]",0)):( INDIRECT("R[1]C[-1]",0))),1,2)</f>
        <v>1</v>
      </c>
    </row>
    <row r="89" spans="1:27" x14ac:dyDescent="0.2">
      <c r="A89" s="172"/>
      <c r="B89" s="172"/>
      <c r="C89" s="172"/>
      <c r="D89" s="172"/>
      <c r="E89" s="172"/>
      <c r="F89" s="172"/>
      <c r="G89" s="172"/>
      <c r="H89" s="172"/>
      <c r="I89" s="172"/>
      <c r="J89" s="172"/>
      <c r="K89" s="172"/>
      <c r="L89" s="172"/>
      <c r="M89" s="172"/>
      <c r="N89" s="172"/>
      <c r="O89" s="611"/>
      <c r="P89" s="172"/>
      <c r="Q89" s="172"/>
      <c r="R89" s="172"/>
      <c r="S89" s="172"/>
      <c r="T89" s="612"/>
      <c r="U89" s="172"/>
      <c r="V89" s="172"/>
      <c r="W89" s="172"/>
      <c r="X89" s="172"/>
      <c r="Y89" s="172"/>
    </row>
    <row r="90" spans="1:27" x14ac:dyDescent="0.2">
      <c r="A90" s="178">
        <v>1</v>
      </c>
      <c r="B90" s="203" t="str">
        <f t="shared" ref="B90:B95" ca="1" si="7">IF(IFERROR(INDEX($B$9:$B$88,MATCH($A90,$X$9:$X$88,0)),"")=0,"",IFERROR(INDEX($B$9:$B$88,MATCH($A90,$X$9:$X$88,0)),""))</f>
        <v>Kadri Arunurm</v>
      </c>
      <c r="C90" s="172"/>
      <c r="D90" s="172"/>
      <c r="E90" s="172"/>
      <c r="F90" s="172"/>
      <c r="G90" s="172"/>
      <c r="H90" s="172"/>
      <c r="I90" s="172"/>
      <c r="J90" s="172"/>
      <c r="K90" s="172"/>
      <c r="L90" s="172"/>
      <c r="M90" s="172"/>
      <c r="N90" s="172"/>
      <c r="O90" s="172"/>
      <c r="P90" s="172"/>
      <c r="Q90" s="172"/>
      <c r="R90" s="172"/>
      <c r="S90" s="172"/>
      <c r="T90" s="172"/>
      <c r="U90" s="172"/>
      <c r="V90" s="172"/>
      <c r="W90" s="172"/>
      <c r="X90" s="172"/>
      <c r="Z90" s="259"/>
      <c r="AA90" s="260"/>
    </row>
    <row r="91" spans="1:27" x14ac:dyDescent="0.2">
      <c r="A91" s="178">
        <v>2</v>
      </c>
      <c r="B91" s="179" t="str">
        <f t="shared" ca="1" si="7"/>
        <v>Merike Lusbo</v>
      </c>
      <c r="C91" s="172"/>
      <c r="D91" s="172"/>
      <c r="E91" s="172"/>
      <c r="F91" s="172"/>
      <c r="G91" s="172"/>
      <c r="H91" s="172"/>
      <c r="I91" s="172"/>
      <c r="J91" s="172"/>
      <c r="K91" s="172"/>
      <c r="L91" s="172"/>
      <c r="M91" s="172"/>
      <c r="N91" s="172"/>
      <c r="O91" s="172"/>
      <c r="P91" s="172"/>
      <c r="Q91" s="172"/>
      <c r="R91" s="172"/>
      <c r="S91" s="172"/>
      <c r="T91" s="172"/>
      <c r="U91" s="172"/>
      <c r="V91" s="172"/>
      <c r="W91" s="172"/>
      <c r="X91" s="172"/>
      <c r="Z91" s="259"/>
      <c r="AA91" s="260"/>
    </row>
    <row r="92" spans="1:27" x14ac:dyDescent="0.2">
      <c r="A92" s="178">
        <v>3</v>
      </c>
      <c r="B92" s="180" t="str">
        <f t="shared" ca="1" si="7"/>
        <v>Mare Kingissepp</v>
      </c>
      <c r="C92" s="172"/>
      <c r="D92" s="172"/>
      <c r="E92" s="172"/>
      <c r="F92" s="172"/>
      <c r="G92" s="172"/>
      <c r="H92" s="172"/>
      <c r="I92" s="172"/>
      <c r="J92" s="172"/>
      <c r="K92" s="172"/>
      <c r="L92" s="172"/>
      <c r="M92" s="172"/>
      <c r="N92" s="172"/>
      <c r="O92" s="172"/>
      <c r="P92" s="172"/>
      <c r="Q92" s="172"/>
      <c r="R92" s="172"/>
      <c r="S92" s="172"/>
      <c r="T92" s="172"/>
      <c r="U92" s="172"/>
      <c r="V92" s="172"/>
      <c r="W92" s="172"/>
      <c r="X92" s="172"/>
      <c r="Z92" s="259"/>
      <c r="AA92" s="260"/>
    </row>
    <row r="93" spans="1:27" x14ac:dyDescent="0.2">
      <c r="A93" s="178">
        <v>4</v>
      </c>
      <c r="B93" s="323" t="str">
        <f t="shared" ca="1" si="7"/>
        <v>Kertu Palm</v>
      </c>
      <c r="C93" s="172"/>
      <c r="D93" s="172"/>
      <c r="E93" s="172"/>
      <c r="F93" s="172"/>
      <c r="G93" s="172"/>
      <c r="H93" s="172"/>
      <c r="I93" s="172"/>
      <c r="J93" s="172"/>
      <c r="K93" s="172"/>
      <c r="L93" s="172"/>
      <c r="M93" s="172"/>
      <c r="N93" s="172"/>
      <c r="O93" s="172"/>
      <c r="P93" s="172"/>
      <c r="Q93" s="172"/>
      <c r="R93" s="172"/>
      <c r="S93" s="172"/>
      <c r="T93" s="172"/>
      <c r="U93" s="172"/>
      <c r="V93" s="172"/>
      <c r="W93" s="172"/>
      <c r="X93" s="172"/>
      <c r="Z93" s="259"/>
      <c r="AA93" s="260"/>
    </row>
    <row r="94" spans="1:27" x14ac:dyDescent="0.2">
      <c r="A94" s="178">
        <v>5</v>
      </c>
      <c r="B94" s="323" t="str">
        <f t="shared" si="7"/>
        <v>Marge Mägi</v>
      </c>
      <c r="C94" s="172"/>
      <c r="D94" s="172"/>
      <c r="E94" s="172"/>
      <c r="F94" s="172"/>
      <c r="G94" s="172"/>
      <c r="H94" s="172"/>
      <c r="I94" s="172"/>
      <c r="J94" s="172"/>
      <c r="K94" s="172"/>
      <c r="L94" s="172"/>
      <c r="M94" s="172"/>
      <c r="N94" s="172"/>
      <c r="O94" s="172"/>
      <c r="P94" s="172"/>
      <c r="Q94" s="172"/>
      <c r="R94" s="172"/>
      <c r="S94" s="172"/>
      <c r="T94" s="172"/>
      <c r="U94" s="172"/>
      <c r="V94" s="172"/>
      <c r="W94" s="172"/>
      <c r="X94" s="172"/>
      <c r="Z94" s="259"/>
      <c r="AA94" s="260"/>
    </row>
    <row r="95" spans="1:27" x14ac:dyDescent="0.2">
      <c r="A95" s="178">
        <v>6</v>
      </c>
      <c r="B95" s="323" t="str">
        <f t="shared" si="7"/>
        <v>Eve Tõnisson</v>
      </c>
      <c r="C95" s="172"/>
      <c r="D95" s="172"/>
      <c r="E95" s="172"/>
      <c r="F95" s="172"/>
      <c r="G95" s="172"/>
      <c r="H95" s="172"/>
      <c r="I95" s="172"/>
      <c r="J95" s="172"/>
      <c r="K95" s="172"/>
      <c r="L95" s="172"/>
      <c r="M95" s="172"/>
      <c r="N95" s="172"/>
      <c r="O95" s="172"/>
      <c r="P95" s="172"/>
      <c r="Q95" s="172"/>
      <c r="R95" s="172"/>
      <c r="S95" s="172"/>
      <c r="T95" s="172"/>
      <c r="U95" s="172"/>
      <c r="V95" s="172"/>
      <c r="W95" s="172"/>
      <c r="X95" s="172"/>
      <c r="Z95" s="259"/>
      <c r="AA95" s="260"/>
    </row>
    <row r="96" spans="1:27" x14ac:dyDescent="0.2">
      <c r="C96" s="172"/>
      <c r="D96" s="172"/>
      <c r="E96" s="172"/>
      <c r="F96" s="172"/>
      <c r="G96" s="172"/>
      <c r="H96" s="172"/>
      <c r="I96" s="172"/>
      <c r="J96" s="172"/>
      <c r="K96" s="172"/>
      <c r="L96" s="172"/>
      <c r="M96" s="172"/>
      <c r="N96" s="172"/>
      <c r="O96" s="172"/>
      <c r="P96" s="172"/>
      <c r="Q96" s="172"/>
      <c r="R96" s="172"/>
      <c r="S96" s="172"/>
      <c r="T96" s="172"/>
      <c r="U96" s="172"/>
      <c r="V96" s="172"/>
      <c r="W96" s="172"/>
      <c r="X96" s="172"/>
      <c r="Y96" s="172"/>
    </row>
    <row r="97" spans="3:25" x14ac:dyDescent="0.2">
      <c r="C97" s="172"/>
      <c r="D97" s="172"/>
      <c r="E97" s="172"/>
      <c r="F97" s="172"/>
      <c r="G97" s="172"/>
      <c r="H97" s="172"/>
      <c r="I97" s="172"/>
      <c r="J97" s="172"/>
      <c r="K97" s="172"/>
      <c r="L97" s="172"/>
      <c r="M97" s="172"/>
      <c r="N97" s="172"/>
      <c r="O97" s="172"/>
      <c r="P97" s="172"/>
      <c r="Q97" s="172"/>
      <c r="R97" s="172"/>
      <c r="S97" s="172"/>
      <c r="T97" s="172"/>
      <c r="U97" s="172"/>
      <c r="V97" s="172"/>
      <c r="W97" s="172"/>
      <c r="X97" s="172"/>
      <c r="Y97" s="172"/>
    </row>
    <row r="98" spans="3:25" x14ac:dyDescent="0.2">
      <c r="C98" s="172"/>
      <c r="D98" s="172"/>
      <c r="E98" s="172"/>
      <c r="F98" s="172"/>
      <c r="G98" s="172"/>
      <c r="H98" s="172"/>
      <c r="I98" s="172"/>
      <c r="J98" s="172"/>
      <c r="K98" s="172"/>
      <c r="L98" s="172"/>
      <c r="M98" s="172"/>
      <c r="N98" s="172"/>
      <c r="O98" s="172"/>
      <c r="P98" s="172"/>
      <c r="Q98" s="172"/>
      <c r="R98" s="172"/>
      <c r="S98" s="172"/>
      <c r="T98" s="172"/>
      <c r="U98" s="172"/>
      <c r="V98" s="172"/>
      <c r="W98" s="172"/>
      <c r="X98" s="172"/>
      <c r="Y98" s="172"/>
    </row>
    <row r="99" spans="3:25" x14ac:dyDescent="0.2">
      <c r="C99" s="172"/>
      <c r="D99" s="172"/>
      <c r="E99" s="172"/>
      <c r="F99" s="172"/>
      <c r="G99" s="172"/>
      <c r="H99" s="172"/>
      <c r="I99" s="172"/>
      <c r="J99" s="172"/>
      <c r="K99" s="172"/>
      <c r="L99" s="172"/>
      <c r="M99" s="172"/>
      <c r="N99" s="172"/>
      <c r="O99" s="172"/>
      <c r="P99" s="172"/>
      <c r="Q99" s="172"/>
      <c r="R99" s="172"/>
      <c r="S99" s="172"/>
      <c r="T99" s="172"/>
      <c r="U99" s="172"/>
      <c r="V99" s="172"/>
      <c r="W99" s="172"/>
      <c r="X99" s="172"/>
      <c r="Y99" s="172"/>
    </row>
    <row r="100" spans="3:25" x14ac:dyDescent="0.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row>
    <row r="101" spans="3:25" x14ac:dyDescent="0.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row>
  </sheetData>
  <conditionalFormatting sqref="X79:X82">
    <cfRule type="duplicateValues" dxfId="281" priority="48"/>
  </conditionalFormatting>
  <conditionalFormatting sqref="B16:B21">
    <cfRule type="duplicateValues" dxfId="280" priority="42" stopIfTrue="1"/>
  </conditionalFormatting>
  <conditionalFormatting sqref="X16:X23 X40:X43">
    <cfRule type="duplicateValues" dxfId="279" priority="50"/>
    <cfRule type="top10" dxfId="278" priority="51" stopIfTrue="1" rank="100"/>
  </conditionalFormatting>
  <conditionalFormatting sqref="B22:B23 B40:B43">
    <cfRule type="duplicateValues" dxfId="277" priority="52" stopIfTrue="1"/>
  </conditionalFormatting>
  <conditionalFormatting sqref="B32:B37">
    <cfRule type="duplicateValues" dxfId="276" priority="38" stopIfTrue="1"/>
  </conditionalFormatting>
  <conditionalFormatting sqref="X32:X39">
    <cfRule type="duplicateValues" dxfId="275" priority="39"/>
    <cfRule type="top10" dxfId="274" priority="40" stopIfTrue="1" rank="100"/>
  </conditionalFormatting>
  <conditionalFormatting sqref="B38:B39">
    <cfRule type="duplicateValues" dxfId="273" priority="41" stopIfTrue="1"/>
  </conditionalFormatting>
  <conditionalFormatting sqref="B54:B59">
    <cfRule type="duplicateValues" dxfId="272" priority="34" stopIfTrue="1"/>
  </conditionalFormatting>
  <conditionalFormatting sqref="X54:X61 X70:X73">
    <cfRule type="duplicateValues" dxfId="271" priority="35"/>
    <cfRule type="top10" dxfId="270" priority="36" stopIfTrue="1" rank="100"/>
  </conditionalFormatting>
  <conditionalFormatting sqref="B60:B61 B70:B73">
    <cfRule type="duplicateValues" dxfId="269" priority="37" stopIfTrue="1"/>
  </conditionalFormatting>
  <conditionalFormatting sqref="B62:B67">
    <cfRule type="duplicateValues" dxfId="268" priority="30" stopIfTrue="1"/>
  </conditionalFormatting>
  <conditionalFormatting sqref="X62:X69">
    <cfRule type="duplicateValues" dxfId="267" priority="31"/>
    <cfRule type="top10" dxfId="266" priority="32" stopIfTrue="1" rank="100"/>
  </conditionalFormatting>
  <conditionalFormatting sqref="B68:B69">
    <cfRule type="duplicateValues" dxfId="265" priority="33" stopIfTrue="1"/>
  </conditionalFormatting>
  <conditionalFormatting sqref="B74:B75">
    <cfRule type="duplicateValues" dxfId="264" priority="26" stopIfTrue="1"/>
  </conditionalFormatting>
  <conditionalFormatting sqref="X74:X77">
    <cfRule type="duplicateValues" dxfId="263" priority="27"/>
    <cfRule type="top10" dxfId="262" priority="28" stopIfTrue="1" rank="100"/>
  </conditionalFormatting>
  <conditionalFormatting sqref="B76:B77">
    <cfRule type="duplicateValues" dxfId="261" priority="29" stopIfTrue="1"/>
  </conditionalFormatting>
  <conditionalFormatting sqref="B44:B45">
    <cfRule type="duplicateValues" dxfId="260" priority="25" stopIfTrue="1"/>
  </conditionalFormatting>
  <conditionalFormatting sqref="B24:B29">
    <cfRule type="duplicateValues" dxfId="259" priority="21" stopIfTrue="1"/>
  </conditionalFormatting>
  <conditionalFormatting sqref="X24:X31">
    <cfRule type="duplicateValues" dxfId="258" priority="22"/>
    <cfRule type="top10" dxfId="257" priority="23" stopIfTrue="1" rank="100"/>
  </conditionalFormatting>
  <conditionalFormatting sqref="B30:B31">
    <cfRule type="duplicateValues" dxfId="256" priority="24" stopIfTrue="1"/>
  </conditionalFormatting>
  <conditionalFormatting sqref="W16:W19">
    <cfRule type="top10" dxfId="255" priority="19" rank="1"/>
  </conditionalFormatting>
  <conditionalFormatting sqref="W20:W23">
    <cfRule type="top10" dxfId="254" priority="18" rank="1"/>
  </conditionalFormatting>
  <conditionalFormatting sqref="W24:W27">
    <cfRule type="top10" dxfId="253" priority="17" rank="1"/>
  </conditionalFormatting>
  <conditionalFormatting sqref="W28:W31">
    <cfRule type="top10" dxfId="252" priority="16" rank="1"/>
  </conditionalFormatting>
  <conditionalFormatting sqref="W32:W35">
    <cfRule type="top10" dxfId="251" priority="15" rank="1"/>
  </conditionalFormatting>
  <conditionalFormatting sqref="W36:W39">
    <cfRule type="top10" dxfId="250" priority="14" rank="1"/>
  </conditionalFormatting>
  <conditionalFormatting sqref="W40:W43">
    <cfRule type="top10" dxfId="249" priority="13" rank="1"/>
  </conditionalFormatting>
  <conditionalFormatting sqref="W44:W47">
    <cfRule type="top10" dxfId="248" priority="12" rank="1"/>
  </conditionalFormatting>
  <conditionalFormatting sqref="W54:W57">
    <cfRule type="top10" dxfId="247" priority="11" rank="1"/>
  </conditionalFormatting>
  <conditionalFormatting sqref="W58:W61">
    <cfRule type="top10" dxfId="246" priority="10" rank="1"/>
  </conditionalFormatting>
  <conditionalFormatting sqref="W62:W65">
    <cfRule type="top10" dxfId="245" priority="9" rank="1"/>
  </conditionalFormatting>
  <conditionalFormatting sqref="W66:W69">
    <cfRule type="top10" dxfId="244" priority="8" rank="1"/>
  </conditionalFormatting>
  <conditionalFormatting sqref="W70:W73">
    <cfRule type="top10" dxfId="243" priority="7" rank="1"/>
  </conditionalFormatting>
  <conditionalFormatting sqref="W74:W77">
    <cfRule type="top10" dxfId="242" priority="6" rank="1"/>
  </conditionalFormatting>
  <conditionalFormatting sqref="W79:W80">
    <cfRule type="top10" dxfId="241" priority="56" rank="1"/>
  </conditionalFormatting>
  <conditionalFormatting sqref="W81:W82">
    <cfRule type="top10" dxfId="240" priority="57" rank="1"/>
  </conditionalFormatting>
  <conditionalFormatting sqref="W84:W85">
    <cfRule type="top10" dxfId="239" priority="58" rank="1"/>
  </conditionalFormatting>
  <conditionalFormatting sqref="W87:W88">
    <cfRule type="top10" dxfId="238" priority="59" rank="1"/>
  </conditionalFormatting>
  <conditionalFormatting sqref="X44:X47">
    <cfRule type="duplicateValues" dxfId="237" priority="68"/>
    <cfRule type="top10" dxfId="236" priority="69" stopIfTrue="1" rank="100"/>
  </conditionalFormatting>
  <conditionalFormatting sqref="B46:B47">
    <cfRule type="duplicateValues" dxfId="235" priority="70" stopIfTrue="1"/>
  </conditionalFormatting>
  <conditionalFormatting sqref="X9:X14">
    <cfRule type="duplicateValues" dxfId="234" priority="13152"/>
    <cfRule type="top10" dxfId="233" priority="13153" stopIfTrue="1" rank="100"/>
  </conditionalFormatting>
  <conditionalFormatting sqref="B10:B12 B14">
    <cfRule type="duplicateValues" dxfId="232" priority="13154" stopIfTrue="1"/>
  </conditionalFormatting>
  <conditionalFormatting sqref="B51:B52">
    <cfRule type="duplicateValues" dxfId="231" priority="4" stopIfTrue="1"/>
  </conditionalFormatting>
  <conditionalFormatting sqref="X49:X52">
    <cfRule type="duplicateValues" dxfId="230" priority="13166"/>
    <cfRule type="top10" dxfId="229" priority="13167" stopIfTrue="1" rank="100"/>
  </conditionalFormatting>
  <conditionalFormatting sqref="B79">
    <cfRule type="duplicateValues" dxfId="228" priority="2" stopIfTrue="1"/>
  </conditionalFormatting>
  <conditionalFormatting sqref="W9:W88">
    <cfRule type="top10" dxfId="227" priority="13174" rank="1"/>
  </conditionalFormatting>
  <pageMargins left="0.78740157480314965" right="0.27559055118110237" top="0.51181102362204722" bottom="0.31496062992125984" header="0.31496062992125984" footer="0"/>
  <pageSetup paperSize="9" fitToHeight="0" orientation="portrait" r:id="rId1"/>
  <headerFooter alignWithMargins="0">
    <oddHeader>&amp;R&amp;"Arial,Regular"&amp;9Page &amp;P of &amp;N</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A39"/>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142" customWidth="1"/>
    <col min="2" max="2" width="18.28515625" style="142" customWidth="1"/>
    <col min="3" max="22" width="2.85546875" style="142" customWidth="1"/>
    <col min="23" max="23" width="3" style="142" bestFit="1" customWidth="1"/>
    <col min="24" max="24" width="10.5703125" style="142" bestFit="1" customWidth="1"/>
    <col min="25" max="26" width="4" style="142" hidden="1" customWidth="1"/>
    <col min="27" max="27" width="4.5703125" style="142" hidden="1" customWidth="1"/>
    <col min="28" max="256" width="9.140625" style="142"/>
    <col min="257" max="257" width="3" style="142" customWidth="1"/>
    <col min="258" max="258" width="18.7109375" style="142" customWidth="1"/>
    <col min="259" max="278" width="2.85546875" style="142" customWidth="1"/>
    <col min="279" max="279" width="3" style="142" bestFit="1" customWidth="1"/>
    <col min="280" max="280" width="10.5703125" style="142" bestFit="1" customWidth="1"/>
    <col min="281" max="283" width="0" style="142" hidden="1" customWidth="1"/>
    <col min="284" max="512" width="9.140625" style="142"/>
    <col min="513" max="513" width="3" style="142" customWidth="1"/>
    <col min="514" max="514" width="18.7109375" style="142" customWidth="1"/>
    <col min="515" max="534" width="2.85546875" style="142" customWidth="1"/>
    <col min="535" max="535" width="3" style="142" bestFit="1" customWidth="1"/>
    <col min="536" max="536" width="10.5703125" style="142" bestFit="1" customWidth="1"/>
    <col min="537" max="539" width="0" style="142" hidden="1" customWidth="1"/>
    <col min="540" max="768" width="9.140625" style="142"/>
    <col min="769" max="769" width="3" style="142" customWidth="1"/>
    <col min="770" max="770" width="18.7109375" style="142" customWidth="1"/>
    <col min="771" max="790" width="2.85546875" style="142" customWidth="1"/>
    <col min="791" max="791" width="3" style="142" bestFit="1" customWidth="1"/>
    <col min="792" max="792" width="10.5703125" style="142" bestFit="1" customWidth="1"/>
    <col min="793" max="795" width="0" style="142" hidden="1" customWidth="1"/>
    <col min="796" max="1024" width="9.140625" style="142"/>
    <col min="1025" max="1025" width="3" style="142" customWidth="1"/>
    <col min="1026" max="1026" width="18.7109375" style="142" customWidth="1"/>
    <col min="1027" max="1046" width="2.85546875" style="142" customWidth="1"/>
    <col min="1047" max="1047" width="3" style="142" bestFit="1" customWidth="1"/>
    <col min="1048" max="1048" width="10.5703125" style="142" bestFit="1" customWidth="1"/>
    <col min="1049" max="1051" width="0" style="142" hidden="1" customWidth="1"/>
    <col min="1052" max="1280" width="9.140625" style="142"/>
    <col min="1281" max="1281" width="3" style="142" customWidth="1"/>
    <col min="1282" max="1282" width="18.7109375" style="142" customWidth="1"/>
    <col min="1283" max="1302" width="2.85546875" style="142" customWidth="1"/>
    <col min="1303" max="1303" width="3" style="142" bestFit="1" customWidth="1"/>
    <col min="1304" max="1304" width="10.5703125" style="142" bestFit="1" customWidth="1"/>
    <col min="1305" max="1307" width="0" style="142" hidden="1" customWidth="1"/>
    <col min="1308" max="1536" width="9.140625" style="142"/>
    <col min="1537" max="1537" width="3" style="142" customWidth="1"/>
    <col min="1538" max="1538" width="18.7109375" style="142" customWidth="1"/>
    <col min="1539" max="1558" width="2.85546875" style="142" customWidth="1"/>
    <col min="1559" max="1559" width="3" style="142" bestFit="1" customWidth="1"/>
    <col min="1560" max="1560" width="10.5703125" style="142" bestFit="1" customWidth="1"/>
    <col min="1561" max="1563" width="0" style="142" hidden="1" customWidth="1"/>
    <col min="1564" max="1792" width="9.140625" style="142"/>
    <col min="1793" max="1793" width="3" style="142" customWidth="1"/>
    <col min="1794" max="1794" width="18.7109375" style="142" customWidth="1"/>
    <col min="1795" max="1814" width="2.85546875" style="142" customWidth="1"/>
    <col min="1815" max="1815" width="3" style="142" bestFit="1" customWidth="1"/>
    <col min="1816" max="1816" width="10.5703125" style="142" bestFit="1" customWidth="1"/>
    <col min="1817" max="1819" width="0" style="142" hidden="1" customWidth="1"/>
    <col min="1820" max="2048" width="9.140625" style="142"/>
    <col min="2049" max="2049" width="3" style="142" customWidth="1"/>
    <col min="2050" max="2050" width="18.7109375" style="142" customWidth="1"/>
    <col min="2051" max="2070" width="2.85546875" style="142" customWidth="1"/>
    <col min="2071" max="2071" width="3" style="142" bestFit="1" customWidth="1"/>
    <col min="2072" max="2072" width="10.5703125" style="142" bestFit="1" customWidth="1"/>
    <col min="2073" max="2075" width="0" style="142" hidden="1" customWidth="1"/>
    <col min="2076" max="2304" width="9.140625" style="142"/>
    <col min="2305" max="2305" width="3" style="142" customWidth="1"/>
    <col min="2306" max="2306" width="18.7109375" style="142" customWidth="1"/>
    <col min="2307" max="2326" width="2.85546875" style="142" customWidth="1"/>
    <col min="2327" max="2327" width="3" style="142" bestFit="1" customWidth="1"/>
    <col min="2328" max="2328" width="10.5703125" style="142" bestFit="1" customWidth="1"/>
    <col min="2329" max="2331" width="0" style="142" hidden="1" customWidth="1"/>
    <col min="2332" max="2560" width="9.140625" style="142"/>
    <col min="2561" max="2561" width="3" style="142" customWidth="1"/>
    <col min="2562" max="2562" width="18.7109375" style="142" customWidth="1"/>
    <col min="2563" max="2582" width="2.85546875" style="142" customWidth="1"/>
    <col min="2583" max="2583" width="3" style="142" bestFit="1" customWidth="1"/>
    <col min="2584" max="2584" width="10.5703125" style="142" bestFit="1" customWidth="1"/>
    <col min="2585" max="2587" width="0" style="142" hidden="1" customWidth="1"/>
    <col min="2588" max="2816" width="9.140625" style="142"/>
    <col min="2817" max="2817" width="3" style="142" customWidth="1"/>
    <col min="2818" max="2818" width="18.7109375" style="142" customWidth="1"/>
    <col min="2819" max="2838" width="2.85546875" style="142" customWidth="1"/>
    <col min="2839" max="2839" width="3" style="142" bestFit="1" customWidth="1"/>
    <col min="2840" max="2840" width="10.5703125" style="142" bestFit="1" customWidth="1"/>
    <col min="2841" max="2843" width="0" style="142" hidden="1" customWidth="1"/>
    <col min="2844" max="3072" width="9.140625" style="142"/>
    <col min="3073" max="3073" width="3" style="142" customWidth="1"/>
    <col min="3074" max="3074" width="18.7109375" style="142" customWidth="1"/>
    <col min="3075" max="3094" width="2.85546875" style="142" customWidth="1"/>
    <col min="3095" max="3095" width="3" style="142" bestFit="1" customWidth="1"/>
    <col min="3096" max="3096" width="10.5703125" style="142" bestFit="1" customWidth="1"/>
    <col min="3097" max="3099" width="0" style="142" hidden="1" customWidth="1"/>
    <col min="3100" max="3328" width="9.140625" style="142"/>
    <col min="3329" max="3329" width="3" style="142" customWidth="1"/>
    <col min="3330" max="3330" width="18.7109375" style="142" customWidth="1"/>
    <col min="3331" max="3350" width="2.85546875" style="142" customWidth="1"/>
    <col min="3351" max="3351" width="3" style="142" bestFit="1" customWidth="1"/>
    <col min="3352" max="3352" width="10.5703125" style="142" bestFit="1" customWidth="1"/>
    <col min="3353" max="3355" width="0" style="142" hidden="1" customWidth="1"/>
    <col min="3356" max="3584" width="9.140625" style="142"/>
    <col min="3585" max="3585" width="3" style="142" customWidth="1"/>
    <col min="3586" max="3586" width="18.7109375" style="142" customWidth="1"/>
    <col min="3587" max="3606" width="2.85546875" style="142" customWidth="1"/>
    <col min="3607" max="3607" width="3" style="142" bestFit="1" customWidth="1"/>
    <col min="3608" max="3608" width="10.5703125" style="142" bestFit="1" customWidth="1"/>
    <col min="3609" max="3611" width="0" style="142" hidden="1" customWidth="1"/>
    <col min="3612" max="3840" width="9.140625" style="142"/>
    <col min="3841" max="3841" width="3" style="142" customWidth="1"/>
    <col min="3842" max="3842" width="18.7109375" style="142" customWidth="1"/>
    <col min="3843" max="3862" width="2.85546875" style="142" customWidth="1"/>
    <col min="3863" max="3863" width="3" style="142" bestFit="1" customWidth="1"/>
    <col min="3864" max="3864" width="10.5703125" style="142" bestFit="1" customWidth="1"/>
    <col min="3865" max="3867" width="0" style="142" hidden="1" customWidth="1"/>
    <col min="3868" max="4096" width="9.140625" style="142"/>
    <col min="4097" max="4097" width="3" style="142" customWidth="1"/>
    <col min="4098" max="4098" width="18.7109375" style="142" customWidth="1"/>
    <col min="4099" max="4118" width="2.85546875" style="142" customWidth="1"/>
    <col min="4119" max="4119" width="3" style="142" bestFit="1" customWidth="1"/>
    <col min="4120" max="4120" width="10.5703125" style="142" bestFit="1" customWidth="1"/>
    <col min="4121" max="4123" width="0" style="142" hidden="1" customWidth="1"/>
    <col min="4124" max="4352" width="9.140625" style="142"/>
    <col min="4353" max="4353" width="3" style="142" customWidth="1"/>
    <col min="4354" max="4354" width="18.7109375" style="142" customWidth="1"/>
    <col min="4355" max="4374" width="2.85546875" style="142" customWidth="1"/>
    <col min="4375" max="4375" width="3" style="142" bestFit="1" customWidth="1"/>
    <col min="4376" max="4376" width="10.5703125" style="142" bestFit="1" customWidth="1"/>
    <col min="4377" max="4379" width="0" style="142" hidden="1" customWidth="1"/>
    <col min="4380" max="4608" width="9.140625" style="142"/>
    <col min="4609" max="4609" width="3" style="142" customWidth="1"/>
    <col min="4610" max="4610" width="18.7109375" style="142" customWidth="1"/>
    <col min="4611" max="4630" width="2.85546875" style="142" customWidth="1"/>
    <col min="4631" max="4631" width="3" style="142" bestFit="1" customWidth="1"/>
    <col min="4632" max="4632" width="10.5703125" style="142" bestFit="1" customWidth="1"/>
    <col min="4633" max="4635" width="0" style="142" hidden="1" customWidth="1"/>
    <col min="4636" max="4864" width="9.140625" style="142"/>
    <col min="4865" max="4865" width="3" style="142" customWidth="1"/>
    <col min="4866" max="4866" width="18.7109375" style="142" customWidth="1"/>
    <col min="4867" max="4886" width="2.85546875" style="142" customWidth="1"/>
    <col min="4887" max="4887" width="3" style="142" bestFit="1" customWidth="1"/>
    <col min="4888" max="4888" width="10.5703125" style="142" bestFit="1" customWidth="1"/>
    <col min="4889" max="4891" width="0" style="142" hidden="1" customWidth="1"/>
    <col min="4892" max="5120" width="9.140625" style="142"/>
    <col min="5121" max="5121" width="3" style="142" customWidth="1"/>
    <col min="5122" max="5122" width="18.7109375" style="142" customWidth="1"/>
    <col min="5123" max="5142" width="2.85546875" style="142" customWidth="1"/>
    <col min="5143" max="5143" width="3" style="142" bestFit="1" customWidth="1"/>
    <col min="5144" max="5144" width="10.5703125" style="142" bestFit="1" customWidth="1"/>
    <col min="5145" max="5147" width="0" style="142" hidden="1" customWidth="1"/>
    <col min="5148" max="5376" width="9.140625" style="142"/>
    <col min="5377" max="5377" width="3" style="142" customWidth="1"/>
    <col min="5378" max="5378" width="18.7109375" style="142" customWidth="1"/>
    <col min="5379" max="5398" width="2.85546875" style="142" customWidth="1"/>
    <col min="5399" max="5399" width="3" style="142" bestFit="1" customWidth="1"/>
    <col min="5400" max="5400" width="10.5703125" style="142" bestFit="1" customWidth="1"/>
    <col min="5401" max="5403" width="0" style="142" hidden="1" customWidth="1"/>
    <col min="5404" max="5632" width="9.140625" style="142"/>
    <col min="5633" max="5633" width="3" style="142" customWidth="1"/>
    <col min="5634" max="5634" width="18.7109375" style="142" customWidth="1"/>
    <col min="5635" max="5654" width="2.85546875" style="142" customWidth="1"/>
    <col min="5655" max="5655" width="3" style="142" bestFit="1" customWidth="1"/>
    <col min="5656" max="5656" width="10.5703125" style="142" bestFit="1" customWidth="1"/>
    <col min="5657" max="5659" width="0" style="142" hidden="1" customWidth="1"/>
    <col min="5660" max="5888" width="9.140625" style="142"/>
    <col min="5889" max="5889" width="3" style="142" customWidth="1"/>
    <col min="5890" max="5890" width="18.7109375" style="142" customWidth="1"/>
    <col min="5891" max="5910" width="2.85546875" style="142" customWidth="1"/>
    <col min="5911" max="5911" width="3" style="142" bestFit="1" customWidth="1"/>
    <col min="5912" max="5912" width="10.5703125" style="142" bestFit="1" customWidth="1"/>
    <col min="5913" max="5915" width="0" style="142" hidden="1" customWidth="1"/>
    <col min="5916" max="6144" width="9.140625" style="142"/>
    <col min="6145" max="6145" width="3" style="142" customWidth="1"/>
    <col min="6146" max="6146" width="18.7109375" style="142" customWidth="1"/>
    <col min="6147" max="6166" width="2.85546875" style="142" customWidth="1"/>
    <col min="6167" max="6167" width="3" style="142" bestFit="1" customWidth="1"/>
    <col min="6168" max="6168" width="10.5703125" style="142" bestFit="1" customWidth="1"/>
    <col min="6169" max="6171" width="0" style="142" hidden="1" customWidth="1"/>
    <col min="6172" max="6400" width="9.140625" style="142"/>
    <col min="6401" max="6401" width="3" style="142" customWidth="1"/>
    <col min="6402" max="6402" width="18.7109375" style="142" customWidth="1"/>
    <col min="6403" max="6422" width="2.85546875" style="142" customWidth="1"/>
    <col min="6423" max="6423" width="3" style="142" bestFit="1" customWidth="1"/>
    <col min="6424" max="6424" width="10.5703125" style="142" bestFit="1" customWidth="1"/>
    <col min="6425" max="6427" width="0" style="142" hidden="1" customWidth="1"/>
    <col min="6428" max="6656" width="9.140625" style="142"/>
    <col min="6657" max="6657" width="3" style="142" customWidth="1"/>
    <col min="6658" max="6658" width="18.7109375" style="142" customWidth="1"/>
    <col min="6659" max="6678" width="2.85546875" style="142" customWidth="1"/>
    <col min="6679" max="6679" width="3" style="142" bestFit="1" customWidth="1"/>
    <col min="6680" max="6680" width="10.5703125" style="142" bestFit="1" customWidth="1"/>
    <col min="6681" max="6683" width="0" style="142" hidden="1" customWidth="1"/>
    <col min="6684" max="6912" width="9.140625" style="142"/>
    <col min="6913" max="6913" width="3" style="142" customWidth="1"/>
    <col min="6914" max="6914" width="18.7109375" style="142" customWidth="1"/>
    <col min="6915" max="6934" width="2.85546875" style="142" customWidth="1"/>
    <col min="6935" max="6935" width="3" style="142" bestFit="1" customWidth="1"/>
    <col min="6936" max="6936" width="10.5703125" style="142" bestFit="1" customWidth="1"/>
    <col min="6937" max="6939" width="0" style="142" hidden="1" customWidth="1"/>
    <col min="6940" max="7168" width="9.140625" style="142"/>
    <col min="7169" max="7169" width="3" style="142" customWidth="1"/>
    <col min="7170" max="7170" width="18.7109375" style="142" customWidth="1"/>
    <col min="7171" max="7190" width="2.85546875" style="142" customWidth="1"/>
    <col min="7191" max="7191" width="3" style="142" bestFit="1" customWidth="1"/>
    <col min="7192" max="7192" width="10.5703125" style="142" bestFit="1" customWidth="1"/>
    <col min="7193" max="7195" width="0" style="142" hidden="1" customWidth="1"/>
    <col min="7196" max="7424" width="9.140625" style="142"/>
    <col min="7425" max="7425" width="3" style="142" customWidth="1"/>
    <col min="7426" max="7426" width="18.7109375" style="142" customWidth="1"/>
    <col min="7427" max="7446" width="2.85546875" style="142" customWidth="1"/>
    <col min="7447" max="7447" width="3" style="142" bestFit="1" customWidth="1"/>
    <col min="7448" max="7448" width="10.5703125" style="142" bestFit="1" customWidth="1"/>
    <col min="7449" max="7451" width="0" style="142" hidden="1" customWidth="1"/>
    <col min="7452" max="7680" width="9.140625" style="142"/>
    <col min="7681" max="7681" width="3" style="142" customWidth="1"/>
    <col min="7682" max="7682" width="18.7109375" style="142" customWidth="1"/>
    <col min="7683" max="7702" width="2.85546875" style="142" customWidth="1"/>
    <col min="7703" max="7703" width="3" style="142" bestFit="1" customWidth="1"/>
    <col min="7704" max="7704" width="10.5703125" style="142" bestFit="1" customWidth="1"/>
    <col min="7705" max="7707" width="0" style="142" hidden="1" customWidth="1"/>
    <col min="7708" max="7936" width="9.140625" style="142"/>
    <col min="7937" max="7937" width="3" style="142" customWidth="1"/>
    <col min="7938" max="7938" width="18.7109375" style="142" customWidth="1"/>
    <col min="7939" max="7958" width="2.85546875" style="142" customWidth="1"/>
    <col min="7959" max="7959" width="3" style="142" bestFit="1" customWidth="1"/>
    <col min="7960" max="7960" width="10.5703125" style="142" bestFit="1" customWidth="1"/>
    <col min="7961" max="7963" width="0" style="142" hidden="1" customWidth="1"/>
    <col min="7964" max="8192" width="9.140625" style="142"/>
    <col min="8193" max="8193" width="3" style="142" customWidth="1"/>
    <col min="8194" max="8194" width="18.7109375" style="142" customWidth="1"/>
    <col min="8195" max="8214" width="2.85546875" style="142" customWidth="1"/>
    <col min="8215" max="8215" width="3" style="142" bestFit="1" customWidth="1"/>
    <col min="8216" max="8216" width="10.5703125" style="142" bestFit="1" customWidth="1"/>
    <col min="8217" max="8219" width="0" style="142" hidden="1" customWidth="1"/>
    <col min="8220" max="8448" width="9.140625" style="142"/>
    <col min="8449" max="8449" width="3" style="142" customWidth="1"/>
    <col min="8450" max="8450" width="18.7109375" style="142" customWidth="1"/>
    <col min="8451" max="8470" width="2.85546875" style="142" customWidth="1"/>
    <col min="8471" max="8471" width="3" style="142" bestFit="1" customWidth="1"/>
    <col min="8472" max="8472" width="10.5703125" style="142" bestFit="1" customWidth="1"/>
    <col min="8473" max="8475" width="0" style="142" hidden="1" customWidth="1"/>
    <col min="8476" max="8704" width="9.140625" style="142"/>
    <col min="8705" max="8705" width="3" style="142" customWidth="1"/>
    <col min="8706" max="8706" width="18.7109375" style="142" customWidth="1"/>
    <col min="8707" max="8726" width="2.85546875" style="142" customWidth="1"/>
    <col min="8727" max="8727" width="3" style="142" bestFit="1" customWidth="1"/>
    <col min="8728" max="8728" width="10.5703125" style="142" bestFit="1" customWidth="1"/>
    <col min="8729" max="8731" width="0" style="142" hidden="1" customWidth="1"/>
    <col min="8732" max="8960" width="9.140625" style="142"/>
    <col min="8961" max="8961" width="3" style="142" customWidth="1"/>
    <col min="8962" max="8962" width="18.7109375" style="142" customWidth="1"/>
    <col min="8963" max="8982" width="2.85546875" style="142" customWidth="1"/>
    <col min="8983" max="8983" width="3" style="142" bestFit="1" customWidth="1"/>
    <col min="8984" max="8984" width="10.5703125" style="142" bestFit="1" customWidth="1"/>
    <col min="8985" max="8987" width="0" style="142" hidden="1" customWidth="1"/>
    <col min="8988" max="9216" width="9.140625" style="142"/>
    <col min="9217" max="9217" width="3" style="142" customWidth="1"/>
    <col min="9218" max="9218" width="18.7109375" style="142" customWidth="1"/>
    <col min="9219" max="9238" width="2.85546875" style="142" customWidth="1"/>
    <col min="9239" max="9239" width="3" style="142" bestFit="1" customWidth="1"/>
    <col min="9240" max="9240" width="10.5703125" style="142" bestFit="1" customWidth="1"/>
    <col min="9241" max="9243" width="0" style="142" hidden="1" customWidth="1"/>
    <col min="9244" max="9472" width="9.140625" style="142"/>
    <col min="9473" max="9473" width="3" style="142" customWidth="1"/>
    <col min="9474" max="9474" width="18.7109375" style="142" customWidth="1"/>
    <col min="9475" max="9494" width="2.85546875" style="142" customWidth="1"/>
    <col min="9495" max="9495" width="3" style="142" bestFit="1" customWidth="1"/>
    <col min="9496" max="9496" width="10.5703125" style="142" bestFit="1" customWidth="1"/>
    <col min="9497" max="9499" width="0" style="142" hidden="1" customWidth="1"/>
    <col min="9500" max="9728" width="9.140625" style="142"/>
    <col min="9729" max="9729" width="3" style="142" customWidth="1"/>
    <col min="9730" max="9730" width="18.7109375" style="142" customWidth="1"/>
    <col min="9731" max="9750" width="2.85546875" style="142" customWidth="1"/>
    <col min="9751" max="9751" width="3" style="142" bestFit="1" customWidth="1"/>
    <col min="9752" max="9752" width="10.5703125" style="142" bestFit="1" customWidth="1"/>
    <col min="9753" max="9755" width="0" style="142" hidden="1" customWidth="1"/>
    <col min="9756" max="9984" width="9.140625" style="142"/>
    <col min="9985" max="9985" width="3" style="142" customWidth="1"/>
    <col min="9986" max="9986" width="18.7109375" style="142" customWidth="1"/>
    <col min="9987" max="10006" width="2.85546875" style="142" customWidth="1"/>
    <col min="10007" max="10007" width="3" style="142" bestFit="1" customWidth="1"/>
    <col min="10008" max="10008" width="10.5703125" style="142" bestFit="1" customWidth="1"/>
    <col min="10009" max="10011" width="0" style="142" hidden="1" customWidth="1"/>
    <col min="10012" max="10240" width="9.140625" style="142"/>
    <col min="10241" max="10241" width="3" style="142" customWidth="1"/>
    <col min="10242" max="10242" width="18.7109375" style="142" customWidth="1"/>
    <col min="10243" max="10262" width="2.85546875" style="142" customWidth="1"/>
    <col min="10263" max="10263" width="3" style="142" bestFit="1" customWidth="1"/>
    <col min="10264" max="10264" width="10.5703125" style="142" bestFit="1" customWidth="1"/>
    <col min="10265" max="10267" width="0" style="142" hidden="1" customWidth="1"/>
    <col min="10268" max="10496" width="9.140625" style="142"/>
    <col min="10497" max="10497" width="3" style="142" customWidth="1"/>
    <col min="10498" max="10498" width="18.7109375" style="142" customWidth="1"/>
    <col min="10499" max="10518" width="2.85546875" style="142" customWidth="1"/>
    <col min="10519" max="10519" width="3" style="142" bestFit="1" customWidth="1"/>
    <col min="10520" max="10520" width="10.5703125" style="142" bestFit="1" customWidth="1"/>
    <col min="10521" max="10523" width="0" style="142" hidden="1" customWidth="1"/>
    <col min="10524" max="10752" width="9.140625" style="142"/>
    <col min="10753" max="10753" width="3" style="142" customWidth="1"/>
    <col min="10754" max="10754" width="18.7109375" style="142" customWidth="1"/>
    <col min="10755" max="10774" width="2.85546875" style="142" customWidth="1"/>
    <col min="10775" max="10775" width="3" style="142" bestFit="1" customWidth="1"/>
    <col min="10776" max="10776" width="10.5703125" style="142" bestFit="1" customWidth="1"/>
    <col min="10777" max="10779" width="0" style="142" hidden="1" customWidth="1"/>
    <col min="10780" max="11008" width="9.140625" style="142"/>
    <col min="11009" max="11009" width="3" style="142" customWidth="1"/>
    <col min="11010" max="11010" width="18.7109375" style="142" customWidth="1"/>
    <col min="11011" max="11030" width="2.85546875" style="142" customWidth="1"/>
    <col min="11031" max="11031" width="3" style="142" bestFit="1" customWidth="1"/>
    <col min="11032" max="11032" width="10.5703125" style="142" bestFit="1" customWidth="1"/>
    <col min="11033" max="11035" width="0" style="142" hidden="1" customWidth="1"/>
    <col min="11036" max="11264" width="9.140625" style="142"/>
    <col min="11265" max="11265" width="3" style="142" customWidth="1"/>
    <col min="11266" max="11266" width="18.7109375" style="142" customWidth="1"/>
    <col min="11267" max="11286" width="2.85546875" style="142" customWidth="1"/>
    <col min="11287" max="11287" width="3" style="142" bestFit="1" customWidth="1"/>
    <col min="11288" max="11288" width="10.5703125" style="142" bestFit="1" customWidth="1"/>
    <col min="11289" max="11291" width="0" style="142" hidden="1" customWidth="1"/>
    <col min="11292" max="11520" width="9.140625" style="142"/>
    <col min="11521" max="11521" width="3" style="142" customWidth="1"/>
    <col min="11522" max="11522" width="18.7109375" style="142" customWidth="1"/>
    <col min="11523" max="11542" width="2.85546875" style="142" customWidth="1"/>
    <col min="11543" max="11543" width="3" style="142" bestFit="1" customWidth="1"/>
    <col min="11544" max="11544" width="10.5703125" style="142" bestFit="1" customWidth="1"/>
    <col min="11545" max="11547" width="0" style="142" hidden="1" customWidth="1"/>
    <col min="11548" max="11776" width="9.140625" style="142"/>
    <col min="11777" max="11777" width="3" style="142" customWidth="1"/>
    <col min="11778" max="11778" width="18.7109375" style="142" customWidth="1"/>
    <col min="11779" max="11798" width="2.85546875" style="142" customWidth="1"/>
    <col min="11799" max="11799" width="3" style="142" bestFit="1" customWidth="1"/>
    <col min="11800" max="11800" width="10.5703125" style="142" bestFit="1" customWidth="1"/>
    <col min="11801" max="11803" width="0" style="142" hidden="1" customWidth="1"/>
    <col min="11804" max="12032" width="9.140625" style="142"/>
    <col min="12033" max="12033" width="3" style="142" customWidth="1"/>
    <col min="12034" max="12034" width="18.7109375" style="142" customWidth="1"/>
    <col min="12035" max="12054" width="2.85546875" style="142" customWidth="1"/>
    <col min="12055" max="12055" width="3" style="142" bestFit="1" customWidth="1"/>
    <col min="12056" max="12056" width="10.5703125" style="142" bestFit="1" customWidth="1"/>
    <col min="12057" max="12059" width="0" style="142" hidden="1" customWidth="1"/>
    <col min="12060" max="12288" width="9.140625" style="142"/>
    <col min="12289" max="12289" width="3" style="142" customWidth="1"/>
    <col min="12290" max="12290" width="18.7109375" style="142" customWidth="1"/>
    <col min="12291" max="12310" width="2.85546875" style="142" customWidth="1"/>
    <col min="12311" max="12311" width="3" style="142" bestFit="1" customWidth="1"/>
    <col min="12312" max="12312" width="10.5703125" style="142" bestFit="1" customWidth="1"/>
    <col min="12313" max="12315" width="0" style="142" hidden="1" customWidth="1"/>
    <col min="12316" max="12544" width="9.140625" style="142"/>
    <col min="12545" max="12545" width="3" style="142" customWidth="1"/>
    <col min="12546" max="12546" width="18.7109375" style="142" customWidth="1"/>
    <col min="12547" max="12566" width="2.85546875" style="142" customWidth="1"/>
    <col min="12567" max="12567" width="3" style="142" bestFit="1" customWidth="1"/>
    <col min="12568" max="12568" width="10.5703125" style="142" bestFit="1" customWidth="1"/>
    <col min="12569" max="12571" width="0" style="142" hidden="1" customWidth="1"/>
    <col min="12572" max="12800" width="9.140625" style="142"/>
    <col min="12801" max="12801" width="3" style="142" customWidth="1"/>
    <col min="12802" max="12802" width="18.7109375" style="142" customWidth="1"/>
    <col min="12803" max="12822" width="2.85546875" style="142" customWidth="1"/>
    <col min="12823" max="12823" width="3" style="142" bestFit="1" customWidth="1"/>
    <col min="12824" max="12824" width="10.5703125" style="142" bestFit="1" customWidth="1"/>
    <col min="12825" max="12827" width="0" style="142" hidden="1" customWidth="1"/>
    <col min="12828" max="13056" width="9.140625" style="142"/>
    <col min="13057" max="13057" width="3" style="142" customWidth="1"/>
    <col min="13058" max="13058" width="18.7109375" style="142" customWidth="1"/>
    <col min="13059" max="13078" width="2.85546875" style="142" customWidth="1"/>
    <col min="13079" max="13079" width="3" style="142" bestFit="1" customWidth="1"/>
    <col min="13080" max="13080" width="10.5703125" style="142" bestFit="1" customWidth="1"/>
    <col min="13081" max="13083" width="0" style="142" hidden="1" customWidth="1"/>
    <col min="13084" max="13312" width="9.140625" style="142"/>
    <col min="13313" max="13313" width="3" style="142" customWidth="1"/>
    <col min="13314" max="13314" width="18.7109375" style="142" customWidth="1"/>
    <col min="13315" max="13334" width="2.85546875" style="142" customWidth="1"/>
    <col min="13335" max="13335" width="3" style="142" bestFit="1" customWidth="1"/>
    <col min="13336" max="13336" width="10.5703125" style="142" bestFit="1" customWidth="1"/>
    <col min="13337" max="13339" width="0" style="142" hidden="1" customWidth="1"/>
    <col min="13340" max="13568" width="9.140625" style="142"/>
    <col min="13569" max="13569" width="3" style="142" customWidth="1"/>
    <col min="13570" max="13570" width="18.7109375" style="142" customWidth="1"/>
    <col min="13571" max="13590" width="2.85546875" style="142" customWidth="1"/>
    <col min="13591" max="13591" width="3" style="142" bestFit="1" customWidth="1"/>
    <col min="13592" max="13592" width="10.5703125" style="142" bestFit="1" customWidth="1"/>
    <col min="13593" max="13595" width="0" style="142" hidden="1" customWidth="1"/>
    <col min="13596" max="13824" width="9.140625" style="142"/>
    <col min="13825" max="13825" width="3" style="142" customWidth="1"/>
    <col min="13826" max="13826" width="18.7109375" style="142" customWidth="1"/>
    <col min="13827" max="13846" width="2.85546875" style="142" customWidth="1"/>
    <col min="13847" max="13847" width="3" style="142" bestFit="1" customWidth="1"/>
    <col min="13848" max="13848" width="10.5703125" style="142" bestFit="1" customWidth="1"/>
    <col min="13849" max="13851" width="0" style="142" hidden="1" customWidth="1"/>
    <col min="13852" max="14080" width="9.140625" style="142"/>
    <col min="14081" max="14081" width="3" style="142" customWidth="1"/>
    <col min="14082" max="14082" width="18.7109375" style="142" customWidth="1"/>
    <col min="14083" max="14102" width="2.85546875" style="142" customWidth="1"/>
    <col min="14103" max="14103" width="3" style="142" bestFit="1" customWidth="1"/>
    <col min="14104" max="14104" width="10.5703125" style="142" bestFit="1" customWidth="1"/>
    <col min="14105" max="14107" width="0" style="142" hidden="1" customWidth="1"/>
    <col min="14108" max="14336" width="9.140625" style="142"/>
    <col min="14337" max="14337" width="3" style="142" customWidth="1"/>
    <col min="14338" max="14338" width="18.7109375" style="142" customWidth="1"/>
    <col min="14339" max="14358" width="2.85546875" style="142" customWidth="1"/>
    <col min="14359" max="14359" width="3" style="142" bestFit="1" customWidth="1"/>
    <col min="14360" max="14360" width="10.5703125" style="142" bestFit="1" customWidth="1"/>
    <col min="14361" max="14363" width="0" style="142" hidden="1" customWidth="1"/>
    <col min="14364" max="14592" width="9.140625" style="142"/>
    <col min="14593" max="14593" width="3" style="142" customWidth="1"/>
    <col min="14594" max="14594" width="18.7109375" style="142" customWidth="1"/>
    <col min="14595" max="14614" width="2.85546875" style="142" customWidth="1"/>
    <col min="14615" max="14615" width="3" style="142" bestFit="1" customWidth="1"/>
    <col min="14616" max="14616" width="10.5703125" style="142" bestFit="1" customWidth="1"/>
    <col min="14617" max="14619" width="0" style="142" hidden="1" customWidth="1"/>
    <col min="14620" max="14848" width="9.140625" style="142"/>
    <col min="14849" max="14849" width="3" style="142" customWidth="1"/>
    <col min="14850" max="14850" width="18.7109375" style="142" customWidth="1"/>
    <col min="14851" max="14870" width="2.85546875" style="142" customWidth="1"/>
    <col min="14871" max="14871" width="3" style="142" bestFit="1" customWidth="1"/>
    <col min="14872" max="14872" width="10.5703125" style="142" bestFit="1" customWidth="1"/>
    <col min="14873" max="14875" width="0" style="142" hidden="1" customWidth="1"/>
    <col min="14876" max="15104" width="9.140625" style="142"/>
    <col min="15105" max="15105" width="3" style="142" customWidth="1"/>
    <col min="15106" max="15106" width="18.7109375" style="142" customWidth="1"/>
    <col min="15107" max="15126" width="2.85546875" style="142" customWidth="1"/>
    <col min="15127" max="15127" width="3" style="142" bestFit="1" customWidth="1"/>
    <col min="15128" max="15128" width="10.5703125" style="142" bestFit="1" customWidth="1"/>
    <col min="15129" max="15131" width="0" style="142" hidden="1" customWidth="1"/>
    <col min="15132" max="15360" width="9.140625" style="142"/>
    <col min="15361" max="15361" width="3" style="142" customWidth="1"/>
    <col min="15362" max="15362" width="18.7109375" style="142" customWidth="1"/>
    <col min="15363" max="15382" width="2.85546875" style="142" customWidth="1"/>
    <col min="15383" max="15383" width="3" style="142" bestFit="1" customWidth="1"/>
    <col min="15384" max="15384" width="10.5703125" style="142" bestFit="1" customWidth="1"/>
    <col min="15385" max="15387" width="0" style="142" hidden="1" customWidth="1"/>
    <col min="15388" max="15616" width="9.140625" style="142"/>
    <col min="15617" max="15617" width="3" style="142" customWidth="1"/>
    <col min="15618" max="15618" width="18.7109375" style="142" customWidth="1"/>
    <col min="15619" max="15638" width="2.85546875" style="142" customWidth="1"/>
    <col min="15639" max="15639" width="3" style="142" bestFit="1" customWidth="1"/>
    <col min="15640" max="15640" width="10.5703125" style="142" bestFit="1" customWidth="1"/>
    <col min="15641" max="15643" width="0" style="142" hidden="1" customWidth="1"/>
    <col min="15644" max="15872" width="9.140625" style="142"/>
    <col min="15873" max="15873" width="3" style="142" customWidth="1"/>
    <col min="15874" max="15874" width="18.7109375" style="142" customWidth="1"/>
    <col min="15875" max="15894" width="2.85546875" style="142" customWidth="1"/>
    <col min="15895" max="15895" width="3" style="142" bestFit="1" customWidth="1"/>
    <col min="15896" max="15896" width="10.5703125" style="142" bestFit="1" customWidth="1"/>
    <col min="15897" max="15899" width="0" style="142" hidden="1" customWidth="1"/>
    <col min="15900" max="16128" width="9.140625" style="142"/>
    <col min="16129" max="16129" width="3" style="142" customWidth="1"/>
    <col min="16130" max="16130" width="18.7109375" style="142" customWidth="1"/>
    <col min="16131" max="16150" width="2.85546875" style="142" customWidth="1"/>
    <col min="16151" max="16151" width="3" style="142" bestFit="1" customWidth="1"/>
    <col min="16152" max="16152" width="10.5703125" style="142" bestFit="1" customWidth="1"/>
    <col min="16153" max="16155" width="0" style="142" hidden="1" customWidth="1"/>
    <col min="16156" max="16384" width="9.140625" style="142"/>
  </cols>
  <sheetData>
    <row r="1" spans="1:24" s="135" customFormat="1" x14ac:dyDescent="0.2">
      <c r="A1" s="117" t="str">
        <f>UPPER((Kalend!E13)&amp;" - "&amp;(Kalend!C13)&amp;" - "&amp;(Kalend!D13))</f>
        <v>5M - 17. EESTI MV - TULISTAMINE</v>
      </c>
      <c r="B1" s="206"/>
      <c r="C1" s="206"/>
      <c r="D1" s="206"/>
      <c r="E1" s="206"/>
      <c r="I1" s="204" t="s">
        <v>169</v>
      </c>
      <c r="Q1" s="85" t="str">
        <f>HYPERLINK("#Üldreiting!I1","Reiting")</f>
        <v>Reiting</v>
      </c>
      <c r="R1" s="206"/>
      <c r="S1" s="206"/>
      <c r="T1" s="206"/>
      <c r="U1" s="206"/>
      <c r="V1" s="206"/>
    </row>
    <row r="2" spans="1:24" s="135" customFormat="1" x14ac:dyDescent="0.2">
      <c r="A2" s="116" t="str">
        <f>"Toimumisaeg: "&amp;(Kalend!A13)&amp;" kell "&amp;(Kalend!B13)</f>
        <v>Toimumisaeg: P, 11.06.2017 kell 10:00</v>
      </c>
      <c r="B2" s="206"/>
      <c r="C2" s="206"/>
      <c r="D2" s="206"/>
      <c r="E2" s="206"/>
      <c r="O2" s="206"/>
      <c r="P2" s="206"/>
      <c r="Q2" s="206"/>
      <c r="R2" s="206"/>
      <c r="S2" s="206"/>
      <c r="T2" s="206"/>
    </row>
    <row r="3" spans="1:24" s="135" customFormat="1" x14ac:dyDescent="0.2">
      <c r="A3" s="116" t="str">
        <f>"Toimumiskoht: "&amp;(Kalend!H13)</f>
        <v>Toimumiskoht: Kohtla-Järve, Järveküla tee 44</v>
      </c>
      <c r="B3" s="206"/>
      <c r="C3" s="206"/>
      <c r="D3" s="206"/>
      <c r="E3" s="206"/>
      <c r="O3" s="206"/>
      <c r="P3" s="206"/>
      <c r="Q3" s="206"/>
      <c r="R3" s="206"/>
      <c r="S3" s="206"/>
      <c r="T3" s="206"/>
    </row>
    <row r="4" spans="1:24" s="135" customFormat="1" x14ac:dyDescent="0.2">
      <c r="A4" s="116" t="str">
        <f>"Korraldaja: "&amp;(Kalend!I13)</f>
        <v>Korraldaja: Kohtla-Järve SHK, Ivar Viljaste</v>
      </c>
      <c r="B4" s="206"/>
      <c r="C4" s="206"/>
      <c r="D4" s="206"/>
      <c r="E4" s="206"/>
      <c r="O4" s="206"/>
      <c r="P4" s="206"/>
      <c r="Q4" s="206"/>
      <c r="R4" s="206"/>
      <c r="S4" s="206"/>
      <c r="T4" s="206"/>
    </row>
    <row r="5" spans="1:24" s="135" customFormat="1" ht="13.5" thickBot="1" x14ac:dyDescent="0.25">
      <c r="A5" s="206"/>
      <c r="B5" s="206"/>
      <c r="C5" s="206"/>
      <c r="D5" s="206"/>
      <c r="E5" s="206"/>
      <c r="F5" s="206"/>
      <c r="G5" s="206"/>
      <c r="H5" s="206"/>
      <c r="I5" s="206"/>
      <c r="J5" s="206"/>
      <c r="K5" s="206"/>
    </row>
    <row r="6" spans="1:24" ht="63.75" customHeight="1" thickBot="1" x14ac:dyDescent="0.25">
      <c r="A6" s="232"/>
      <c r="B6" s="233"/>
      <c r="C6" s="234"/>
      <c r="D6" s="234"/>
      <c r="E6" s="234"/>
      <c r="F6" s="234"/>
      <c r="G6" s="235"/>
      <c r="H6" s="234"/>
      <c r="I6" s="234"/>
      <c r="J6" s="236"/>
      <c r="K6" s="234"/>
      <c r="L6" s="234"/>
      <c r="M6" s="234"/>
      <c r="N6" s="234"/>
      <c r="O6" s="235"/>
      <c r="P6" s="234"/>
      <c r="Q6" s="234"/>
      <c r="R6" s="236"/>
      <c r="S6" s="234"/>
      <c r="T6" s="234"/>
      <c r="U6" s="234"/>
      <c r="V6" s="234"/>
      <c r="W6" s="237"/>
      <c r="X6" s="237"/>
    </row>
    <row r="7" spans="1:24" s="143" customFormat="1" ht="13.5" thickBot="1" x14ac:dyDescent="0.25">
      <c r="A7" s="238"/>
      <c r="B7" s="239"/>
      <c r="C7" s="240">
        <v>6</v>
      </c>
      <c r="D7" s="241">
        <v>7</v>
      </c>
      <c r="E7" s="241">
        <v>8</v>
      </c>
      <c r="F7" s="242">
        <v>9</v>
      </c>
      <c r="G7" s="240">
        <v>6</v>
      </c>
      <c r="H7" s="241">
        <v>7</v>
      </c>
      <c r="I7" s="241">
        <v>8</v>
      </c>
      <c r="J7" s="242">
        <v>9</v>
      </c>
      <c r="K7" s="240">
        <v>6</v>
      </c>
      <c r="L7" s="241">
        <v>7</v>
      </c>
      <c r="M7" s="241">
        <v>8</v>
      </c>
      <c r="N7" s="242">
        <v>9</v>
      </c>
      <c r="O7" s="240">
        <v>6</v>
      </c>
      <c r="P7" s="241">
        <v>7</v>
      </c>
      <c r="Q7" s="241">
        <v>8</v>
      </c>
      <c r="R7" s="242">
        <v>9</v>
      </c>
      <c r="S7" s="240">
        <v>6</v>
      </c>
      <c r="T7" s="241">
        <v>7</v>
      </c>
      <c r="U7" s="241">
        <v>8</v>
      </c>
      <c r="V7" s="242">
        <v>9</v>
      </c>
      <c r="W7" s="243" t="s">
        <v>155</v>
      </c>
      <c r="X7" s="244" t="s">
        <v>222</v>
      </c>
    </row>
    <row r="8" spans="1:24" x14ac:dyDescent="0.2">
      <c r="A8" s="245"/>
      <c r="B8" s="246" t="s">
        <v>221</v>
      </c>
      <c r="C8" s="247"/>
      <c r="D8" s="248"/>
      <c r="E8" s="248"/>
      <c r="F8" s="249"/>
      <c r="G8" s="247"/>
      <c r="H8" s="248"/>
      <c r="I8" s="248"/>
      <c r="J8" s="249"/>
      <c r="K8" s="247"/>
      <c r="L8" s="248"/>
      <c r="M8" s="248"/>
      <c r="N8" s="249"/>
      <c r="O8" s="247"/>
      <c r="P8" s="248"/>
      <c r="Q8" s="248"/>
      <c r="R8" s="249"/>
      <c r="S8" s="247"/>
      <c r="T8" s="248"/>
      <c r="U8" s="248"/>
      <c r="V8" s="249"/>
      <c r="W8" s="245"/>
      <c r="X8" s="250"/>
    </row>
    <row r="9" spans="1:24" x14ac:dyDescent="0.2">
      <c r="A9" s="171">
        <v>1</v>
      </c>
      <c r="B9" s="200"/>
      <c r="C9" s="162"/>
      <c r="D9" s="163"/>
      <c r="E9" s="163"/>
      <c r="F9" s="164"/>
      <c r="G9" s="162"/>
      <c r="H9" s="163"/>
      <c r="I9" s="163"/>
      <c r="J9" s="164"/>
      <c r="K9" s="162"/>
      <c r="L9" s="163"/>
      <c r="M9" s="163"/>
      <c r="N9" s="164"/>
      <c r="O9" s="162"/>
      <c r="P9" s="163"/>
      <c r="Q9" s="163"/>
      <c r="R9" s="164"/>
      <c r="S9" s="162"/>
      <c r="T9" s="163"/>
      <c r="U9" s="163"/>
      <c r="V9" s="164"/>
      <c r="W9" s="165" t="str">
        <f>IF(COUNTA(C9:V9)=0,"",SUM(C9:V9)+COUNTIF(C9:V9,5)/100+COUNTIF(C9:V9,3)/10000)</f>
        <v/>
      </c>
      <c r="X9" s="165" t="str">
        <f>IF(COUNTA(C9:V9)=0,"",IF(RANK(W9,$W$9:$W$15)&lt;3,"edasi "&amp;RANK(W9,$W$9:$W$15),IF(RANK(W9,$W$9:$W$15)&lt;7,"vahevooru "&amp;RANK(W9,$W$9:$W$15),RANK(W9,$W$9:$W$15))))</f>
        <v/>
      </c>
    </row>
    <row r="10" spans="1:24" x14ac:dyDescent="0.2">
      <c r="A10" s="171">
        <v>2</v>
      </c>
      <c r="B10" s="197"/>
      <c r="C10" s="162"/>
      <c r="D10" s="163"/>
      <c r="E10" s="163"/>
      <c r="F10" s="164"/>
      <c r="G10" s="162"/>
      <c r="H10" s="163"/>
      <c r="I10" s="163"/>
      <c r="J10" s="164"/>
      <c r="K10" s="162"/>
      <c r="L10" s="163"/>
      <c r="M10" s="163"/>
      <c r="N10" s="164"/>
      <c r="O10" s="162"/>
      <c r="P10" s="163"/>
      <c r="Q10" s="163"/>
      <c r="R10" s="164"/>
      <c r="S10" s="162"/>
      <c r="T10" s="163"/>
      <c r="U10" s="163"/>
      <c r="V10" s="164"/>
      <c r="W10" s="165" t="str">
        <f t="shared" ref="W10:W15" si="0">IF(COUNTA(C10:V10)=0,"",SUM(C10:V10)+COUNTIF(C10:V10,5)/100+COUNTIF(C10:V10,3)/10000)</f>
        <v/>
      </c>
      <c r="X10" s="165" t="str">
        <f t="shared" ref="X10:X15" si="1">IF(COUNTA(C10:V10)=0,"",IF(RANK(W10,$W$9:$W$15)&lt;3,"edasi "&amp;RANK(W10,$W$9:$W$15),IF(RANK(W10,$W$9:$W$15)&lt;7,"vahevooru "&amp;RANK(W10,$W$9:$W$15),RANK(W10,$W$9:$W$15))))</f>
        <v/>
      </c>
    </row>
    <row r="11" spans="1:24" x14ac:dyDescent="0.2">
      <c r="A11" s="169">
        <v>3</v>
      </c>
      <c r="B11" s="195"/>
      <c r="C11" s="166"/>
      <c r="D11" s="167"/>
      <c r="E11" s="167"/>
      <c r="F11" s="168"/>
      <c r="G11" s="166"/>
      <c r="H11" s="167"/>
      <c r="I11" s="167"/>
      <c r="J11" s="168"/>
      <c r="K11" s="166"/>
      <c r="L11" s="167"/>
      <c r="M11" s="167"/>
      <c r="N11" s="168"/>
      <c r="O11" s="166"/>
      <c r="P11" s="167"/>
      <c r="Q11" s="167"/>
      <c r="R11" s="168"/>
      <c r="S11" s="166"/>
      <c r="T11" s="167"/>
      <c r="U11" s="167"/>
      <c r="V11" s="168"/>
      <c r="W11" s="150" t="str">
        <f t="shared" si="0"/>
        <v/>
      </c>
      <c r="X11" s="150" t="str">
        <f t="shared" si="1"/>
        <v/>
      </c>
    </row>
    <row r="12" spans="1:24" x14ac:dyDescent="0.2">
      <c r="A12" s="169">
        <v>4</v>
      </c>
      <c r="B12" s="201"/>
      <c r="C12" s="166"/>
      <c r="D12" s="167"/>
      <c r="E12" s="167"/>
      <c r="F12" s="168"/>
      <c r="G12" s="166"/>
      <c r="H12" s="167"/>
      <c r="I12" s="167"/>
      <c r="J12" s="168"/>
      <c r="K12" s="166"/>
      <c r="L12" s="167"/>
      <c r="M12" s="167"/>
      <c r="N12" s="168"/>
      <c r="O12" s="166"/>
      <c r="P12" s="167"/>
      <c r="Q12" s="167"/>
      <c r="R12" s="168"/>
      <c r="S12" s="166"/>
      <c r="T12" s="167"/>
      <c r="U12" s="167"/>
      <c r="V12" s="168"/>
      <c r="W12" s="150" t="str">
        <f t="shared" si="0"/>
        <v/>
      </c>
      <c r="X12" s="150" t="str">
        <f t="shared" si="1"/>
        <v/>
      </c>
    </row>
    <row r="13" spans="1:24" x14ac:dyDescent="0.2">
      <c r="A13" s="171">
        <v>5</v>
      </c>
      <c r="B13" s="197"/>
      <c r="C13" s="162"/>
      <c r="D13" s="163"/>
      <c r="E13" s="163"/>
      <c r="F13" s="164"/>
      <c r="G13" s="162"/>
      <c r="H13" s="163"/>
      <c r="I13" s="163"/>
      <c r="J13" s="164"/>
      <c r="K13" s="162"/>
      <c r="L13" s="163"/>
      <c r="M13" s="163"/>
      <c r="N13" s="164"/>
      <c r="O13" s="162"/>
      <c r="P13" s="163"/>
      <c r="Q13" s="163"/>
      <c r="R13" s="164"/>
      <c r="S13" s="162"/>
      <c r="T13" s="163"/>
      <c r="U13" s="163"/>
      <c r="V13" s="164"/>
      <c r="W13" s="165" t="str">
        <f t="shared" si="0"/>
        <v/>
      </c>
      <c r="X13" s="165" t="str">
        <f t="shared" si="1"/>
        <v/>
      </c>
    </row>
    <row r="14" spans="1:24" x14ac:dyDescent="0.2">
      <c r="A14" s="171">
        <v>6</v>
      </c>
      <c r="B14" s="200"/>
      <c r="C14" s="162"/>
      <c r="D14" s="163"/>
      <c r="E14" s="163"/>
      <c r="F14" s="164"/>
      <c r="G14" s="162"/>
      <c r="H14" s="163"/>
      <c r="I14" s="163"/>
      <c r="J14" s="164"/>
      <c r="K14" s="162"/>
      <c r="L14" s="163"/>
      <c r="M14" s="163"/>
      <c r="N14" s="164"/>
      <c r="O14" s="162"/>
      <c r="P14" s="163"/>
      <c r="Q14" s="163"/>
      <c r="R14" s="164"/>
      <c r="S14" s="162"/>
      <c r="T14" s="163"/>
      <c r="U14" s="163"/>
      <c r="V14" s="164"/>
      <c r="W14" s="165" t="str">
        <f t="shared" si="0"/>
        <v/>
      </c>
      <c r="X14" s="165" t="str">
        <f t="shared" si="1"/>
        <v/>
      </c>
    </row>
    <row r="15" spans="1:24" x14ac:dyDescent="0.2">
      <c r="A15" s="169">
        <v>7</v>
      </c>
      <c r="B15" s="199"/>
      <c r="C15" s="166"/>
      <c r="D15" s="167"/>
      <c r="E15" s="167"/>
      <c r="F15" s="168"/>
      <c r="G15" s="166"/>
      <c r="H15" s="167"/>
      <c r="I15" s="167"/>
      <c r="J15" s="168"/>
      <c r="K15" s="166"/>
      <c r="L15" s="167"/>
      <c r="M15" s="167"/>
      <c r="N15" s="168"/>
      <c r="O15" s="166"/>
      <c r="P15" s="167"/>
      <c r="Q15" s="167"/>
      <c r="R15" s="168"/>
      <c r="S15" s="166"/>
      <c r="T15" s="167"/>
      <c r="U15" s="167"/>
      <c r="V15" s="168"/>
      <c r="W15" s="150" t="str">
        <f t="shared" si="0"/>
        <v/>
      </c>
      <c r="X15" s="150" t="str">
        <f t="shared" si="1"/>
        <v/>
      </c>
    </row>
    <row r="16" spans="1:24" x14ac:dyDescent="0.2">
      <c r="A16" s="169"/>
      <c r="B16" s="174" t="s">
        <v>220</v>
      </c>
      <c r="C16" s="144"/>
      <c r="D16" s="145"/>
      <c r="E16" s="145"/>
      <c r="F16" s="146"/>
      <c r="G16" s="144"/>
      <c r="H16" s="145"/>
      <c r="I16" s="145"/>
      <c r="J16" s="146"/>
      <c r="K16" s="144"/>
      <c r="L16" s="145"/>
      <c r="M16" s="145"/>
      <c r="N16" s="146"/>
      <c r="O16" s="144"/>
      <c r="P16" s="145"/>
      <c r="Q16" s="145"/>
      <c r="R16" s="146"/>
      <c r="S16" s="144"/>
      <c r="T16" s="145"/>
      <c r="U16" s="145"/>
      <c r="V16" s="146"/>
      <c r="W16" s="169"/>
      <c r="X16" s="147"/>
    </row>
    <row r="17" spans="1:24" x14ac:dyDescent="0.2">
      <c r="A17" s="171">
        <v>1</v>
      </c>
      <c r="B17" s="200"/>
      <c r="C17" s="162"/>
      <c r="D17" s="163"/>
      <c r="E17" s="163"/>
      <c r="F17" s="164"/>
      <c r="G17" s="162"/>
      <c r="H17" s="163"/>
      <c r="I17" s="163"/>
      <c r="J17" s="164"/>
      <c r="K17" s="162"/>
      <c r="L17" s="163"/>
      <c r="M17" s="163"/>
      <c r="N17" s="164"/>
      <c r="O17" s="162"/>
      <c r="P17" s="163"/>
      <c r="Q17" s="163"/>
      <c r="R17" s="164"/>
      <c r="S17" s="162"/>
      <c r="T17" s="163"/>
      <c r="U17" s="163"/>
      <c r="V17" s="164"/>
      <c r="W17" s="165" t="str">
        <f>IF(COUNTA(C17:V17)=0,"",SUM(C17:V17)+COUNTIF(C17:V17,5)/100+COUNTIF(C17:V17,3)/10000)</f>
        <v/>
      </c>
      <c r="X17" s="165" t="str">
        <f>IF(COUNTA(C17:V17)=0,"",IF(RANK(W17,$W$17:$W$20)&lt;3,"edasi "&amp;RANK(W17,$W$17:$W$20),RANK(W17,$W$17:$W$20)+2))</f>
        <v/>
      </c>
    </row>
    <row r="18" spans="1:24" x14ac:dyDescent="0.2">
      <c r="A18" s="171">
        <v>2</v>
      </c>
      <c r="B18" s="197"/>
      <c r="C18" s="162"/>
      <c r="D18" s="163"/>
      <c r="E18" s="163"/>
      <c r="F18" s="164"/>
      <c r="G18" s="162"/>
      <c r="H18" s="163"/>
      <c r="I18" s="163"/>
      <c r="J18" s="164"/>
      <c r="K18" s="162"/>
      <c r="L18" s="163"/>
      <c r="M18" s="163"/>
      <c r="N18" s="164"/>
      <c r="O18" s="162"/>
      <c r="P18" s="163"/>
      <c r="Q18" s="163"/>
      <c r="R18" s="164"/>
      <c r="S18" s="162"/>
      <c r="T18" s="163"/>
      <c r="U18" s="163"/>
      <c r="V18" s="164"/>
      <c r="W18" s="165" t="str">
        <f>IF(COUNTA(C18:V18)=0,"",SUM(C18:V18)+COUNTIF(C18:V18,5)/100+COUNTIF(C18:V18,3)/10000)</f>
        <v/>
      </c>
      <c r="X18" s="165" t="str">
        <f>IF(COUNTA(C18:V18)=0,"",IF(RANK(W18,$W$17:$W$20)&lt;3,"edasi "&amp;RANK(W18,$W$17:$W$20),RANK(W18,$W$17:$W$20)+2))</f>
        <v/>
      </c>
    </row>
    <row r="19" spans="1:24" x14ac:dyDescent="0.2">
      <c r="A19" s="169">
        <v>3</v>
      </c>
      <c r="B19" s="195"/>
      <c r="C19" s="166"/>
      <c r="D19" s="167"/>
      <c r="E19" s="167"/>
      <c r="F19" s="168"/>
      <c r="G19" s="166"/>
      <c r="H19" s="167"/>
      <c r="I19" s="167"/>
      <c r="J19" s="168"/>
      <c r="K19" s="166"/>
      <c r="L19" s="167"/>
      <c r="M19" s="167"/>
      <c r="N19" s="168"/>
      <c r="O19" s="166"/>
      <c r="P19" s="167"/>
      <c r="Q19" s="167"/>
      <c r="R19" s="168"/>
      <c r="S19" s="166"/>
      <c r="T19" s="167"/>
      <c r="U19" s="167"/>
      <c r="V19" s="168"/>
      <c r="W19" s="150" t="str">
        <f>IF(COUNTA(C19:V19)=0,"",SUM(C19:V19)+COUNTIF(C19:V19,5)/100+COUNTIF(C19:V19,3)/10000)</f>
        <v/>
      </c>
      <c r="X19" s="150" t="str">
        <f>IF(COUNTA(C19:V19)=0,"",IF(RANK(W19,$W$17:$W$20)&lt;3,"edasi "&amp;RANK(W19,$W$17:$W$20),RANK(W19,$W$17:$W$20)+2))</f>
        <v/>
      </c>
    </row>
    <row r="20" spans="1:24" x14ac:dyDescent="0.2">
      <c r="A20" s="169">
        <v>4</v>
      </c>
      <c r="B20" s="201"/>
      <c r="C20" s="166"/>
      <c r="D20" s="167"/>
      <c r="E20" s="167"/>
      <c r="F20" s="168"/>
      <c r="G20" s="166"/>
      <c r="H20" s="167"/>
      <c r="I20" s="167"/>
      <c r="J20" s="168"/>
      <c r="K20" s="166"/>
      <c r="L20" s="167"/>
      <c r="M20" s="167"/>
      <c r="N20" s="168"/>
      <c r="O20" s="166"/>
      <c r="P20" s="167"/>
      <c r="Q20" s="167"/>
      <c r="R20" s="168"/>
      <c r="S20" s="166"/>
      <c r="T20" s="167"/>
      <c r="U20" s="167"/>
      <c r="V20" s="168"/>
      <c r="W20" s="150" t="str">
        <f>IF(COUNTA(C20:V20)=0,"",SUM(C20:V20)+COUNTIF(C20:V20,5)/100+COUNTIF(C20:V20,3)/10000)</f>
        <v/>
      </c>
      <c r="X20" s="150" t="str">
        <f>IF(COUNTA(C20:V20)=0,"",IF(RANK(W20,$W$17:$W$20)&lt;3,"edasi "&amp;RANK(W20,$W$17:$W$20),RANK(W20,$W$17:$W$20)+2))</f>
        <v/>
      </c>
    </row>
    <row r="21" spans="1:24" x14ac:dyDescent="0.2">
      <c r="A21" s="173"/>
      <c r="B21" s="174" t="s">
        <v>217</v>
      </c>
      <c r="C21" s="144"/>
      <c r="D21" s="145"/>
      <c r="E21" s="145"/>
      <c r="F21" s="146"/>
      <c r="G21" s="144"/>
      <c r="H21" s="145"/>
      <c r="I21" s="145"/>
      <c r="J21" s="146"/>
      <c r="K21" s="144"/>
      <c r="L21" s="145"/>
      <c r="M21" s="145"/>
      <c r="N21" s="146"/>
      <c r="O21" s="144"/>
      <c r="P21" s="145"/>
      <c r="Q21" s="145"/>
      <c r="R21" s="146"/>
      <c r="S21" s="144"/>
      <c r="T21" s="145"/>
      <c r="U21" s="145"/>
      <c r="V21" s="146"/>
      <c r="W21" s="147"/>
      <c r="X21" s="147"/>
    </row>
    <row r="22" spans="1:24" x14ac:dyDescent="0.2">
      <c r="A22" s="251">
        <v>1</v>
      </c>
      <c r="B22" s="257"/>
      <c r="C22" s="253"/>
      <c r="D22" s="254"/>
      <c r="E22" s="254"/>
      <c r="F22" s="255"/>
      <c r="G22" s="253"/>
      <c r="H22" s="254"/>
      <c r="I22" s="254"/>
      <c r="J22" s="255"/>
      <c r="K22" s="253"/>
      <c r="L22" s="254"/>
      <c r="M22" s="254"/>
      <c r="N22" s="255"/>
      <c r="O22" s="253"/>
      <c r="P22" s="254"/>
      <c r="Q22" s="254"/>
      <c r="R22" s="255"/>
      <c r="S22" s="253"/>
      <c r="T22" s="254"/>
      <c r="U22" s="254"/>
      <c r="V22" s="255"/>
      <c r="W22" s="165">
        <f>SUM(C22:V22)</f>
        <v>0</v>
      </c>
      <c r="X22" s="256" t="str">
        <f>IF(COUNTA(C22:V22)=0,"",IF(W22=W23,"ümbervisk",IF(W22&gt;W23,"finaali "&amp;(IF(W22&lt;MAX(W24:W25),2,IF(W22=MAX(W24:W25),"",1))),"pronksi "&amp;(IF(W22&lt;MIN(W24:W25),2,IF(W22=MIN(W24:W25),"",1))))))</f>
        <v/>
      </c>
    </row>
    <row r="23" spans="1:24" x14ac:dyDescent="0.2">
      <c r="A23" s="251">
        <v>4</v>
      </c>
      <c r="B23" s="200"/>
      <c r="C23" s="253"/>
      <c r="D23" s="254"/>
      <c r="E23" s="254"/>
      <c r="F23" s="255"/>
      <c r="G23" s="253"/>
      <c r="H23" s="254"/>
      <c r="I23" s="254"/>
      <c r="J23" s="255"/>
      <c r="K23" s="253"/>
      <c r="L23" s="254"/>
      <c r="M23" s="254"/>
      <c r="N23" s="255"/>
      <c r="O23" s="253"/>
      <c r="P23" s="254"/>
      <c r="Q23" s="254"/>
      <c r="R23" s="255"/>
      <c r="S23" s="253"/>
      <c r="T23" s="254"/>
      <c r="U23" s="254"/>
      <c r="V23" s="255"/>
      <c r="W23" s="165">
        <f>SUM(C23:V23)</f>
        <v>0</v>
      </c>
      <c r="X23" s="256" t="str">
        <f>IF(COUNTA(C23:V23)=0,"",IF(W22=W23,"ümbervisk",IF(W23&gt;W22,"finaali "&amp;(IF(W23&lt;MAX(W24:W25),2,IF(W23=MAX(W24:W25),"",1))),"pronksi "&amp;(IF(W23&lt;MIN(W24:W25),2,IF(W23=MIN(W24:W25),"",1))))))</f>
        <v/>
      </c>
    </row>
    <row r="24" spans="1:24" x14ac:dyDescent="0.2">
      <c r="A24" s="173">
        <v>2</v>
      </c>
      <c r="B24" s="193"/>
      <c r="C24" s="144"/>
      <c r="D24" s="145"/>
      <c r="E24" s="145"/>
      <c r="F24" s="146"/>
      <c r="G24" s="144"/>
      <c r="H24" s="145"/>
      <c r="I24" s="145"/>
      <c r="J24" s="146"/>
      <c r="K24" s="144"/>
      <c r="L24" s="145"/>
      <c r="M24" s="145"/>
      <c r="N24" s="146"/>
      <c r="O24" s="144"/>
      <c r="P24" s="145"/>
      <c r="Q24" s="145"/>
      <c r="R24" s="146"/>
      <c r="S24" s="144"/>
      <c r="T24" s="145"/>
      <c r="U24" s="145"/>
      <c r="V24" s="146"/>
      <c r="W24" s="150">
        <f>SUM(C24:V24)</f>
        <v>0</v>
      </c>
      <c r="X24" s="147" t="str">
        <f>IF(COUNTA(C24:V24)=0,"",IF(W24=W25,"ümbervisk",IF(W24&gt;W25,"finaali "&amp;(IF(W24&lt;MAX(W22:W23),2,IF(W24=MAX(W22:W23),"",1))),"pronksi "&amp;(IF(W24&lt;MIN(W22:W23),2,IF(W24=MIN(W22:W23),"",1))))))</f>
        <v/>
      </c>
    </row>
    <row r="25" spans="1:24" x14ac:dyDescent="0.2">
      <c r="A25" s="173">
        <v>3</v>
      </c>
      <c r="B25" s="193"/>
      <c r="C25" s="144"/>
      <c r="D25" s="145"/>
      <c r="E25" s="145"/>
      <c r="F25" s="146"/>
      <c r="G25" s="144"/>
      <c r="H25" s="145"/>
      <c r="I25" s="145"/>
      <c r="J25" s="146"/>
      <c r="K25" s="144"/>
      <c r="L25" s="145"/>
      <c r="M25" s="145"/>
      <c r="N25" s="146"/>
      <c r="O25" s="144"/>
      <c r="P25" s="145"/>
      <c r="Q25" s="145"/>
      <c r="R25" s="146"/>
      <c r="S25" s="144"/>
      <c r="T25" s="145"/>
      <c r="U25" s="145"/>
      <c r="V25" s="146"/>
      <c r="W25" s="150">
        <f>SUM(C25:V25)</f>
        <v>0</v>
      </c>
      <c r="X25" s="147" t="str">
        <f>IF(COUNTA(C25:V25)=0,"",IF(W24=W25,"ümbervisk",IF(W25&gt;W24,"finaali "&amp;(IF(W25&lt;MAX(W22:W23),2,IF(W25=MAX(W22:W23),"",1))),"pronksi "&amp;(IF(W25&lt;MIN(W22:W23),2,IF(W25=MIN(W22:W23),"",1))))))</f>
        <v/>
      </c>
    </row>
    <row r="26" spans="1:24" x14ac:dyDescent="0.2">
      <c r="A26" s="173"/>
      <c r="B26" s="175" t="s">
        <v>218</v>
      </c>
      <c r="C26" s="144"/>
      <c r="D26" s="145"/>
      <c r="E26" s="145"/>
      <c r="F26" s="146"/>
      <c r="G26" s="144"/>
      <c r="H26" s="145"/>
      <c r="I26" s="145"/>
      <c r="J26" s="146"/>
      <c r="K26" s="144"/>
      <c r="L26" s="145"/>
      <c r="M26" s="145"/>
      <c r="N26" s="146"/>
      <c r="O26" s="144"/>
      <c r="P26" s="145"/>
      <c r="Q26" s="145"/>
      <c r="R26" s="146"/>
      <c r="S26" s="144"/>
      <c r="T26" s="145"/>
      <c r="U26" s="145"/>
      <c r="V26" s="146"/>
      <c r="W26" s="150"/>
      <c r="X26" s="147"/>
    </row>
    <row r="27" spans="1:24" x14ac:dyDescent="0.2">
      <c r="A27" s="173"/>
      <c r="B27" s="195"/>
      <c r="C27" s="144"/>
      <c r="D27" s="145"/>
      <c r="E27" s="145"/>
      <c r="F27" s="146"/>
      <c r="G27" s="144"/>
      <c r="H27" s="145"/>
      <c r="I27" s="145"/>
      <c r="J27" s="146"/>
      <c r="K27" s="144"/>
      <c r="L27" s="145"/>
      <c r="M27" s="145"/>
      <c r="N27" s="146"/>
      <c r="O27" s="144"/>
      <c r="P27" s="145"/>
      <c r="Q27" s="145"/>
      <c r="R27" s="146"/>
      <c r="S27" s="144"/>
      <c r="T27" s="145"/>
      <c r="U27" s="145"/>
      <c r="V27" s="146"/>
      <c r="W27" s="150">
        <f>SUM(C27:V27)</f>
        <v>0</v>
      </c>
      <c r="X27" s="155">
        <f ca="1">IF( INDIRECT("RC[-1]",0)=MAX(( INDIRECT("R[-1]C[-1]",0)):( INDIRECT("R[1]C[-1]",0))),3,4)</f>
        <v>3</v>
      </c>
    </row>
    <row r="28" spans="1:24" x14ac:dyDescent="0.2">
      <c r="A28" s="173"/>
      <c r="B28" s="193"/>
      <c r="C28" s="144"/>
      <c r="D28" s="145"/>
      <c r="E28" s="145"/>
      <c r="F28" s="146"/>
      <c r="G28" s="144"/>
      <c r="H28" s="145"/>
      <c r="I28" s="145"/>
      <c r="J28" s="176"/>
      <c r="K28" s="144"/>
      <c r="L28" s="145"/>
      <c r="M28" s="145"/>
      <c r="N28" s="146"/>
      <c r="O28" s="144"/>
      <c r="P28" s="145"/>
      <c r="Q28" s="145"/>
      <c r="R28" s="146"/>
      <c r="S28" s="144"/>
      <c r="T28" s="145"/>
      <c r="U28" s="145"/>
      <c r="V28" s="146"/>
      <c r="W28" s="150">
        <f>SUM(C28:V28)</f>
        <v>0</v>
      </c>
      <c r="X28" s="155">
        <f ca="1">IF( INDIRECT("RC[-1]",0)=MAX(( INDIRECT("R[-1]C[-1]",0)):( INDIRECT("R[1]C[-1]",0))),3,4)</f>
        <v>3</v>
      </c>
    </row>
    <row r="29" spans="1:24" x14ac:dyDescent="0.2">
      <c r="A29" s="173"/>
      <c r="B29" s="175" t="s">
        <v>219</v>
      </c>
      <c r="C29" s="144"/>
      <c r="D29" s="145"/>
      <c r="E29" s="145"/>
      <c r="F29" s="146"/>
      <c r="G29" s="144"/>
      <c r="H29" s="145"/>
      <c r="I29" s="145"/>
      <c r="J29" s="146"/>
      <c r="K29" s="144"/>
      <c r="L29" s="145"/>
      <c r="M29" s="145"/>
      <c r="N29" s="146"/>
      <c r="O29" s="144"/>
      <c r="P29" s="145"/>
      <c r="Q29" s="145"/>
      <c r="R29" s="146"/>
      <c r="S29" s="144"/>
      <c r="T29" s="145"/>
      <c r="U29" s="145"/>
      <c r="V29" s="146"/>
      <c r="W29" s="150"/>
      <c r="X29" s="147"/>
    </row>
    <row r="30" spans="1:24" x14ac:dyDescent="0.2">
      <c r="A30" s="173"/>
      <c r="B30" s="193"/>
      <c r="C30" s="144"/>
      <c r="D30" s="145"/>
      <c r="E30" s="145"/>
      <c r="F30" s="146"/>
      <c r="G30" s="144"/>
      <c r="H30" s="145"/>
      <c r="I30" s="145"/>
      <c r="J30" s="146"/>
      <c r="K30" s="144"/>
      <c r="L30" s="145"/>
      <c r="M30" s="145"/>
      <c r="N30" s="146"/>
      <c r="O30" s="144"/>
      <c r="P30" s="145"/>
      <c r="Q30" s="145"/>
      <c r="R30" s="146"/>
      <c r="S30" s="144"/>
      <c r="T30" s="145"/>
      <c r="U30" s="145"/>
      <c r="V30" s="146"/>
      <c r="W30" s="150">
        <f>SUM(C30:V30)</f>
        <v>0</v>
      </c>
      <c r="X30" s="155">
        <f ca="1">IF( INDIRECT("RC[-1]",0)=MAX(( INDIRECT("R[-1]C[-1]",0)):( INDIRECT("R[1]C[-1]",0))),1,2)</f>
        <v>1</v>
      </c>
    </row>
    <row r="31" spans="1:24" ht="13.5" thickBot="1" x14ac:dyDescent="0.25">
      <c r="A31" s="177"/>
      <c r="B31" s="194"/>
      <c r="C31" s="156"/>
      <c r="D31" s="157"/>
      <c r="E31" s="157"/>
      <c r="F31" s="158"/>
      <c r="G31" s="156"/>
      <c r="H31" s="157"/>
      <c r="I31" s="157"/>
      <c r="J31" s="158"/>
      <c r="K31" s="156"/>
      <c r="L31" s="157"/>
      <c r="M31" s="157"/>
      <c r="N31" s="158"/>
      <c r="O31" s="156"/>
      <c r="P31" s="157"/>
      <c r="Q31" s="157"/>
      <c r="R31" s="158"/>
      <c r="S31" s="156"/>
      <c r="T31" s="157"/>
      <c r="U31" s="157"/>
      <c r="V31" s="158"/>
      <c r="W31" s="159">
        <f>SUM(C31:V31)</f>
        <v>0</v>
      </c>
      <c r="X31" s="160">
        <f ca="1">IF( INDIRECT("RC[-1]",0)=MAX(( INDIRECT("R[-1]C[-1]",0)):( INDIRECT("R[1]C[-1]",0))),1,2)</f>
        <v>1</v>
      </c>
    </row>
    <row r="32" spans="1:24" x14ac:dyDescent="0.2">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row>
    <row r="33" spans="1:24" x14ac:dyDescent="0.2">
      <c r="A33" s="178">
        <v>1</v>
      </c>
      <c r="B33" s="203"/>
      <c r="C33" s="172"/>
      <c r="D33" s="172"/>
      <c r="E33" s="172"/>
      <c r="F33" s="172"/>
      <c r="G33" s="172"/>
      <c r="H33" s="172"/>
      <c r="I33" s="172"/>
      <c r="J33" s="172"/>
      <c r="K33" s="172"/>
      <c r="L33" s="172"/>
      <c r="M33" s="172"/>
      <c r="N33" s="172"/>
      <c r="O33" s="172"/>
      <c r="P33" s="172"/>
      <c r="Q33" s="172"/>
      <c r="R33" s="172"/>
      <c r="S33" s="172"/>
      <c r="T33" s="172"/>
      <c r="U33" s="172"/>
      <c r="V33" s="172"/>
      <c r="W33" s="172"/>
      <c r="X33" s="172"/>
    </row>
    <row r="34" spans="1:24" x14ac:dyDescent="0.2">
      <c r="A34" s="178">
        <v>2</v>
      </c>
      <c r="B34" s="179"/>
      <c r="C34" s="172"/>
      <c r="D34" s="172"/>
      <c r="E34" s="172"/>
      <c r="F34" s="172"/>
      <c r="G34" s="172"/>
      <c r="H34" s="172"/>
      <c r="I34" s="172"/>
      <c r="J34" s="172"/>
      <c r="K34" s="172"/>
      <c r="L34" s="172"/>
      <c r="M34" s="172"/>
      <c r="N34" s="172"/>
      <c r="O34" s="172"/>
      <c r="P34" s="172"/>
      <c r="Q34" s="172"/>
      <c r="R34" s="172"/>
      <c r="S34" s="172"/>
      <c r="T34" s="172"/>
      <c r="U34" s="172"/>
      <c r="V34" s="172"/>
      <c r="W34" s="172"/>
      <c r="X34" s="172"/>
    </row>
    <row r="35" spans="1:24" x14ac:dyDescent="0.2">
      <c r="A35" s="178">
        <v>3</v>
      </c>
      <c r="B35" s="180"/>
      <c r="C35" s="172"/>
      <c r="D35" s="172"/>
      <c r="E35" s="172"/>
      <c r="F35" s="172"/>
      <c r="G35" s="172"/>
      <c r="H35" s="172"/>
      <c r="I35" s="172"/>
      <c r="J35" s="172"/>
      <c r="K35" s="172"/>
      <c r="L35" s="172"/>
      <c r="M35" s="172"/>
      <c r="N35" s="172"/>
      <c r="O35" s="172"/>
      <c r="P35" s="172"/>
      <c r="Q35" s="172"/>
      <c r="R35" s="172"/>
      <c r="S35" s="172"/>
      <c r="T35" s="172"/>
      <c r="U35" s="172"/>
      <c r="V35" s="172"/>
      <c r="W35" s="172"/>
      <c r="X35" s="172"/>
    </row>
    <row r="36" spans="1:24" x14ac:dyDescent="0.2">
      <c r="A36" s="178">
        <v>4</v>
      </c>
      <c r="B36" s="181"/>
      <c r="C36" s="172"/>
      <c r="D36" s="172"/>
      <c r="E36" s="172"/>
      <c r="F36" s="172"/>
      <c r="G36" s="172"/>
      <c r="H36" s="172"/>
      <c r="I36" s="172"/>
      <c r="J36" s="172"/>
      <c r="K36" s="172"/>
      <c r="L36" s="172"/>
      <c r="M36" s="172"/>
      <c r="N36" s="172"/>
      <c r="O36" s="172"/>
      <c r="P36" s="172"/>
      <c r="Q36" s="172"/>
      <c r="R36" s="172"/>
      <c r="S36" s="172"/>
      <c r="T36" s="172"/>
      <c r="U36" s="172"/>
      <c r="V36" s="172"/>
      <c r="W36" s="172"/>
      <c r="X36" s="172"/>
    </row>
    <row r="37" spans="1:24" x14ac:dyDescent="0.2">
      <c r="A37" s="178">
        <v>5</v>
      </c>
      <c r="B37" s="182"/>
      <c r="C37" s="172"/>
      <c r="D37" s="172"/>
      <c r="E37" s="172"/>
      <c r="F37" s="172"/>
      <c r="G37" s="172"/>
      <c r="H37" s="172"/>
      <c r="I37" s="172"/>
      <c r="J37" s="172"/>
      <c r="K37" s="172"/>
      <c r="L37" s="172"/>
      <c r="M37" s="172"/>
      <c r="N37" s="172"/>
      <c r="O37" s="172"/>
      <c r="P37" s="172"/>
      <c r="Q37" s="172"/>
      <c r="R37" s="172"/>
      <c r="S37" s="172"/>
      <c r="T37" s="172"/>
      <c r="U37" s="172"/>
      <c r="V37" s="172"/>
      <c r="W37" s="172"/>
      <c r="X37" s="172"/>
    </row>
    <row r="38" spans="1:24" x14ac:dyDescent="0.2">
      <c r="A38" s="178">
        <v>6</v>
      </c>
      <c r="B38" s="161"/>
      <c r="C38" s="172"/>
      <c r="D38" s="172"/>
      <c r="E38" s="172"/>
      <c r="F38" s="172"/>
      <c r="G38" s="172"/>
      <c r="H38" s="172"/>
      <c r="I38" s="172"/>
      <c r="J38" s="172"/>
      <c r="K38" s="172"/>
      <c r="L38" s="172"/>
      <c r="M38" s="172"/>
      <c r="N38" s="172"/>
      <c r="O38" s="172"/>
      <c r="P38" s="172"/>
      <c r="Q38" s="172"/>
      <c r="R38" s="172"/>
      <c r="S38" s="172"/>
      <c r="T38" s="172"/>
      <c r="U38" s="172"/>
      <c r="V38" s="172"/>
      <c r="W38" s="172"/>
      <c r="X38" s="172"/>
    </row>
    <row r="39" spans="1:24" x14ac:dyDescent="0.2">
      <c r="A39" s="178">
        <v>7</v>
      </c>
      <c r="B39" s="181"/>
      <c r="C39" s="172"/>
      <c r="D39" s="172"/>
      <c r="E39" s="172"/>
      <c r="F39" s="172"/>
      <c r="G39" s="172"/>
      <c r="H39" s="172"/>
      <c r="I39" s="172"/>
      <c r="J39" s="172"/>
      <c r="K39" s="172"/>
      <c r="L39" s="172"/>
      <c r="M39" s="172"/>
      <c r="N39" s="172"/>
      <c r="O39" s="172"/>
      <c r="P39" s="172"/>
      <c r="Q39" s="172"/>
      <c r="R39" s="172"/>
      <c r="S39" s="172"/>
      <c r="T39" s="172"/>
      <c r="U39" s="172"/>
      <c r="V39" s="172"/>
      <c r="W39" s="172"/>
      <c r="X39" s="172"/>
    </row>
  </sheetData>
  <conditionalFormatting sqref="W30:W31">
    <cfRule type="top10" dxfId="226" priority="7" rank="1"/>
  </conditionalFormatting>
  <conditionalFormatting sqref="W22:W23">
    <cfRule type="top10" dxfId="225" priority="10" rank="1"/>
  </conditionalFormatting>
  <conditionalFormatting sqref="W24:W25">
    <cfRule type="top10" dxfId="224" priority="9" rank="1"/>
  </conditionalFormatting>
  <conditionalFormatting sqref="W27:W28">
    <cfRule type="top10" dxfId="223" priority="8" rank="1"/>
  </conditionalFormatting>
  <conditionalFormatting sqref="X24:X25">
    <cfRule type="duplicateValues" dxfId="222" priority="5"/>
  </conditionalFormatting>
  <conditionalFormatting sqref="X22:X23">
    <cfRule type="duplicateValues" dxfId="221" priority="6"/>
  </conditionalFormatting>
  <conditionalFormatting sqref="X9:X15">
    <cfRule type="duplicateValues" dxfId="220" priority="4"/>
  </conditionalFormatting>
  <conditionalFormatting sqref="X17:X20">
    <cfRule type="duplicateValues" dxfId="219" priority="3"/>
  </conditionalFormatting>
  <conditionalFormatting sqref="B9:B15">
    <cfRule type="duplicateValues" dxfId="218" priority="2" stopIfTrue="1"/>
  </conditionalFormatting>
  <conditionalFormatting sqref="B33:B39">
    <cfRule type="duplicateValues" dxfId="217" priority="1" stopIfTrue="1"/>
  </conditionalFormatting>
  <conditionalFormatting sqref="B20">
    <cfRule type="duplicateValues" dxfId="216" priority="11" stopIfTrue="1"/>
  </conditionalFormatting>
  <conditionalFormatting sqref="X17:X20">
    <cfRule type="top10" dxfId="215" priority="12" stopIfTrue="1" rank="100"/>
  </conditionalFormatting>
  <conditionalFormatting sqref="X9:X15">
    <cfRule type="top10" dxfId="214" priority="13" stopIfTrue="1" rank="100"/>
  </conditionalFormatting>
  <conditionalFormatting sqref="W9:W31">
    <cfRule type="top10" dxfId="213" priority="14" stopIfTrue="1" rank="1"/>
  </conditionalFormatting>
  <pageMargins left="0.78740157480314965" right="0.39370078740157483" top="0.59055118110236227" bottom="0.39370078740157483" header="0.39370078740157483" footer="0"/>
  <pageSetup paperSize="9" fitToHeight="0" orientation="portrait" r:id="rId1"/>
  <headerFooter alignWithMargins="0">
    <oddHeader>&amp;R&amp;"Arial,Regular"&amp;9Page &amp;P of &amp;N</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pageSetUpPr fitToPage="1"/>
  </sheetPr>
  <dimension ref="A1:AC150"/>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142" customWidth="1"/>
    <col min="2" max="2" width="18.85546875" style="142" customWidth="1"/>
    <col min="3" max="22" width="2.7109375" style="142" customWidth="1"/>
    <col min="23" max="23" width="3" style="142" bestFit="1" customWidth="1"/>
    <col min="24" max="24" width="11.5703125" style="142" bestFit="1" customWidth="1"/>
    <col min="25" max="25" width="3" style="142" customWidth="1"/>
    <col min="26" max="27" width="4" style="142" hidden="1" customWidth="1"/>
    <col min="28" max="28" width="4.5703125" style="142" hidden="1" customWidth="1"/>
    <col min="29" max="29" width="9.140625" style="142"/>
    <col min="30" max="36" width="2.7109375" style="142" customWidth="1"/>
    <col min="37" max="226" width="9.140625" style="142"/>
    <col min="227" max="227" width="3" style="142" customWidth="1"/>
    <col min="228" max="228" width="18.7109375" style="142" customWidth="1"/>
    <col min="229" max="248" width="2.85546875" style="142" customWidth="1"/>
    <col min="249" max="249" width="3" style="142" bestFit="1" customWidth="1"/>
    <col min="250" max="250" width="10.5703125" style="142" customWidth="1"/>
    <col min="251" max="253" width="0" style="142" hidden="1" customWidth="1"/>
    <col min="254" max="482" width="9.140625" style="142"/>
    <col min="483" max="483" width="3" style="142" customWidth="1"/>
    <col min="484" max="484" width="18.7109375" style="142" customWidth="1"/>
    <col min="485" max="504" width="2.85546875" style="142" customWidth="1"/>
    <col min="505" max="505" width="3" style="142" bestFit="1" customWidth="1"/>
    <col min="506" max="506" width="10.5703125" style="142" customWidth="1"/>
    <col min="507" max="509" width="0" style="142" hidden="1" customWidth="1"/>
    <col min="510" max="738" width="9.140625" style="142"/>
    <col min="739" max="739" width="3" style="142" customWidth="1"/>
    <col min="740" max="740" width="18.7109375" style="142" customWidth="1"/>
    <col min="741" max="760" width="2.85546875" style="142" customWidth="1"/>
    <col min="761" max="761" width="3" style="142" bestFit="1" customWidth="1"/>
    <col min="762" max="762" width="10.5703125" style="142" customWidth="1"/>
    <col min="763" max="765" width="0" style="142" hidden="1" customWidth="1"/>
    <col min="766" max="994" width="9.140625" style="142"/>
    <col min="995" max="995" width="3" style="142" customWidth="1"/>
    <col min="996" max="996" width="18.7109375" style="142" customWidth="1"/>
    <col min="997" max="1016" width="2.85546875" style="142" customWidth="1"/>
    <col min="1017" max="1017" width="3" style="142" bestFit="1" customWidth="1"/>
    <col min="1018" max="1018" width="10.5703125" style="142" customWidth="1"/>
    <col min="1019" max="1021" width="0" style="142" hidden="1" customWidth="1"/>
    <col min="1022" max="1250" width="9.140625" style="142"/>
    <col min="1251" max="1251" width="3" style="142" customWidth="1"/>
    <col min="1252" max="1252" width="18.7109375" style="142" customWidth="1"/>
    <col min="1253" max="1272" width="2.85546875" style="142" customWidth="1"/>
    <col min="1273" max="1273" width="3" style="142" bestFit="1" customWidth="1"/>
    <col min="1274" max="1274" width="10.5703125" style="142" customWidth="1"/>
    <col min="1275" max="1277" width="0" style="142" hidden="1" customWidth="1"/>
    <col min="1278" max="1506" width="9.140625" style="142"/>
    <col min="1507" max="1507" width="3" style="142" customWidth="1"/>
    <col min="1508" max="1508" width="18.7109375" style="142" customWidth="1"/>
    <col min="1509" max="1528" width="2.85546875" style="142" customWidth="1"/>
    <col min="1529" max="1529" width="3" style="142" bestFit="1" customWidth="1"/>
    <col min="1530" max="1530" width="10.5703125" style="142" customWidth="1"/>
    <col min="1531" max="1533" width="0" style="142" hidden="1" customWidth="1"/>
    <col min="1534" max="1762" width="9.140625" style="142"/>
    <col min="1763" max="1763" width="3" style="142" customWidth="1"/>
    <col min="1764" max="1764" width="18.7109375" style="142" customWidth="1"/>
    <col min="1765" max="1784" width="2.85546875" style="142" customWidth="1"/>
    <col min="1785" max="1785" width="3" style="142" bestFit="1" customWidth="1"/>
    <col min="1786" max="1786" width="10.5703125" style="142" customWidth="1"/>
    <col min="1787" max="1789" width="0" style="142" hidden="1" customWidth="1"/>
    <col min="1790" max="2018" width="9.140625" style="142"/>
    <col min="2019" max="2019" width="3" style="142" customWidth="1"/>
    <col min="2020" max="2020" width="18.7109375" style="142" customWidth="1"/>
    <col min="2021" max="2040" width="2.85546875" style="142" customWidth="1"/>
    <col min="2041" max="2041" width="3" style="142" bestFit="1" customWidth="1"/>
    <col min="2042" max="2042" width="10.5703125" style="142" customWidth="1"/>
    <col min="2043" max="2045" width="0" style="142" hidden="1" customWidth="1"/>
    <col min="2046" max="2274" width="9.140625" style="142"/>
    <col min="2275" max="2275" width="3" style="142" customWidth="1"/>
    <col min="2276" max="2276" width="18.7109375" style="142" customWidth="1"/>
    <col min="2277" max="2296" width="2.85546875" style="142" customWidth="1"/>
    <col min="2297" max="2297" width="3" style="142" bestFit="1" customWidth="1"/>
    <col min="2298" max="2298" width="10.5703125" style="142" customWidth="1"/>
    <col min="2299" max="2301" width="0" style="142" hidden="1" customWidth="1"/>
    <col min="2302" max="2530" width="9.140625" style="142"/>
    <col min="2531" max="2531" width="3" style="142" customWidth="1"/>
    <col min="2532" max="2532" width="18.7109375" style="142" customWidth="1"/>
    <col min="2533" max="2552" width="2.85546875" style="142" customWidth="1"/>
    <col min="2553" max="2553" width="3" style="142" bestFit="1" customWidth="1"/>
    <col min="2554" max="2554" width="10.5703125" style="142" customWidth="1"/>
    <col min="2555" max="2557" width="0" style="142" hidden="1" customWidth="1"/>
    <col min="2558" max="2786" width="9.140625" style="142"/>
    <col min="2787" max="2787" width="3" style="142" customWidth="1"/>
    <col min="2788" max="2788" width="18.7109375" style="142" customWidth="1"/>
    <col min="2789" max="2808" width="2.85546875" style="142" customWidth="1"/>
    <col min="2809" max="2809" width="3" style="142" bestFit="1" customWidth="1"/>
    <col min="2810" max="2810" width="10.5703125" style="142" customWidth="1"/>
    <col min="2811" max="2813" width="0" style="142" hidden="1" customWidth="1"/>
    <col min="2814" max="3042" width="9.140625" style="142"/>
    <col min="3043" max="3043" width="3" style="142" customWidth="1"/>
    <col min="3044" max="3044" width="18.7109375" style="142" customWidth="1"/>
    <col min="3045" max="3064" width="2.85546875" style="142" customWidth="1"/>
    <col min="3065" max="3065" width="3" style="142" bestFit="1" customWidth="1"/>
    <col min="3066" max="3066" width="10.5703125" style="142" customWidth="1"/>
    <col min="3067" max="3069" width="0" style="142" hidden="1" customWidth="1"/>
    <col min="3070" max="3298" width="9.140625" style="142"/>
    <col min="3299" max="3299" width="3" style="142" customWidth="1"/>
    <col min="3300" max="3300" width="18.7109375" style="142" customWidth="1"/>
    <col min="3301" max="3320" width="2.85546875" style="142" customWidth="1"/>
    <col min="3321" max="3321" width="3" style="142" bestFit="1" customWidth="1"/>
    <col min="3322" max="3322" width="10.5703125" style="142" customWidth="1"/>
    <col min="3323" max="3325" width="0" style="142" hidden="1" customWidth="1"/>
    <col min="3326" max="3554" width="9.140625" style="142"/>
    <col min="3555" max="3555" width="3" style="142" customWidth="1"/>
    <col min="3556" max="3556" width="18.7109375" style="142" customWidth="1"/>
    <col min="3557" max="3576" width="2.85546875" style="142" customWidth="1"/>
    <col min="3577" max="3577" width="3" style="142" bestFit="1" customWidth="1"/>
    <col min="3578" max="3578" width="10.5703125" style="142" customWidth="1"/>
    <col min="3579" max="3581" width="0" style="142" hidden="1" customWidth="1"/>
    <col min="3582" max="3810" width="9.140625" style="142"/>
    <col min="3811" max="3811" width="3" style="142" customWidth="1"/>
    <col min="3812" max="3812" width="18.7109375" style="142" customWidth="1"/>
    <col min="3813" max="3832" width="2.85546875" style="142" customWidth="1"/>
    <col min="3833" max="3833" width="3" style="142" bestFit="1" customWidth="1"/>
    <col min="3834" max="3834" width="10.5703125" style="142" customWidth="1"/>
    <col min="3835" max="3837" width="0" style="142" hidden="1" customWidth="1"/>
    <col min="3838" max="4066" width="9.140625" style="142"/>
    <col min="4067" max="4067" width="3" style="142" customWidth="1"/>
    <col min="4068" max="4068" width="18.7109375" style="142" customWidth="1"/>
    <col min="4069" max="4088" width="2.85546875" style="142" customWidth="1"/>
    <col min="4089" max="4089" width="3" style="142" bestFit="1" customWidth="1"/>
    <col min="4090" max="4090" width="10.5703125" style="142" customWidth="1"/>
    <col min="4091" max="4093" width="0" style="142" hidden="1" customWidth="1"/>
    <col min="4094" max="4322" width="9.140625" style="142"/>
    <col min="4323" max="4323" width="3" style="142" customWidth="1"/>
    <col min="4324" max="4324" width="18.7109375" style="142" customWidth="1"/>
    <col min="4325" max="4344" width="2.85546875" style="142" customWidth="1"/>
    <col min="4345" max="4345" width="3" style="142" bestFit="1" customWidth="1"/>
    <col min="4346" max="4346" width="10.5703125" style="142" customWidth="1"/>
    <col min="4347" max="4349" width="0" style="142" hidden="1" customWidth="1"/>
    <col min="4350" max="4578" width="9.140625" style="142"/>
    <col min="4579" max="4579" width="3" style="142" customWidth="1"/>
    <col min="4580" max="4580" width="18.7109375" style="142" customWidth="1"/>
    <col min="4581" max="4600" width="2.85546875" style="142" customWidth="1"/>
    <col min="4601" max="4601" width="3" style="142" bestFit="1" customWidth="1"/>
    <col min="4602" max="4602" width="10.5703125" style="142" customWidth="1"/>
    <col min="4603" max="4605" width="0" style="142" hidden="1" customWidth="1"/>
    <col min="4606" max="4834" width="9.140625" style="142"/>
    <col min="4835" max="4835" width="3" style="142" customWidth="1"/>
    <col min="4836" max="4836" width="18.7109375" style="142" customWidth="1"/>
    <col min="4837" max="4856" width="2.85546875" style="142" customWidth="1"/>
    <col min="4857" max="4857" width="3" style="142" bestFit="1" customWidth="1"/>
    <col min="4858" max="4858" width="10.5703125" style="142" customWidth="1"/>
    <col min="4859" max="4861" width="0" style="142" hidden="1" customWidth="1"/>
    <col min="4862" max="5090" width="9.140625" style="142"/>
    <col min="5091" max="5091" width="3" style="142" customWidth="1"/>
    <col min="5092" max="5092" width="18.7109375" style="142" customWidth="1"/>
    <col min="5093" max="5112" width="2.85546875" style="142" customWidth="1"/>
    <col min="5113" max="5113" width="3" style="142" bestFit="1" customWidth="1"/>
    <col min="5114" max="5114" width="10.5703125" style="142" customWidth="1"/>
    <col min="5115" max="5117" width="0" style="142" hidden="1" customWidth="1"/>
    <col min="5118" max="5346" width="9.140625" style="142"/>
    <col min="5347" max="5347" width="3" style="142" customWidth="1"/>
    <col min="5348" max="5348" width="18.7109375" style="142" customWidth="1"/>
    <col min="5349" max="5368" width="2.85546875" style="142" customWidth="1"/>
    <col min="5369" max="5369" width="3" style="142" bestFit="1" customWidth="1"/>
    <col min="5370" max="5370" width="10.5703125" style="142" customWidth="1"/>
    <col min="5371" max="5373" width="0" style="142" hidden="1" customWidth="1"/>
    <col min="5374" max="5602" width="9.140625" style="142"/>
    <col min="5603" max="5603" width="3" style="142" customWidth="1"/>
    <col min="5604" max="5604" width="18.7109375" style="142" customWidth="1"/>
    <col min="5605" max="5624" width="2.85546875" style="142" customWidth="1"/>
    <col min="5625" max="5625" width="3" style="142" bestFit="1" customWidth="1"/>
    <col min="5626" max="5626" width="10.5703125" style="142" customWidth="1"/>
    <col min="5627" max="5629" width="0" style="142" hidden="1" customWidth="1"/>
    <col min="5630" max="5858" width="9.140625" style="142"/>
    <col min="5859" max="5859" width="3" style="142" customWidth="1"/>
    <col min="5860" max="5860" width="18.7109375" style="142" customWidth="1"/>
    <col min="5861" max="5880" width="2.85546875" style="142" customWidth="1"/>
    <col min="5881" max="5881" width="3" style="142" bestFit="1" customWidth="1"/>
    <col min="5882" max="5882" width="10.5703125" style="142" customWidth="1"/>
    <col min="5883" max="5885" width="0" style="142" hidden="1" customWidth="1"/>
    <col min="5886" max="6114" width="9.140625" style="142"/>
    <col min="6115" max="6115" width="3" style="142" customWidth="1"/>
    <col min="6116" max="6116" width="18.7109375" style="142" customWidth="1"/>
    <col min="6117" max="6136" width="2.85546875" style="142" customWidth="1"/>
    <col min="6137" max="6137" width="3" style="142" bestFit="1" customWidth="1"/>
    <col min="6138" max="6138" width="10.5703125" style="142" customWidth="1"/>
    <col min="6139" max="6141" width="0" style="142" hidden="1" customWidth="1"/>
    <col min="6142" max="6370" width="9.140625" style="142"/>
    <col min="6371" max="6371" width="3" style="142" customWidth="1"/>
    <col min="6372" max="6372" width="18.7109375" style="142" customWidth="1"/>
    <col min="6373" max="6392" width="2.85546875" style="142" customWidth="1"/>
    <col min="6393" max="6393" width="3" style="142" bestFit="1" customWidth="1"/>
    <col min="6394" max="6394" width="10.5703125" style="142" customWidth="1"/>
    <col min="6395" max="6397" width="0" style="142" hidden="1" customWidth="1"/>
    <col min="6398" max="6626" width="9.140625" style="142"/>
    <col min="6627" max="6627" width="3" style="142" customWidth="1"/>
    <col min="6628" max="6628" width="18.7109375" style="142" customWidth="1"/>
    <col min="6629" max="6648" width="2.85546875" style="142" customWidth="1"/>
    <col min="6649" max="6649" width="3" style="142" bestFit="1" customWidth="1"/>
    <col min="6650" max="6650" width="10.5703125" style="142" customWidth="1"/>
    <col min="6651" max="6653" width="0" style="142" hidden="1" customWidth="1"/>
    <col min="6654" max="6882" width="9.140625" style="142"/>
    <col min="6883" max="6883" width="3" style="142" customWidth="1"/>
    <col min="6884" max="6884" width="18.7109375" style="142" customWidth="1"/>
    <col min="6885" max="6904" width="2.85546875" style="142" customWidth="1"/>
    <col min="6905" max="6905" width="3" style="142" bestFit="1" customWidth="1"/>
    <col min="6906" max="6906" width="10.5703125" style="142" customWidth="1"/>
    <col min="6907" max="6909" width="0" style="142" hidden="1" customWidth="1"/>
    <col min="6910" max="7138" width="9.140625" style="142"/>
    <col min="7139" max="7139" width="3" style="142" customWidth="1"/>
    <col min="7140" max="7140" width="18.7109375" style="142" customWidth="1"/>
    <col min="7141" max="7160" width="2.85546875" style="142" customWidth="1"/>
    <col min="7161" max="7161" width="3" style="142" bestFit="1" customWidth="1"/>
    <col min="7162" max="7162" width="10.5703125" style="142" customWidth="1"/>
    <col min="7163" max="7165" width="0" style="142" hidden="1" customWidth="1"/>
    <col min="7166" max="7394" width="9.140625" style="142"/>
    <col min="7395" max="7395" width="3" style="142" customWidth="1"/>
    <col min="7396" max="7396" width="18.7109375" style="142" customWidth="1"/>
    <col min="7397" max="7416" width="2.85546875" style="142" customWidth="1"/>
    <col min="7417" max="7417" width="3" style="142" bestFit="1" customWidth="1"/>
    <col min="7418" max="7418" width="10.5703125" style="142" customWidth="1"/>
    <col min="7419" max="7421" width="0" style="142" hidden="1" customWidth="1"/>
    <col min="7422" max="7650" width="9.140625" style="142"/>
    <col min="7651" max="7651" width="3" style="142" customWidth="1"/>
    <col min="7652" max="7652" width="18.7109375" style="142" customWidth="1"/>
    <col min="7653" max="7672" width="2.85546875" style="142" customWidth="1"/>
    <col min="7673" max="7673" width="3" style="142" bestFit="1" customWidth="1"/>
    <col min="7674" max="7674" width="10.5703125" style="142" customWidth="1"/>
    <col min="7675" max="7677" width="0" style="142" hidden="1" customWidth="1"/>
    <col min="7678" max="7906" width="9.140625" style="142"/>
    <col min="7907" max="7907" width="3" style="142" customWidth="1"/>
    <col min="7908" max="7908" width="18.7109375" style="142" customWidth="1"/>
    <col min="7909" max="7928" width="2.85546875" style="142" customWidth="1"/>
    <col min="7929" max="7929" width="3" style="142" bestFit="1" customWidth="1"/>
    <col min="7930" max="7930" width="10.5703125" style="142" customWidth="1"/>
    <col min="7931" max="7933" width="0" style="142" hidden="1" customWidth="1"/>
    <col min="7934" max="8162" width="9.140625" style="142"/>
    <col min="8163" max="8163" width="3" style="142" customWidth="1"/>
    <col min="8164" max="8164" width="18.7109375" style="142" customWidth="1"/>
    <col min="8165" max="8184" width="2.85546875" style="142" customWidth="1"/>
    <col min="8185" max="8185" width="3" style="142" bestFit="1" customWidth="1"/>
    <col min="8186" max="8186" width="10.5703125" style="142" customWidth="1"/>
    <col min="8187" max="8189" width="0" style="142" hidden="1" customWidth="1"/>
    <col min="8190" max="8418" width="9.140625" style="142"/>
    <col min="8419" max="8419" width="3" style="142" customWidth="1"/>
    <col min="8420" max="8420" width="18.7109375" style="142" customWidth="1"/>
    <col min="8421" max="8440" width="2.85546875" style="142" customWidth="1"/>
    <col min="8441" max="8441" width="3" style="142" bestFit="1" customWidth="1"/>
    <col min="8442" max="8442" width="10.5703125" style="142" customWidth="1"/>
    <col min="8443" max="8445" width="0" style="142" hidden="1" customWidth="1"/>
    <col min="8446" max="8674" width="9.140625" style="142"/>
    <col min="8675" max="8675" width="3" style="142" customWidth="1"/>
    <col min="8676" max="8676" width="18.7109375" style="142" customWidth="1"/>
    <col min="8677" max="8696" width="2.85546875" style="142" customWidth="1"/>
    <col min="8697" max="8697" width="3" style="142" bestFit="1" customWidth="1"/>
    <col min="8698" max="8698" width="10.5703125" style="142" customWidth="1"/>
    <col min="8699" max="8701" width="0" style="142" hidden="1" customWidth="1"/>
    <col min="8702" max="8930" width="9.140625" style="142"/>
    <col min="8931" max="8931" width="3" style="142" customWidth="1"/>
    <col min="8932" max="8932" width="18.7109375" style="142" customWidth="1"/>
    <col min="8933" max="8952" width="2.85546875" style="142" customWidth="1"/>
    <col min="8953" max="8953" width="3" style="142" bestFit="1" customWidth="1"/>
    <col min="8954" max="8954" width="10.5703125" style="142" customWidth="1"/>
    <col min="8955" max="8957" width="0" style="142" hidden="1" customWidth="1"/>
    <col min="8958" max="9186" width="9.140625" style="142"/>
    <col min="9187" max="9187" width="3" style="142" customWidth="1"/>
    <col min="9188" max="9188" width="18.7109375" style="142" customWidth="1"/>
    <col min="9189" max="9208" width="2.85546875" style="142" customWidth="1"/>
    <col min="9209" max="9209" width="3" style="142" bestFit="1" customWidth="1"/>
    <col min="9210" max="9210" width="10.5703125" style="142" customWidth="1"/>
    <col min="9211" max="9213" width="0" style="142" hidden="1" customWidth="1"/>
    <col min="9214" max="9442" width="9.140625" style="142"/>
    <col min="9443" max="9443" width="3" style="142" customWidth="1"/>
    <col min="9444" max="9444" width="18.7109375" style="142" customWidth="1"/>
    <col min="9445" max="9464" width="2.85546875" style="142" customWidth="1"/>
    <col min="9465" max="9465" width="3" style="142" bestFit="1" customWidth="1"/>
    <col min="9466" max="9466" width="10.5703125" style="142" customWidth="1"/>
    <col min="9467" max="9469" width="0" style="142" hidden="1" customWidth="1"/>
    <col min="9470" max="9698" width="9.140625" style="142"/>
    <col min="9699" max="9699" width="3" style="142" customWidth="1"/>
    <col min="9700" max="9700" width="18.7109375" style="142" customWidth="1"/>
    <col min="9701" max="9720" width="2.85546875" style="142" customWidth="1"/>
    <col min="9721" max="9721" width="3" style="142" bestFit="1" customWidth="1"/>
    <col min="9722" max="9722" width="10.5703125" style="142" customWidth="1"/>
    <col min="9723" max="9725" width="0" style="142" hidden="1" customWidth="1"/>
    <col min="9726" max="9954" width="9.140625" style="142"/>
    <col min="9955" max="9955" width="3" style="142" customWidth="1"/>
    <col min="9956" max="9956" width="18.7109375" style="142" customWidth="1"/>
    <col min="9957" max="9976" width="2.85546875" style="142" customWidth="1"/>
    <col min="9977" max="9977" width="3" style="142" bestFit="1" customWidth="1"/>
    <col min="9978" max="9978" width="10.5703125" style="142" customWidth="1"/>
    <col min="9979" max="9981" width="0" style="142" hidden="1" customWidth="1"/>
    <col min="9982" max="10210" width="9.140625" style="142"/>
    <col min="10211" max="10211" width="3" style="142" customWidth="1"/>
    <col min="10212" max="10212" width="18.7109375" style="142" customWidth="1"/>
    <col min="10213" max="10232" width="2.85546875" style="142" customWidth="1"/>
    <col min="10233" max="10233" width="3" style="142" bestFit="1" customWidth="1"/>
    <col min="10234" max="10234" width="10.5703125" style="142" customWidth="1"/>
    <col min="10235" max="10237" width="0" style="142" hidden="1" customWidth="1"/>
    <col min="10238" max="10466" width="9.140625" style="142"/>
    <col min="10467" max="10467" width="3" style="142" customWidth="1"/>
    <col min="10468" max="10468" width="18.7109375" style="142" customWidth="1"/>
    <col min="10469" max="10488" width="2.85546875" style="142" customWidth="1"/>
    <col min="10489" max="10489" width="3" style="142" bestFit="1" customWidth="1"/>
    <col min="10490" max="10490" width="10.5703125" style="142" customWidth="1"/>
    <col min="10491" max="10493" width="0" style="142" hidden="1" customWidth="1"/>
    <col min="10494" max="10722" width="9.140625" style="142"/>
    <col min="10723" max="10723" width="3" style="142" customWidth="1"/>
    <col min="10724" max="10724" width="18.7109375" style="142" customWidth="1"/>
    <col min="10725" max="10744" width="2.85546875" style="142" customWidth="1"/>
    <col min="10745" max="10745" width="3" style="142" bestFit="1" customWidth="1"/>
    <col min="10746" max="10746" width="10.5703125" style="142" customWidth="1"/>
    <col min="10747" max="10749" width="0" style="142" hidden="1" customWidth="1"/>
    <col min="10750" max="10978" width="9.140625" style="142"/>
    <col min="10979" max="10979" width="3" style="142" customWidth="1"/>
    <col min="10980" max="10980" width="18.7109375" style="142" customWidth="1"/>
    <col min="10981" max="11000" width="2.85546875" style="142" customWidth="1"/>
    <col min="11001" max="11001" width="3" style="142" bestFit="1" customWidth="1"/>
    <col min="11002" max="11002" width="10.5703125" style="142" customWidth="1"/>
    <col min="11003" max="11005" width="0" style="142" hidden="1" customWidth="1"/>
    <col min="11006" max="11234" width="9.140625" style="142"/>
    <col min="11235" max="11235" width="3" style="142" customWidth="1"/>
    <col min="11236" max="11236" width="18.7109375" style="142" customWidth="1"/>
    <col min="11237" max="11256" width="2.85546875" style="142" customWidth="1"/>
    <col min="11257" max="11257" width="3" style="142" bestFit="1" customWidth="1"/>
    <col min="11258" max="11258" width="10.5703125" style="142" customWidth="1"/>
    <col min="11259" max="11261" width="0" style="142" hidden="1" customWidth="1"/>
    <col min="11262" max="11490" width="9.140625" style="142"/>
    <col min="11491" max="11491" width="3" style="142" customWidth="1"/>
    <col min="11492" max="11492" width="18.7109375" style="142" customWidth="1"/>
    <col min="11493" max="11512" width="2.85546875" style="142" customWidth="1"/>
    <col min="11513" max="11513" width="3" style="142" bestFit="1" customWidth="1"/>
    <col min="11514" max="11514" width="10.5703125" style="142" customWidth="1"/>
    <col min="11515" max="11517" width="0" style="142" hidden="1" customWidth="1"/>
    <col min="11518" max="11746" width="9.140625" style="142"/>
    <col min="11747" max="11747" width="3" style="142" customWidth="1"/>
    <col min="11748" max="11748" width="18.7109375" style="142" customWidth="1"/>
    <col min="11749" max="11768" width="2.85546875" style="142" customWidth="1"/>
    <col min="11769" max="11769" width="3" style="142" bestFit="1" customWidth="1"/>
    <col min="11770" max="11770" width="10.5703125" style="142" customWidth="1"/>
    <col min="11771" max="11773" width="0" style="142" hidden="1" customWidth="1"/>
    <col min="11774" max="12002" width="9.140625" style="142"/>
    <col min="12003" max="12003" width="3" style="142" customWidth="1"/>
    <col min="12004" max="12004" width="18.7109375" style="142" customWidth="1"/>
    <col min="12005" max="12024" width="2.85546875" style="142" customWidth="1"/>
    <col min="12025" max="12025" width="3" style="142" bestFit="1" customWidth="1"/>
    <col min="12026" max="12026" width="10.5703125" style="142" customWidth="1"/>
    <col min="12027" max="12029" width="0" style="142" hidden="1" customWidth="1"/>
    <col min="12030" max="12258" width="9.140625" style="142"/>
    <col min="12259" max="12259" width="3" style="142" customWidth="1"/>
    <col min="12260" max="12260" width="18.7109375" style="142" customWidth="1"/>
    <col min="12261" max="12280" width="2.85546875" style="142" customWidth="1"/>
    <col min="12281" max="12281" width="3" style="142" bestFit="1" customWidth="1"/>
    <col min="12282" max="12282" width="10.5703125" style="142" customWidth="1"/>
    <col min="12283" max="12285" width="0" style="142" hidden="1" customWidth="1"/>
    <col min="12286" max="12514" width="9.140625" style="142"/>
    <col min="12515" max="12515" width="3" style="142" customWidth="1"/>
    <col min="12516" max="12516" width="18.7109375" style="142" customWidth="1"/>
    <col min="12517" max="12536" width="2.85546875" style="142" customWidth="1"/>
    <col min="12537" max="12537" width="3" style="142" bestFit="1" customWidth="1"/>
    <col min="12538" max="12538" width="10.5703125" style="142" customWidth="1"/>
    <col min="12539" max="12541" width="0" style="142" hidden="1" customWidth="1"/>
    <col min="12542" max="12770" width="9.140625" style="142"/>
    <col min="12771" max="12771" width="3" style="142" customWidth="1"/>
    <col min="12772" max="12772" width="18.7109375" style="142" customWidth="1"/>
    <col min="12773" max="12792" width="2.85546875" style="142" customWidth="1"/>
    <col min="12793" max="12793" width="3" style="142" bestFit="1" customWidth="1"/>
    <col min="12794" max="12794" width="10.5703125" style="142" customWidth="1"/>
    <col min="12795" max="12797" width="0" style="142" hidden="1" customWidth="1"/>
    <col min="12798" max="13026" width="9.140625" style="142"/>
    <col min="13027" max="13027" width="3" style="142" customWidth="1"/>
    <col min="13028" max="13028" width="18.7109375" style="142" customWidth="1"/>
    <col min="13029" max="13048" width="2.85546875" style="142" customWidth="1"/>
    <col min="13049" max="13049" width="3" style="142" bestFit="1" customWidth="1"/>
    <col min="13050" max="13050" width="10.5703125" style="142" customWidth="1"/>
    <col min="13051" max="13053" width="0" style="142" hidden="1" customWidth="1"/>
    <col min="13054" max="13282" width="9.140625" style="142"/>
    <col min="13283" max="13283" width="3" style="142" customWidth="1"/>
    <col min="13284" max="13284" width="18.7109375" style="142" customWidth="1"/>
    <col min="13285" max="13304" width="2.85546875" style="142" customWidth="1"/>
    <col min="13305" max="13305" width="3" style="142" bestFit="1" customWidth="1"/>
    <col min="13306" max="13306" width="10.5703125" style="142" customWidth="1"/>
    <col min="13307" max="13309" width="0" style="142" hidden="1" customWidth="1"/>
    <col min="13310" max="13538" width="9.140625" style="142"/>
    <col min="13539" max="13539" width="3" style="142" customWidth="1"/>
    <col min="13540" max="13540" width="18.7109375" style="142" customWidth="1"/>
    <col min="13541" max="13560" width="2.85546875" style="142" customWidth="1"/>
    <col min="13561" max="13561" width="3" style="142" bestFit="1" customWidth="1"/>
    <col min="13562" max="13562" width="10.5703125" style="142" customWidth="1"/>
    <col min="13563" max="13565" width="0" style="142" hidden="1" customWidth="1"/>
    <col min="13566" max="13794" width="9.140625" style="142"/>
    <col min="13795" max="13795" width="3" style="142" customWidth="1"/>
    <col min="13796" max="13796" width="18.7109375" style="142" customWidth="1"/>
    <col min="13797" max="13816" width="2.85546875" style="142" customWidth="1"/>
    <col min="13817" max="13817" width="3" style="142" bestFit="1" customWidth="1"/>
    <col min="13818" max="13818" width="10.5703125" style="142" customWidth="1"/>
    <col min="13819" max="13821" width="0" style="142" hidden="1" customWidth="1"/>
    <col min="13822" max="14050" width="9.140625" style="142"/>
    <col min="14051" max="14051" width="3" style="142" customWidth="1"/>
    <col min="14052" max="14052" width="18.7109375" style="142" customWidth="1"/>
    <col min="14053" max="14072" width="2.85546875" style="142" customWidth="1"/>
    <col min="14073" max="14073" width="3" style="142" bestFit="1" customWidth="1"/>
    <col min="14074" max="14074" width="10.5703125" style="142" customWidth="1"/>
    <col min="14075" max="14077" width="0" style="142" hidden="1" customWidth="1"/>
    <col min="14078" max="14306" width="9.140625" style="142"/>
    <col min="14307" max="14307" width="3" style="142" customWidth="1"/>
    <col min="14308" max="14308" width="18.7109375" style="142" customWidth="1"/>
    <col min="14309" max="14328" width="2.85546875" style="142" customWidth="1"/>
    <col min="14329" max="14329" width="3" style="142" bestFit="1" customWidth="1"/>
    <col min="14330" max="14330" width="10.5703125" style="142" customWidth="1"/>
    <col min="14331" max="14333" width="0" style="142" hidden="1" customWidth="1"/>
    <col min="14334" max="14562" width="9.140625" style="142"/>
    <col min="14563" max="14563" width="3" style="142" customWidth="1"/>
    <col min="14564" max="14564" width="18.7109375" style="142" customWidth="1"/>
    <col min="14565" max="14584" width="2.85546875" style="142" customWidth="1"/>
    <col min="14585" max="14585" width="3" style="142" bestFit="1" customWidth="1"/>
    <col min="14586" max="14586" width="10.5703125" style="142" customWidth="1"/>
    <col min="14587" max="14589" width="0" style="142" hidden="1" customWidth="1"/>
    <col min="14590" max="14818" width="9.140625" style="142"/>
    <col min="14819" max="14819" width="3" style="142" customWidth="1"/>
    <col min="14820" max="14820" width="18.7109375" style="142" customWidth="1"/>
    <col min="14821" max="14840" width="2.85546875" style="142" customWidth="1"/>
    <col min="14841" max="14841" width="3" style="142" bestFit="1" customWidth="1"/>
    <col min="14842" max="14842" width="10.5703125" style="142" customWidth="1"/>
    <col min="14843" max="14845" width="0" style="142" hidden="1" customWidth="1"/>
    <col min="14846" max="15074" width="9.140625" style="142"/>
    <col min="15075" max="15075" width="3" style="142" customWidth="1"/>
    <col min="15076" max="15076" width="18.7109375" style="142" customWidth="1"/>
    <col min="15077" max="15096" width="2.85546875" style="142" customWidth="1"/>
    <col min="15097" max="15097" width="3" style="142" bestFit="1" customWidth="1"/>
    <col min="15098" max="15098" width="10.5703125" style="142" customWidth="1"/>
    <col min="15099" max="15101" width="0" style="142" hidden="1" customWidth="1"/>
    <col min="15102" max="15330" width="9.140625" style="142"/>
    <col min="15331" max="15331" width="3" style="142" customWidth="1"/>
    <col min="15332" max="15332" width="18.7109375" style="142" customWidth="1"/>
    <col min="15333" max="15352" width="2.85546875" style="142" customWidth="1"/>
    <col min="15353" max="15353" width="3" style="142" bestFit="1" customWidth="1"/>
    <col min="15354" max="15354" width="10.5703125" style="142" customWidth="1"/>
    <col min="15355" max="15357" width="0" style="142" hidden="1" customWidth="1"/>
    <col min="15358" max="15586" width="9.140625" style="142"/>
    <col min="15587" max="15587" width="3" style="142" customWidth="1"/>
    <col min="15588" max="15588" width="18.7109375" style="142" customWidth="1"/>
    <col min="15589" max="15608" width="2.85546875" style="142" customWidth="1"/>
    <col min="15609" max="15609" width="3" style="142" bestFit="1" customWidth="1"/>
    <col min="15610" max="15610" width="10.5703125" style="142" customWidth="1"/>
    <col min="15611" max="15613" width="0" style="142" hidden="1" customWidth="1"/>
    <col min="15614" max="15842" width="9.140625" style="142"/>
    <col min="15843" max="15843" width="3" style="142" customWidth="1"/>
    <col min="15844" max="15844" width="18.7109375" style="142" customWidth="1"/>
    <col min="15845" max="15864" width="2.85546875" style="142" customWidth="1"/>
    <col min="15865" max="15865" width="3" style="142" bestFit="1" customWidth="1"/>
    <col min="15866" max="15866" width="10.5703125" style="142" customWidth="1"/>
    <col min="15867" max="15869" width="0" style="142" hidden="1" customWidth="1"/>
    <col min="15870" max="16098" width="9.140625" style="142"/>
    <col min="16099" max="16099" width="3" style="142" customWidth="1"/>
    <col min="16100" max="16100" width="18.7109375" style="142" customWidth="1"/>
    <col min="16101" max="16120" width="2.85546875" style="142" customWidth="1"/>
    <col min="16121" max="16121" width="3" style="142" bestFit="1" customWidth="1"/>
    <col min="16122" max="16122" width="10.5703125" style="142" customWidth="1"/>
    <col min="16123" max="16125" width="0" style="142" hidden="1" customWidth="1"/>
    <col min="16126" max="16384" width="9.140625" style="142"/>
  </cols>
  <sheetData>
    <row r="1" spans="1:25" s="135" customFormat="1" x14ac:dyDescent="0.2">
      <c r="A1" s="117" t="str">
        <f>UPPER((Kalend!E13)&amp;" - "&amp;(Kalend!C13)&amp;" - "&amp;(Kalend!D13))</f>
        <v>5M - 17. EESTI MV - TULISTAMINE</v>
      </c>
      <c r="B1" s="206"/>
      <c r="C1" s="206"/>
      <c r="D1" s="206"/>
      <c r="E1" s="206"/>
      <c r="I1" s="299" t="s">
        <v>170</v>
      </c>
      <c r="J1" s="300"/>
      <c r="K1" s="300"/>
      <c r="L1" s="300"/>
      <c r="Q1" s="85" t="str">
        <f>HYPERLINK("#Üldreiting!I1","Reiting")</f>
        <v>Reiting</v>
      </c>
      <c r="R1" s="206"/>
      <c r="S1" s="206"/>
      <c r="T1" s="206"/>
      <c r="U1" s="206"/>
    </row>
    <row r="2" spans="1:25" s="135" customFormat="1" x14ac:dyDescent="0.2">
      <c r="A2" s="116" t="str">
        <f>"Toimumisaeg: "&amp;(Kalend!A13)&amp;" kell "&amp;(Kalend!B13)</f>
        <v>Toimumisaeg: P, 11.06.2017 kell 10:00</v>
      </c>
      <c r="B2" s="206"/>
      <c r="C2" s="206"/>
      <c r="D2" s="206"/>
      <c r="E2" s="206"/>
      <c r="O2" s="206"/>
      <c r="P2" s="206"/>
      <c r="Q2" s="206"/>
      <c r="R2" s="206"/>
      <c r="S2" s="206"/>
      <c r="T2" s="206"/>
    </row>
    <row r="3" spans="1:25" s="135" customFormat="1" x14ac:dyDescent="0.2">
      <c r="A3" s="116" t="str">
        <f>"Toimumiskoht: "&amp;(Kalend!H13)</f>
        <v>Toimumiskoht: Kohtla-Järve, Järveküla tee 44</v>
      </c>
      <c r="B3" s="206"/>
      <c r="C3" s="206"/>
      <c r="D3" s="206"/>
      <c r="E3" s="206"/>
      <c r="O3" s="206"/>
      <c r="P3" s="206"/>
      <c r="Q3" s="206"/>
      <c r="R3" s="206"/>
      <c r="S3" s="206"/>
      <c r="T3" s="206"/>
    </row>
    <row r="4" spans="1:25" s="135" customFormat="1" x14ac:dyDescent="0.2">
      <c r="A4" s="116" t="str">
        <f>"Korraldaja: "&amp;(Kalend!I13)</f>
        <v>Korraldaja: Kohtla-Järve SHK, Ivar Viljaste</v>
      </c>
      <c r="B4" s="206"/>
      <c r="C4" s="206"/>
      <c r="D4" s="206"/>
      <c r="E4" s="206"/>
      <c r="O4" s="206"/>
      <c r="P4" s="206"/>
      <c r="Q4" s="206"/>
      <c r="R4" s="206"/>
      <c r="S4" s="206"/>
      <c r="T4" s="206"/>
    </row>
    <row r="5" spans="1:25" s="135" customFormat="1" ht="13.5" thickBot="1" x14ac:dyDescent="0.25">
      <c r="A5" s="206"/>
      <c r="B5" s="206"/>
      <c r="C5" s="206"/>
      <c r="D5" s="206"/>
      <c r="E5" s="206"/>
      <c r="F5" s="206"/>
      <c r="G5" s="206"/>
      <c r="H5" s="206"/>
      <c r="I5" s="206"/>
      <c r="J5" s="206"/>
      <c r="K5" s="206"/>
    </row>
    <row r="6" spans="1:25" ht="58.5" customHeight="1" thickBot="1" x14ac:dyDescent="0.25">
      <c r="A6" s="232"/>
      <c r="B6" s="233"/>
      <c r="C6" s="234"/>
      <c r="D6" s="234"/>
      <c r="E6" s="234"/>
      <c r="F6" s="234"/>
      <c r="G6" s="235"/>
      <c r="H6" s="234"/>
      <c r="I6" s="234"/>
      <c r="J6" s="236"/>
      <c r="K6" s="234"/>
      <c r="L6" s="234"/>
      <c r="M6" s="234"/>
      <c r="N6" s="234"/>
      <c r="O6" s="235"/>
      <c r="P6" s="234"/>
      <c r="Q6" s="234"/>
      <c r="R6" s="236"/>
      <c r="S6" s="234"/>
      <c r="T6" s="234"/>
      <c r="U6" s="234"/>
      <c r="V6" s="234"/>
      <c r="W6" s="237"/>
      <c r="X6" s="237"/>
      <c r="Y6" s="508" t="s">
        <v>716</v>
      </c>
    </row>
    <row r="7" spans="1:25" s="143" customFormat="1" ht="13.5" thickBot="1" x14ac:dyDescent="0.25">
      <c r="A7" s="509"/>
      <c r="B7" s="239"/>
      <c r="C7" s="240">
        <v>6</v>
      </c>
      <c r="D7" s="241">
        <v>7</v>
      </c>
      <c r="E7" s="241">
        <v>8</v>
      </c>
      <c r="F7" s="242">
        <v>9</v>
      </c>
      <c r="G7" s="240">
        <v>6</v>
      </c>
      <c r="H7" s="241">
        <v>7</v>
      </c>
      <c r="I7" s="241">
        <v>8</v>
      </c>
      <c r="J7" s="242">
        <v>9</v>
      </c>
      <c r="K7" s="240">
        <v>6</v>
      </c>
      <c r="L7" s="241">
        <v>7</v>
      </c>
      <c r="M7" s="241">
        <v>8</v>
      </c>
      <c r="N7" s="242">
        <v>9</v>
      </c>
      <c r="O7" s="240">
        <v>6</v>
      </c>
      <c r="P7" s="241">
        <v>7</v>
      </c>
      <c r="Q7" s="241">
        <v>8</v>
      </c>
      <c r="R7" s="242">
        <v>9</v>
      </c>
      <c r="S7" s="240">
        <v>6</v>
      </c>
      <c r="T7" s="241">
        <v>7</v>
      </c>
      <c r="U7" s="241">
        <v>8</v>
      </c>
      <c r="V7" s="242">
        <v>9</v>
      </c>
      <c r="W7" s="634" t="s">
        <v>155</v>
      </c>
      <c r="X7" s="244" t="s">
        <v>222</v>
      </c>
      <c r="Y7" s="244" t="s">
        <v>709</v>
      </c>
    </row>
    <row r="8" spans="1:25" x14ac:dyDescent="0.2">
      <c r="A8" s="510" t="s">
        <v>717</v>
      </c>
      <c r="B8" s="246" t="s">
        <v>221</v>
      </c>
      <c r="C8" s="247"/>
      <c r="D8" s="248"/>
      <c r="E8" s="248"/>
      <c r="F8" s="249"/>
      <c r="G8" s="247"/>
      <c r="H8" s="248"/>
      <c r="I8" s="248"/>
      <c r="J8" s="249"/>
      <c r="K8" s="247"/>
      <c r="L8" s="248"/>
      <c r="M8" s="248"/>
      <c r="N8" s="249"/>
      <c r="O8" s="247"/>
      <c r="P8" s="248"/>
      <c r="Q8" s="248"/>
      <c r="R8" s="249"/>
      <c r="S8" s="247"/>
      <c r="T8" s="248"/>
      <c r="U8" s="248"/>
      <c r="V8" s="249"/>
      <c r="W8" s="635"/>
      <c r="X8" s="250"/>
      <c r="Y8" s="511"/>
    </row>
    <row r="9" spans="1:25" x14ac:dyDescent="0.2">
      <c r="A9" s="546">
        <v>1</v>
      </c>
      <c r="B9" s="636"/>
      <c r="C9" s="548"/>
      <c r="D9" s="550"/>
      <c r="E9" s="550"/>
      <c r="F9" s="551"/>
      <c r="G9" s="548"/>
      <c r="H9" s="550"/>
      <c r="I9" s="550"/>
      <c r="J9" s="551"/>
      <c r="K9" s="548"/>
      <c r="L9" s="550"/>
      <c r="M9" s="550"/>
      <c r="N9" s="551"/>
      <c r="O9" s="548"/>
      <c r="P9" s="550"/>
      <c r="Q9" s="550"/>
      <c r="R9" s="551"/>
      <c r="S9" s="548"/>
      <c r="T9" s="550"/>
      <c r="U9" s="550"/>
      <c r="V9" s="551"/>
      <c r="W9" s="637">
        <f>SUM(C9:V9)+COUNTIF(C9:V9,5)/100+COUNTIF(C9:V9,3)/10000</f>
        <v>0</v>
      </c>
      <c r="X9" s="552" t="str">
        <f>IF(COUNTA(C9:V9)=0,"",IF(RANK(W9,W$9:W$38)&lt;5,"edasi "&amp;RANK(W9,W$9:W$38),IF(RANK(W9,W$9:W$38)&lt;17,"vahevooru "&amp;RANK(W9,W$9:W$38)-4,RANK(W9,W$9:W$38))))</f>
        <v/>
      </c>
    </row>
    <row r="10" spans="1:25" x14ac:dyDescent="0.2">
      <c r="A10" s="546">
        <v>2</v>
      </c>
      <c r="B10" s="638"/>
      <c r="C10" s="548"/>
      <c r="D10" s="550"/>
      <c r="E10" s="550"/>
      <c r="F10" s="551"/>
      <c r="G10" s="548"/>
      <c r="H10" s="550"/>
      <c r="I10" s="550"/>
      <c r="J10" s="551"/>
      <c r="K10" s="548"/>
      <c r="L10" s="550"/>
      <c r="M10" s="550"/>
      <c r="N10" s="551"/>
      <c r="O10" s="548"/>
      <c r="P10" s="550"/>
      <c r="Q10" s="550"/>
      <c r="R10" s="551"/>
      <c r="S10" s="548"/>
      <c r="T10" s="550"/>
      <c r="U10" s="550"/>
      <c r="V10" s="551"/>
      <c r="W10" s="637">
        <f t="shared" ref="W10:W38" si="0">SUM(C10:V10)+COUNTIF(C10:V10,5)/100+COUNTIF(C10:V10,3)/10000</f>
        <v>0</v>
      </c>
      <c r="X10" s="552" t="str">
        <f t="shared" ref="X10:X38" si="1">IF(COUNTA(C10:V10)=0,"",IF(RANK(W10,W$9:W$38)&lt;5,"edasi "&amp;RANK(W10,W$9:W$38),IF(RANK(W10,W$9:W$38)&lt;17,"vahevooru "&amp;RANK(W10,W$9:W$38)-4,RANK(W10,W$9:W$38))))</f>
        <v/>
      </c>
    </row>
    <row r="11" spans="1:25" x14ac:dyDescent="0.2">
      <c r="A11" s="169">
        <v>3</v>
      </c>
      <c r="B11" s="639"/>
      <c r="C11" s="166"/>
      <c r="D11" s="167"/>
      <c r="E11" s="167"/>
      <c r="F11" s="168"/>
      <c r="G11" s="166"/>
      <c r="H11" s="167"/>
      <c r="I11" s="167"/>
      <c r="J11" s="168"/>
      <c r="K11" s="166"/>
      <c r="L11" s="167"/>
      <c r="M11" s="167"/>
      <c r="N11" s="168"/>
      <c r="O11" s="166"/>
      <c r="P11" s="167"/>
      <c r="Q11" s="167"/>
      <c r="R11" s="168"/>
      <c r="S11" s="166"/>
      <c r="T11" s="167"/>
      <c r="U11" s="167"/>
      <c r="V11" s="168"/>
      <c r="W11" s="584">
        <f t="shared" si="0"/>
        <v>0</v>
      </c>
      <c r="X11" s="640" t="str">
        <f t="shared" si="1"/>
        <v/>
      </c>
    </row>
    <row r="12" spans="1:25" x14ac:dyDescent="0.2">
      <c r="A12" s="169">
        <v>4</v>
      </c>
      <c r="B12" s="639"/>
      <c r="C12" s="166"/>
      <c r="D12" s="167"/>
      <c r="E12" s="167"/>
      <c r="F12" s="168"/>
      <c r="G12" s="166"/>
      <c r="H12" s="167"/>
      <c r="I12" s="167"/>
      <c r="J12" s="168"/>
      <c r="K12" s="166"/>
      <c r="L12" s="167"/>
      <c r="M12" s="167"/>
      <c r="N12" s="168"/>
      <c r="O12" s="166"/>
      <c r="P12" s="167"/>
      <c r="Q12" s="167"/>
      <c r="R12" s="168"/>
      <c r="S12" s="166"/>
      <c r="T12" s="167"/>
      <c r="U12" s="167"/>
      <c r="V12" s="168"/>
      <c r="W12" s="637">
        <f t="shared" si="0"/>
        <v>0</v>
      </c>
      <c r="X12" s="150" t="str">
        <f t="shared" si="1"/>
        <v/>
      </c>
    </row>
    <row r="13" spans="1:25" x14ac:dyDescent="0.2">
      <c r="A13" s="546">
        <v>5</v>
      </c>
      <c r="B13" s="636"/>
      <c r="C13" s="548"/>
      <c r="D13" s="550"/>
      <c r="E13" s="550"/>
      <c r="F13" s="551"/>
      <c r="G13" s="548"/>
      <c r="H13" s="550"/>
      <c r="I13" s="550"/>
      <c r="J13" s="551"/>
      <c r="K13" s="548"/>
      <c r="L13" s="550"/>
      <c r="M13" s="550"/>
      <c r="N13" s="551"/>
      <c r="O13" s="548"/>
      <c r="P13" s="550"/>
      <c r="Q13" s="550"/>
      <c r="R13" s="551"/>
      <c r="S13" s="548"/>
      <c r="T13" s="550"/>
      <c r="U13" s="550"/>
      <c r="V13" s="551"/>
      <c r="W13" s="637">
        <f t="shared" si="0"/>
        <v>0</v>
      </c>
      <c r="X13" s="552" t="str">
        <f t="shared" si="1"/>
        <v/>
      </c>
    </row>
    <row r="14" spans="1:25" x14ac:dyDescent="0.2">
      <c r="A14" s="546">
        <v>6</v>
      </c>
      <c r="B14" s="641"/>
      <c r="C14" s="548"/>
      <c r="D14" s="550"/>
      <c r="E14" s="550"/>
      <c r="F14" s="551"/>
      <c r="G14" s="548"/>
      <c r="H14" s="550"/>
      <c r="I14" s="550"/>
      <c r="J14" s="551"/>
      <c r="K14" s="548"/>
      <c r="L14" s="550"/>
      <c r="M14" s="550"/>
      <c r="N14" s="551"/>
      <c r="O14" s="548"/>
      <c r="P14" s="550"/>
      <c r="Q14" s="550"/>
      <c r="R14" s="551"/>
      <c r="S14" s="548"/>
      <c r="T14" s="550"/>
      <c r="U14" s="550"/>
      <c r="V14" s="551"/>
      <c r="W14" s="584">
        <f t="shared" si="0"/>
        <v>0</v>
      </c>
      <c r="X14" s="642" t="str">
        <f t="shared" si="1"/>
        <v/>
      </c>
    </row>
    <row r="15" spans="1:25" x14ac:dyDescent="0.2">
      <c r="A15" s="169">
        <v>7</v>
      </c>
      <c r="B15" s="643"/>
      <c r="C15" s="166"/>
      <c r="D15" s="167"/>
      <c r="E15" s="167"/>
      <c r="F15" s="168"/>
      <c r="G15" s="166"/>
      <c r="H15" s="167"/>
      <c r="I15" s="167"/>
      <c r="J15" s="168"/>
      <c r="K15" s="166"/>
      <c r="L15" s="167"/>
      <c r="M15" s="167"/>
      <c r="N15" s="168"/>
      <c r="O15" s="166"/>
      <c r="P15" s="167"/>
      <c r="Q15" s="167"/>
      <c r="R15" s="168"/>
      <c r="S15" s="166"/>
      <c r="T15" s="167"/>
      <c r="U15" s="167"/>
      <c r="V15" s="168"/>
      <c r="W15" s="637">
        <f t="shared" si="0"/>
        <v>0</v>
      </c>
      <c r="X15" s="150" t="str">
        <f t="shared" si="1"/>
        <v/>
      </c>
    </row>
    <row r="16" spans="1:25" x14ac:dyDescent="0.2">
      <c r="A16" s="169">
        <v>8</v>
      </c>
      <c r="B16" s="644"/>
      <c r="C16" s="166"/>
      <c r="D16" s="167"/>
      <c r="E16" s="167"/>
      <c r="F16" s="168"/>
      <c r="G16" s="166"/>
      <c r="H16" s="167"/>
      <c r="I16" s="167"/>
      <c r="J16" s="168"/>
      <c r="K16" s="166"/>
      <c r="L16" s="167"/>
      <c r="M16" s="167"/>
      <c r="N16" s="168"/>
      <c r="O16" s="166"/>
      <c r="P16" s="167"/>
      <c r="Q16" s="167"/>
      <c r="R16" s="168"/>
      <c r="S16" s="166"/>
      <c r="T16" s="167"/>
      <c r="U16" s="167"/>
      <c r="V16" s="168"/>
      <c r="W16" s="584">
        <f t="shared" si="0"/>
        <v>0</v>
      </c>
      <c r="X16" s="150" t="str">
        <f t="shared" si="1"/>
        <v/>
      </c>
    </row>
    <row r="17" spans="1:29" x14ac:dyDescent="0.2">
      <c r="A17" s="546">
        <v>9</v>
      </c>
      <c r="B17" s="645"/>
      <c r="C17" s="646"/>
      <c r="D17" s="647"/>
      <c r="E17" s="647"/>
      <c r="F17" s="648"/>
      <c r="G17" s="646"/>
      <c r="H17" s="647"/>
      <c r="I17" s="647"/>
      <c r="J17" s="648"/>
      <c r="K17" s="646"/>
      <c r="L17" s="647"/>
      <c r="M17" s="647"/>
      <c r="N17" s="648"/>
      <c r="O17" s="646"/>
      <c r="P17" s="647"/>
      <c r="Q17" s="647"/>
      <c r="R17" s="648"/>
      <c r="S17" s="646"/>
      <c r="T17" s="647"/>
      <c r="U17" s="647"/>
      <c r="V17" s="648"/>
      <c r="W17" s="584">
        <f t="shared" si="0"/>
        <v>0</v>
      </c>
      <c r="X17" s="552" t="str">
        <f t="shared" si="1"/>
        <v/>
      </c>
    </row>
    <row r="18" spans="1:29" x14ac:dyDescent="0.2">
      <c r="A18" s="546">
        <v>10</v>
      </c>
      <c r="B18" s="587"/>
      <c r="C18" s="548"/>
      <c r="D18" s="550"/>
      <c r="E18" s="550"/>
      <c r="F18" s="551"/>
      <c r="G18" s="548"/>
      <c r="H18" s="550"/>
      <c r="I18" s="550"/>
      <c r="J18" s="551"/>
      <c r="K18" s="548"/>
      <c r="L18" s="550"/>
      <c r="M18" s="550"/>
      <c r="N18" s="551"/>
      <c r="O18" s="548"/>
      <c r="P18" s="550"/>
      <c r="Q18" s="550"/>
      <c r="R18" s="551"/>
      <c r="S18" s="548"/>
      <c r="T18" s="550"/>
      <c r="U18" s="550"/>
      <c r="V18" s="551"/>
      <c r="W18" s="584">
        <f t="shared" si="0"/>
        <v>0</v>
      </c>
      <c r="X18" s="552" t="str">
        <f t="shared" si="1"/>
        <v/>
      </c>
    </row>
    <row r="19" spans="1:29" x14ac:dyDescent="0.2">
      <c r="A19" s="169">
        <v>11</v>
      </c>
      <c r="B19" s="649"/>
      <c r="C19" s="166"/>
      <c r="D19" s="167"/>
      <c r="E19" s="167"/>
      <c r="F19" s="168"/>
      <c r="G19" s="166"/>
      <c r="H19" s="167"/>
      <c r="I19" s="167"/>
      <c r="J19" s="168"/>
      <c r="K19" s="166"/>
      <c r="L19" s="167"/>
      <c r="M19" s="167"/>
      <c r="N19" s="168"/>
      <c r="O19" s="166"/>
      <c r="P19" s="167"/>
      <c r="Q19" s="167"/>
      <c r="R19" s="168"/>
      <c r="S19" s="166"/>
      <c r="T19" s="167"/>
      <c r="U19" s="167"/>
      <c r="V19" s="168"/>
      <c r="W19" s="637">
        <f t="shared" si="0"/>
        <v>0</v>
      </c>
      <c r="X19" s="150" t="str">
        <f t="shared" si="1"/>
        <v/>
      </c>
    </row>
    <row r="20" spans="1:29" x14ac:dyDescent="0.2">
      <c r="A20" s="169">
        <v>12</v>
      </c>
      <c r="B20" s="196"/>
      <c r="C20" s="166"/>
      <c r="D20" s="167"/>
      <c r="E20" s="167"/>
      <c r="F20" s="168"/>
      <c r="G20" s="166"/>
      <c r="H20" s="167"/>
      <c r="I20" s="167"/>
      <c r="J20" s="168"/>
      <c r="K20" s="166"/>
      <c r="L20" s="167"/>
      <c r="M20" s="167"/>
      <c r="N20" s="168"/>
      <c r="O20" s="166"/>
      <c r="P20" s="167"/>
      <c r="Q20" s="167"/>
      <c r="R20" s="168"/>
      <c r="S20" s="166"/>
      <c r="T20" s="167"/>
      <c r="U20" s="167"/>
      <c r="V20" s="168"/>
      <c r="W20" s="584">
        <f t="shared" si="0"/>
        <v>0</v>
      </c>
      <c r="X20" s="150" t="str">
        <f t="shared" si="1"/>
        <v/>
      </c>
      <c r="Z20" s="153"/>
      <c r="AA20" s="154"/>
      <c r="AB20" s="154"/>
      <c r="AC20" s="526"/>
    </row>
    <row r="21" spans="1:29" x14ac:dyDescent="0.2">
      <c r="A21" s="546">
        <v>13</v>
      </c>
      <c r="B21" s="650"/>
      <c r="C21" s="548"/>
      <c r="D21" s="550"/>
      <c r="E21" s="550"/>
      <c r="F21" s="551"/>
      <c r="G21" s="548"/>
      <c r="H21" s="550"/>
      <c r="I21" s="550"/>
      <c r="J21" s="551"/>
      <c r="K21" s="548"/>
      <c r="L21" s="550"/>
      <c r="M21" s="550"/>
      <c r="N21" s="551"/>
      <c r="O21" s="548"/>
      <c r="P21" s="550"/>
      <c r="Q21" s="550"/>
      <c r="R21" s="551"/>
      <c r="S21" s="548"/>
      <c r="T21" s="550"/>
      <c r="U21" s="550"/>
      <c r="V21" s="551"/>
      <c r="W21" s="584">
        <f t="shared" si="0"/>
        <v>0</v>
      </c>
      <c r="X21" s="642" t="str">
        <f t="shared" si="1"/>
        <v/>
      </c>
      <c r="AC21" s="526"/>
    </row>
    <row r="22" spans="1:29" x14ac:dyDescent="0.2">
      <c r="A22" s="546">
        <v>14</v>
      </c>
      <c r="B22" s="586"/>
      <c r="C22" s="548"/>
      <c r="D22" s="550"/>
      <c r="E22" s="550"/>
      <c r="F22" s="551"/>
      <c r="G22" s="548"/>
      <c r="H22" s="550"/>
      <c r="I22" s="550"/>
      <c r="J22" s="551"/>
      <c r="K22" s="548"/>
      <c r="L22" s="550"/>
      <c r="M22" s="550"/>
      <c r="N22" s="551"/>
      <c r="O22" s="548"/>
      <c r="P22" s="550"/>
      <c r="Q22" s="550"/>
      <c r="R22" s="551"/>
      <c r="S22" s="548"/>
      <c r="T22" s="550"/>
      <c r="U22" s="550"/>
      <c r="V22" s="551"/>
      <c r="W22" s="584">
        <f t="shared" si="0"/>
        <v>0</v>
      </c>
      <c r="X22" s="642" t="str">
        <f t="shared" si="1"/>
        <v/>
      </c>
      <c r="AC22" s="526"/>
    </row>
    <row r="23" spans="1:29" x14ac:dyDescent="0.2">
      <c r="A23" s="169">
        <v>15</v>
      </c>
      <c r="B23" s="651"/>
      <c r="C23" s="166"/>
      <c r="D23" s="167"/>
      <c r="E23" s="167"/>
      <c r="F23" s="168"/>
      <c r="G23" s="166"/>
      <c r="H23" s="167"/>
      <c r="I23" s="167"/>
      <c r="J23" s="168"/>
      <c r="K23" s="166"/>
      <c r="L23" s="167"/>
      <c r="M23" s="167"/>
      <c r="N23" s="168"/>
      <c r="O23" s="166"/>
      <c r="P23" s="167"/>
      <c r="Q23" s="167"/>
      <c r="R23" s="168"/>
      <c r="S23" s="166"/>
      <c r="T23" s="167"/>
      <c r="U23" s="167"/>
      <c r="V23" s="168"/>
      <c r="W23" s="637">
        <f t="shared" si="0"/>
        <v>0</v>
      </c>
      <c r="X23" s="150" t="str">
        <f t="shared" si="1"/>
        <v/>
      </c>
      <c r="AC23" s="526"/>
    </row>
    <row r="24" spans="1:29" x14ac:dyDescent="0.2">
      <c r="A24" s="169">
        <v>16</v>
      </c>
      <c r="B24" s="554"/>
      <c r="C24" s="166"/>
      <c r="D24" s="167"/>
      <c r="E24" s="167"/>
      <c r="F24" s="168"/>
      <c r="G24" s="166"/>
      <c r="H24" s="167"/>
      <c r="I24" s="167"/>
      <c r="J24" s="168"/>
      <c r="K24" s="166"/>
      <c r="L24" s="167"/>
      <c r="M24" s="167"/>
      <c r="N24" s="168"/>
      <c r="O24" s="166"/>
      <c r="P24" s="167"/>
      <c r="Q24" s="167"/>
      <c r="R24" s="168"/>
      <c r="S24" s="166"/>
      <c r="T24" s="167"/>
      <c r="U24" s="167"/>
      <c r="V24" s="168"/>
      <c r="W24" s="637">
        <f t="shared" si="0"/>
        <v>0</v>
      </c>
      <c r="X24" s="150" t="str">
        <f t="shared" si="1"/>
        <v/>
      </c>
      <c r="AC24" s="526"/>
    </row>
    <row r="25" spans="1:29" x14ac:dyDescent="0.2">
      <c r="A25" s="546">
        <v>17</v>
      </c>
      <c r="B25" s="553"/>
      <c r="C25" s="548"/>
      <c r="D25" s="550"/>
      <c r="E25" s="550"/>
      <c r="F25" s="551"/>
      <c r="G25" s="548"/>
      <c r="H25" s="550"/>
      <c r="I25" s="550"/>
      <c r="J25" s="551"/>
      <c r="K25" s="548"/>
      <c r="L25" s="550"/>
      <c r="M25" s="550"/>
      <c r="N25" s="551"/>
      <c r="O25" s="548"/>
      <c r="P25" s="550"/>
      <c r="Q25" s="550"/>
      <c r="R25" s="551"/>
      <c r="S25" s="548"/>
      <c r="T25" s="550"/>
      <c r="U25" s="550"/>
      <c r="V25" s="551"/>
      <c r="W25" s="637">
        <f t="shared" si="0"/>
        <v>0</v>
      </c>
      <c r="X25" s="552" t="str">
        <f t="shared" si="1"/>
        <v/>
      </c>
      <c r="AC25" s="526"/>
    </row>
    <row r="26" spans="1:29" x14ac:dyDescent="0.2">
      <c r="A26" s="546">
        <v>18</v>
      </c>
      <c r="B26" s="547"/>
      <c r="C26" s="548"/>
      <c r="D26" s="550"/>
      <c r="E26" s="550"/>
      <c r="F26" s="551"/>
      <c r="G26" s="548"/>
      <c r="H26" s="550"/>
      <c r="I26" s="550"/>
      <c r="J26" s="551"/>
      <c r="K26" s="548"/>
      <c r="L26" s="550"/>
      <c r="M26" s="550"/>
      <c r="N26" s="551"/>
      <c r="O26" s="548"/>
      <c r="P26" s="550"/>
      <c r="Q26" s="550"/>
      <c r="R26" s="551"/>
      <c r="S26" s="548"/>
      <c r="T26" s="550"/>
      <c r="U26" s="550"/>
      <c r="V26" s="551"/>
      <c r="W26" s="584">
        <f t="shared" si="0"/>
        <v>0</v>
      </c>
      <c r="X26" s="552" t="str">
        <f t="shared" si="1"/>
        <v/>
      </c>
      <c r="AC26" s="526"/>
    </row>
    <row r="27" spans="1:29" x14ac:dyDescent="0.2">
      <c r="A27" s="169">
        <v>19</v>
      </c>
      <c r="B27" s="639"/>
      <c r="C27" s="166"/>
      <c r="D27" s="167"/>
      <c r="E27" s="167"/>
      <c r="F27" s="168"/>
      <c r="G27" s="166"/>
      <c r="H27" s="167"/>
      <c r="I27" s="167"/>
      <c r="J27" s="168"/>
      <c r="K27" s="166"/>
      <c r="L27" s="167"/>
      <c r="M27" s="167"/>
      <c r="N27" s="168"/>
      <c r="O27" s="166"/>
      <c r="P27" s="167"/>
      <c r="Q27" s="167"/>
      <c r="R27" s="168"/>
      <c r="S27" s="166"/>
      <c r="T27" s="167"/>
      <c r="U27" s="167"/>
      <c r="V27" s="168"/>
      <c r="W27" s="584">
        <f t="shared" si="0"/>
        <v>0</v>
      </c>
      <c r="X27" s="640" t="str">
        <f t="shared" si="1"/>
        <v/>
      </c>
      <c r="AC27" s="526"/>
    </row>
    <row r="28" spans="1:29" x14ac:dyDescent="0.2">
      <c r="A28" s="169">
        <v>20</v>
      </c>
      <c r="B28" s="652"/>
      <c r="C28" s="166"/>
      <c r="D28" s="167"/>
      <c r="E28" s="167"/>
      <c r="F28" s="168"/>
      <c r="G28" s="166"/>
      <c r="H28" s="167"/>
      <c r="I28" s="167"/>
      <c r="J28" s="168"/>
      <c r="K28" s="166"/>
      <c r="L28" s="167"/>
      <c r="M28" s="167"/>
      <c r="N28" s="168"/>
      <c r="O28" s="166"/>
      <c r="P28" s="167"/>
      <c r="Q28" s="167"/>
      <c r="R28" s="168"/>
      <c r="S28" s="166"/>
      <c r="T28" s="167"/>
      <c r="U28" s="167"/>
      <c r="V28" s="168"/>
      <c r="W28" s="584">
        <f t="shared" si="0"/>
        <v>0</v>
      </c>
      <c r="X28" s="150" t="str">
        <f t="shared" si="1"/>
        <v/>
      </c>
      <c r="AC28" s="526"/>
    </row>
    <row r="29" spans="1:29" x14ac:dyDescent="0.2">
      <c r="A29" s="546">
        <v>21</v>
      </c>
      <c r="B29" s="596"/>
      <c r="C29" s="548"/>
      <c r="D29" s="550"/>
      <c r="E29" s="550"/>
      <c r="F29" s="551"/>
      <c r="G29" s="548"/>
      <c r="H29" s="550"/>
      <c r="I29" s="550"/>
      <c r="J29" s="551"/>
      <c r="K29" s="548"/>
      <c r="L29" s="550"/>
      <c r="M29" s="550"/>
      <c r="N29" s="551"/>
      <c r="O29" s="548"/>
      <c r="P29" s="550"/>
      <c r="Q29" s="550"/>
      <c r="R29" s="551"/>
      <c r="S29" s="548"/>
      <c r="T29" s="550"/>
      <c r="U29" s="550"/>
      <c r="V29" s="551"/>
      <c r="W29" s="637">
        <f t="shared" si="0"/>
        <v>0</v>
      </c>
      <c r="X29" s="552" t="str">
        <f t="shared" si="1"/>
        <v/>
      </c>
      <c r="AC29" s="526"/>
    </row>
    <row r="30" spans="1:29" x14ac:dyDescent="0.2">
      <c r="A30" s="546">
        <v>22</v>
      </c>
      <c r="B30" s="553"/>
      <c r="C30" s="548"/>
      <c r="D30" s="550"/>
      <c r="E30" s="550"/>
      <c r="F30" s="551"/>
      <c r="G30" s="548"/>
      <c r="H30" s="550"/>
      <c r="I30" s="550"/>
      <c r="J30" s="551"/>
      <c r="K30" s="548"/>
      <c r="L30" s="550"/>
      <c r="M30" s="550"/>
      <c r="N30" s="551"/>
      <c r="O30" s="548"/>
      <c r="P30" s="550"/>
      <c r="Q30" s="550"/>
      <c r="R30" s="551"/>
      <c r="S30" s="548"/>
      <c r="T30" s="550"/>
      <c r="U30" s="550"/>
      <c r="V30" s="551"/>
      <c r="W30" s="584">
        <f t="shared" si="0"/>
        <v>0</v>
      </c>
      <c r="X30" s="552" t="str">
        <f t="shared" si="1"/>
        <v/>
      </c>
      <c r="AC30" s="526"/>
    </row>
    <row r="31" spans="1:29" x14ac:dyDescent="0.2">
      <c r="A31" s="169">
        <v>23</v>
      </c>
      <c r="B31" s="651"/>
      <c r="C31" s="166"/>
      <c r="D31" s="167"/>
      <c r="E31" s="167"/>
      <c r="F31" s="168"/>
      <c r="G31" s="166"/>
      <c r="H31" s="167"/>
      <c r="I31" s="167"/>
      <c r="J31" s="168"/>
      <c r="K31" s="166"/>
      <c r="L31" s="167"/>
      <c r="M31" s="167"/>
      <c r="N31" s="168"/>
      <c r="O31" s="166"/>
      <c r="P31" s="167"/>
      <c r="Q31" s="167"/>
      <c r="R31" s="168"/>
      <c r="S31" s="166"/>
      <c r="T31" s="167"/>
      <c r="U31" s="167"/>
      <c r="V31" s="168"/>
      <c r="W31" s="637">
        <f t="shared" si="0"/>
        <v>0</v>
      </c>
      <c r="X31" s="150" t="str">
        <f t="shared" si="1"/>
        <v/>
      </c>
      <c r="AC31" s="526"/>
    </row>
    <row r="32" spans="1:29" x14ac:dyDescent="0.2">
      <c r="A32" s="169">
        <v>24</v>
      </c>
      <c r="B32" s="653"/>
      <c r="C32" s="166"/>
      <c r="D32" s="167"/>
      <c r="E32" s="167"/>
      <c r="F32" s="168"/>
      <c r="G32" s="166"/>
      <c r="H32" s="167"/>
      <c r="I32" s="167"/>
      <c r="J32" s="168"/>
      <c r="K32" s="166"/>
      <c r="L32" s="167"/>
      <c r="M32" s="167"/>
      <c r="N32" s="168"/>
      <c r="O32" s="166"/>
      <c r="P32" s="167"/>
      <c r="Q32" s="167"/>
      <c r="R32" s="168"/>
      <c r="S32" s="166"/>
      <c r="T32" s="167"/>
      <c r="U32" s="167"/>
      <c r="V32" s="168"/>
      <c r="W32" s="637">
        <f t="shared" si="0"/>
        <v>0</v>
      </c>
      <c r="X32" s="150" t="str">
        <f t="shared" si="1"/>
        <v/>
      </c>
      <c r="AC32" s="526"/>
    </row>
    <row r="33" spans="1:29" x14ac:dyDescent="0.2">
      <c r="A33" s="546">
        <v>25</v>
      </c>
      <c r="B33" s="596"/>
      <c r="C33" s="548"/>
      <c r="D33" s="550"/>
      <c r="E33" s="550"/>
      <c r="F33" s="551"/>
      <c r="G33" s="548"/>
      <c r="H33" s="550"/>
      <c r="I33" s="550"/>
      <c r="J33" s="551"/>
      <c r="K33" s="548"/>
      <c r="L33" s="550"/>
      <c r="M33" s="550"/>
      <c r="N33" s="551"/>
      <c r="O33" s="548"/>
      <c r="P33" s="550"/>
      <c r="Q33" s="550"/>
      <c r="R33" s="551"/>
      <c r="S33" s="548"/>
      <c r="T33" s="550"/>
      <c r="U33" s="550"/>
      <c r="V33" s="551"/>
      <c r="W33" s="584">
        <f t="shared" si="0"/>
        <v>0</v>
      </c>
      <c r="X33" s="552" t="str">
        <f t="shared" si="1"/>
        <v/>
      </c>
    </row>
    <row r="34" spans="1:29" x14ac:dyDescent="0.2">
      <c r="A34" s="546">
        <v>26</v>
      </c>
      <c r="B34" s="593"/>
      <c r="C34" s="548"/>
      <c r="D34" s="550"/>
      <c r="E34" s="550"/>
      <c r="F34" s="551"/>
      <c r="G34" s="548"/>
      <c r="H34" s="550"/>
      <c r="I34" s="550"/>
      <c r="J34" s="551"/>
      <c r="K34" s="548"/>
      <c r="L34" s="550"/>
      <c r="M34" s="550"/>
      <c r="N34" s="551"/>
      <c r="O34" s="548"/>
      <c r="P34" s="550"/>
      <c r="Q34" s="550"/>
      <c r="R34" s="551"/>
      <c r="S34" s="548"/>
      <c r="T34" s="550"/>
      <c r="U34" s="550"/>
      <c r="V34" s="551"/>
      <c r="W34" s="637">
        <f t="shared" si="0"/>
        <v>0</v>
      </c>
      <c r="X34" s="552" t="str">
        <f t="shared" si="1"/>
        <v/>
      </c>
    </row>
    <row r="35" spans="1:29" x14ac:dyDescent="0.2">
      <c r="A35" s="169">
        <v>27</v>
      </c>
      <c r="B35" s="639"/>
      <c r="C35" s="166"/>
      <c r="D35" s="167"/>
      <c r="E35" s="167"/>
      <c r="F35" s="168"/>
      <c r="G35" s="166"/>
      <c r="H35" s="167"/>
      <c r="I35" s="167"/>
      <c r="J35" s="168"/>
      <c r="K35" s="166"/>
      <c r="L35" s="167"/>
      <c r="M35" s="167"/>
      <c r="N35" s="168"/>
      <c r="O35" s="166"/>
      <c r="P35" s="167"/>
      <c r="Q35" s="167"/>
      <c r="R35" s="168"/>
      <c r="S35" s="166"/>
      <c r="T35" s="167"/>
      <c r="U35" s="167"/>
      <c r="V35" s="168"/>
      <c r="W35" s="584">
        <f t="shared" si="0"/>
        <v>0</v>
      </c>
      <c r="X35" s="640" t="str">
        <f t="shared" si="1"/>
        <v/>
      </c>
    </row>
    <row r="36" spans="1:29" x14ac:dyDescent="0.2">
      <c r="A36" s="169">
        <v>28</v>
      </c>
      <c r="B36" s="639"/>
      <c r="C36" s="166"/>
      <c r="D36" s="167"/>
      <c r="E36" s="167"/>
      <c r="F36" s="168"/>
      <c r="G36" s="166"/>
      <c r="H36" s="167"/>
      <c r="I36" s="167"/>
      <c r="J36" s="168"/>
      <c r="K36" s="166"/>
      <c r="L36" s="167"/>
      <c r="M36" s="167"/>
      <c r="N36" s="168"/>
      <c r="O36" s="166"/>
      <c r="P36" s="167"/>
      <c r="Q36" s="167"/>
      <c r="R36" s="168"/>
      <c r="S36" s="166"/>
      <c r="T36" s="167"/>
      <c r="U36" s="167"/>
      <c r="V36" s="168"/>
      <c r="W36" s="637">
        <f t="shared" si="0"/>
        <v>0</v>
      </c>
      <c r="X36" s="150" t="str">
        <f t="shared" si="1"/>
        <v/>
      </c>
    </row>
    <row r="37" spans="1:29" x14ac:dyDescent="0.2">
      <c r="A37" s="546">
        <v>29</v>
      </c>
      <c r="B37" s="596"/>
      <c r="C37" s="548"/>
      <c r="D37" s="550"/>
      <c r="E37" s="550"/>
      <c r="F37" s="551"/>
      <c r="G37" s="548"/>
      <c r="H37" s="550"/>
      <c r="I37" s="550"/>
      <c r="J37" s="551"/>
      <c r="K37" s="548"/>
      <c r="L37" s="550"/>
      <c r="M37" s="550"/>
      <c r="N37" s="551"/>
      <c r="O37" s="548"/>
      <c r="P37" s="550"/>
      <c r="Q37" s="550"/>
      <c r="R37" s="551"/>
      <c r="S37" s="548"/>
      <c r="T37" s="550"/>
      <c r="U37" s="550"/>
      <c r="V37" s="551"/>
      <c r="W37" s="584">
        <f t="shared" si="0"/>
        <v>0</v>
      </c>
      <c r="X37" s="552" t="str">
        <f t="shared" si="1"/>
        <v/>
      </c>
    </row>
    <row r="38" spans="1:29" ht="13.5" thickBot="1" x14ac:dyDescent="0.25">
      <c r="A38" s="654">
        <v>30</v>
      </c>
      <c r="B38" s="655"/>
      <c r="C38" s="656"/>
      <c r="D38" s="657"/>
      <c r="E38" s="657"/>
      <c r="F38" s="658"/>
      <c r="G38" s="656"/>
      <c r="H38" s="657"/>
      <c r="I38" s="657"/>
      <c r="J38" s="658"/>
      <c r="K38" s="656"/>
      <c r="L38" s="657"/>
      <c r="M38" s="657"/>
      <c r="N38" s="658"/>
      <c r="O38" s="656"/>
      <c r="P38" s="657"/>
      <c r="Q38" s="657"/>
      <c r="R38" s="658"/>
      <c r="S38" s="656"/>
      <c r="T38" s="657"/>
      <c r="U38" s="657"/>
      <c r="V38" s="658"/>
      <c r="W38" s="659">
        <f t="shared" si="0"/>
        <v>0</v>
      </c>
      <c r="X38" s="660" t="str">
        <f t="shared" si="1"/>
        <v/>
      </c>
    </row>
    <row r="39" spans="1:29" ht="13.5" hidden="1" thickBot="1" x14ac:dyDescent="0.25">
      <c r="A39" s="544"/>
      <c r="B39" s="545" t="s">
        <v>718</v>
      </c>
      <c r="C39" s="144"/>
      <c r="D39" s="145"/>
      <c r="E39" s="145"/>
      <c r="F39" s="146"/>
      <c r="G39" s="144"/>
      <c r="H39" s="145"/>
      <c r="I39" s="145"/>
      <c r="J39" s="146"/>
      <c r="K39" s="144"/>
      <c r="L39" s="145"/>
      <c r="M39" s="145"/>
      <c r="N39" s="146"/>
      <c r="O39" s="144"/>
      <c r="P39" s="145"/>
      <c r="Q39" s="145"/>
      <c r="R39" s="146"/>
      <c r="S39" s="144"/>
      <c r="T39" s="145"/>
      <c r="U39" s="145"/>
      <c r="V39" s="146"/>
      <c r="W39" s="661"/>
      <c r="X39" s="250"/>
      <c r="Z39" s="148"/>
      <c r="AA39" s="149" t="s">
        <v>215</v>
      </c>
      <c r="AB39" s="149" t="s">
        <v>216</v>
      </c>
    </row>
    <row r="40" spans="1:29" ht="13.5" hidden="1" thickBot="1" x14ac:dyDescent="0.25">
      <c r="A40" s="546"/>
      <c r="B40" s="547"/>
      <c r="C40" s="548"/>
      <c r="D40" s="549"/>
      <c r="E40" s="550"/>
      <c r="F40" s="551"/>
      <c r="G40" s="548"/>
      <c r="H40" s="549"/>
      <c r="I40" s="550"/>
      <c r="J40" s="551"/>
      <c r="K40" s="548"/>
      <c r="L40" s="549"/>
      <c r="M40" s="550"/>
      <c r="N40" s="551"/>
      <c r="O40" s="548"/>
      <c r="P40" s="549"/>
      <c r="Q40" s="550"/>
      <c r="R40" s="551"/>
      <c r="S40" s="548"/>
      <c r="T40" s="549"/>
      <c r="U40" s="550"/>
      <c r="V40" s="551"/>
      <c r="W40" s="584" t="str">
        <f t="shared" ref="W40:W132" si="2">IF(COUNTA(C40:V40)=0,"",SUM(C40:V40)+COUNTIF(C40:V40,5)/100+COUNTIF(C40:V40,3)/10000)</f>
        <v/>
      </c>
      <c r="X40" s="552"/>
      <c r="AC40" s="526"/>
    </row>
    <row r="41" spans="1:29" ht="13.5" hidden="1" thickBot="1" x14ac:dyDescent="0.25">
      <c r="A41" s="546"/>
      <c r="B41" s="547"/>
      <c r="C41" s="548"/>
      <c r="D41" s="549"/>
      <c r="E41" s="550"/>
      <c r="F41" s="551"/>
      <c r="G41" s="548"/>
      <c r="H41" s="549"/>
      <c r="I41" s="550"/>
      <c r="J41" s="551"/>
      <c r="K41" s="548"/>
      <c r="L41" s="549"/>
      <c r="M41" s="550"/>
      <c r="N41" s="551"/>
      <c r="O41" s="548"/>
      <c r="P41" s="549"/>
      <c r="Q41" s="550"/>
      <c r="R41" s="551"/>
      <c r="S41" s="548"/>
      <c r="T41" s="549"/>
      <c r="U41" s="550"/>
      <c r="V41" s="551"/>
      <c r="W41" s="584" t="str">
        <f t="shared" si="2"/>
        <v/>
      </c>
      <c r="X41" s="552"/>
      <c r="AC41" s="526"/>
    </row>
    <row r="42" spans="1:29" ht="13.5" hidden="1" thickBot="1" x14ac:dyDescent="0.25">
      <c r="A42" s="546"/>
      <c r="B42" s="553"/>
      <c r="C42" s="548"/>
      <c r="D42" s="549"/>
      <c r="E42" s="550"/>
      <c r="F42" s="551"/>
      <c r="G42" s="548"/>
      <c r="H42" s="549"/>
      <c r="I42" s="550"/>
      <c r="J42" s="551"/>
      <c r="K42" s="548"/>
      <c r="L42" s="549"/>
      <c r="M42" s="550"/>
      <c r="N42" s="551"/>
      <c r="O42" s="548"/>
      <c r="P42" s="549"/>
      <c r="Q42" s="550"/>
      <c r="R42" s="551"/>
      <c r="S42" s="548"/>
      <c r="T42" s="549"/>
      <c r="U42" s="550"/>
      <c r="V42" s="551"/>
      <c r="W42" s="584" t="str">
        <f t="shared" si="2"/>
        <v/>
      </c>
      <c r="X42" s="552"/>
      <c r="AC42" s="526"/>
    </row>
    <row r="43" spans="1:29" ht="13.5" hidden="1" thickBot="1" x14ac:dyDescent="0.25">
      <c r="A43" s="546"/>
      <c r="B43" s="547"/>
      <c r="C43" s="548"/>
      <c r="D43" s="549"/>
      <c r="E43" s="550"/>
      <c r="F43" s="551"/>
      <c r="G43" s="548"/>
      <c r="H43" s="549"/>
      <c r="I43" s="550"/>
      <c r="J43" s="551"/>
      <c r="K43" s="548"/>
      <c r="L43" s="549"/>
      <c r="M43" s="550"/>
      <c r="N43" s="551"/>
      <c r="O43" s="548"/>
      <c r="P43" s="549"/>
      <c r="Q43" s="550"/>
      <c r="R43" s="551"/>
      <c r="S43" s="548"/>
      <c r="T43" s="549"/>
      <c r="U43" s="550"/>
      <c r="V43" s="551"/>
      <c r="W43" s="584" t="str">
        <f t="shared" si="2"/>
        <v/>
      </c>
      <c r="X43" s="552"/>
      <c r="AC43" s="526"/>
    </row>
    <row r="44" spans="1:29" ht="13.5" hidden="1" thickBot="1" x14ac:dyDescent="0.25">
      <c r="A44" s="169"/>
      <c r="B44" s="554"/>
      <c r="C44" s="166"/>
      <c r="D44" s="163"/>
      <c r="E44" s="167"/>
      <c r="F44" s="168"/>
      <c r="G44" s="166"/>
      <c r="H44" s="163"/>
      <c r="I44" s="167"/>
      <c r="J44" s="168"/>
      <c r="K44" s="166"/>
      <c r="L44" s="163"/>
      <c r="M44" s="167"/>
      <c r="N44" s="168"/>
      <c r="O44" s="166"/>
      <c r="P44" s="163"/>
      <c r="Q44" s="167"/>
      <c r="R44" s="168"/>
      <c r="S44" s="166"/>
      <c r="T44" s="163"/>
      <c r="U44" s="167"/>
      <c r="V44" s="168"/>
      <c r="W44" s="584" t="str">
        <f t="shared" si="2"/>
        <v/>
      </c>
      <c r="X44" s="150"/>
      <c r="AC44" s="526"/>
    </row>
    <row r="45" spans="1:29" ht="13.5" hidden="1" thickBot="1" x14ac:dyDescent="0.25">
      <c r="A45" s="169"/>
      <c r="B45" s="259"/>
      <c r="C45" s="166"/>
      <c r="D45" s="163"/>
      <c r="E45" s="167"/>
      <c r="F45" s="168"/>
      <c r="G45" s="166"/>
      <c r="H45" s="163"/>
      <c r="I45" s="167"/>
      <c r="J45" s="168"/>
      <c r="K45" s="166"/>
      <c r="L45" s="163"/>
      <c r="M45" s="167"/>
      <c r="N45" s="168"/>
      <c r="O45" s="166"/>
      <c r="P45" s="163"/>
      <c r="Q45" s="167"/>
      <c r="R45" s="168"/>
      <c r="S45" s="166"/>
      <c r="T45" s="163"/>
      <c r="U45" s="167"/>
      <c r="V45" s="168"/>
      <c r="W45" s="584" t="str">
        <f t="shared" si="2"/>
        <v/>
      </c>
      <c r="X45" s="150"/>
      <c r="AC45" s="526"/>
    </row>
    <row r="46" spans="1:29" ht="13.5" hidden="1" thickBot="1" x14ac:dyDescent="0.25">
      <c r="A46" s="555"/>
      <c r="B46" s="199"/>
      <c r="C46" s="166"/>
      <c r="D46" s="163"/>
      <c r="E46" s="167"/>
      <c r="F46" s="168"/>
      <c r="G46" s="166"/>
      <c r="H46" s="163"/>
      <c r="I46" s="167"/>
      <c r="J46" s="168"/>
      <c r="K46" s="166"/>
      <c r="L46" s="163"/>
      <c r="M46" s="167"/>
      <c r="N46" s="168"/>
      <c r="O46" s="166"/>
      <c r="P46" s="163"/>
      <c r="Q46" s="167"/>
      <c r="R46" s="168"/>
      <c r="S46" s="166"/>
      <c r="T46" s="163"/>
      <c r="U46" s="167"/>
      <c r="V46" s="168"/>
      <c r="W46" s="584" t="str">
        <f t="shared" ref="W46:W71" si="3">IF(COUNTA(C46:V46)=0,"",SUM(C46:V46)+COUNTIF(C46:V46,5)/100+COUNTIF(C46:V46,3)/10000)</f>
        <v/>
      </c>
      <c r="X46" s="150"/>
    </row>
    <row r="47" spans="1:29" ht="13.5" hidden="1" thickBot="1" x14ac:dyDescent="0.25">
      <c r="A47" s="555"/>
      <c r="B47" s="199"/>
      <c r="C47" s="166"/>
      <c r="D47" s="163"/>
      <c r="E47" s="167"/>
      <c r="F47" s="168"/>
      <c r="G47" s="166"/>
      <c r="H47" s="163"/>
      <c r="I47" s="167"/>
      <c r="J47" s="168"/>
      <c r="K47" s="166"/>
      <c r="L47" s="163"/>
      <c r="M47" s="167"/>
      <c r="N47" s="168"/>
      <c r="O47" s="166"/>
      <c r="P47" s="163"/>
      <c r="Q47" s="167"/>
      <c r="R47" s="168"/>
      <c r="S47" s="166"/>
      <c r="T47" s="163"/>
      <c r="U47" s="167"/>
      <c r="V47" s="168"/>
      <c r="W47" s="584" t="str">
        <f t="shared" si="3"/>
        <v/>
      </c>
      <c r="X47" s="150"/>
    </row>
    <row r="48" spans="1:29" ht="13.5" hidden="1" thickBot="1" x14ac:dyDescent="0.25">
      <c r="A48" s="546"/>
      <c r="B48" s="547"/>
      <c r="C48" s="548"/>
      <c r="D48" s="549"/>
      <c r="E48" s="550"/>
      <c r="F48" s="551"/>
      <c r="G48" s="548"/>
      <c r="H48" s="549"/>
      <c r="I48" s="550"/>
      <c r="J48" s="551"/>
      <c r="K48" s="548"/>
      <c r="L48" s="549"/>
      <c r="M48" s="550"/>
      <c r="N48" s="551"/>
      <c r="O48" s="548"/>
      <c r="P48" s="549"/>
      <c r="Q48" s="550"/>
      <c r="R48" s="551"/>
      <c r="S48" s="548"/>
      <c r="T48" s="549"/>
      <c r="U48" s="550"/>
      <c r="V48" s="551"/>
      <c r="W48" s="584" t="str">
        <f t="shared" si="3"/>
        <v/>
      </c>
      <c r="X48" s="552"/>
      <c r="AC48" s="526"/>
    </row>
    <row r="49" spans="1:29" ht="13.5" hidden="1" thickBot="1" x14ac:dyDescent="0.25">
      <c r="A49" s="546"/>
      <c r="B49" s="547"/>
      <c r="C49" s="548"/>
      <c r="D49" s="549"/>
      <c r="E49" s="550"/>
      <c r="F49" s="551"/>
      <c r="G49" s="548"/>
      <c r="H49" s="549"/>
      <c r="I49" s="550"/>
      <c r="J49" s="551"/>
      <c r="K49" s="548"/>
      <c r="L49" s="549"/>
      <c r="M49" s="550"/>
      <c r="N49" s="551"/>
      <c r="O49" s="548"/>
      <c r="P49" s="549"/>
      <c r="Q49" s="550"/>
      <c r="R49" s="551"/>
      <c r="S49" s="548"/>
      <c r="T49" s="549"/>
      <c r="U49" s="550"/>
      <c r="V49" s="551"/>
      <c r="W49" s="584" t="str">
        <f t="shared" si="3"/>
        <v/>
      </c>
      <c r="X49" s="552"/>
      <c r="AC49" s="526"/>
    </row>
    <row r="50" spans="1:29" ht="13.5" hidden="1" thickBot="1" x14ac:dyDescent="0.25">
      <c r="A50" s="546"/>
      <c r="B50" s="553"/>
      <c r="C50" s="548"/>
      <c r="D50" s="549"/>
      <c r="E50" s="550"/>
      <c r="F50" s="551"/>
      <c r="G50" s="548"/>
      <c r="H50" s="549"/>
      <c r="I50" s="550"/>
      <c r="J50" s="551"/>
      <c r="K50" s="548"/>
      <c r="L50" s="549"/>
      <c r="M50" s="550"/>
      <c r="N50" s="551"/>
      <c r="O50" s="548"/>
      <c r="P50" s="549"/>
      <c r="Q50" s="550"/>
      <c r="R50" s="551"/>
      <c r="S50" s="548"/>
      <c r="T50" s="549"/>
      <c r="U50" s="550"/>
      <c r="V50" s="551"/>
      <c r="W50" s="584" t="str">
        <f t="shared" si="3"/>
        <v/>
      </c>
      <c r="X50" s="552"/>
      <c r="AC50" s="526"/>
    </row>
    <row r="51" spans="1:29" ht="13.5" hidden="1" thickBot="1" x14ac:dyDescent="0.25">
      <c r="A51" s="546"/>
      <c r="B51" s="547"/>
      <c r="C51" s="548"/>
      <c r="D51" s="549"/>
      <c r="E51" s="550"/>
      <c r="F51" s="551"/>
      <c r="G51" s="548"/>
      <c r="H51" s="549"/>
      <c r="I51" s="550"/>
      <c r="J51" s="551"/>
      <c r="K51" s="548"/>
      <c r="L51" s="549"/>
      <c r="M51" s="550"/>
      <c r="N51" s="551"/>
      <c r="O51" s="548"/>
      <c r="P51" s="549"/>
      <c r="Q51" s="550"/>
      <c r="R51" s="551"/>
      <c r="S51" s="548"/>
      <c r="T51" s="549"/>
      <c r="U51" s="550"/>
      <c r="V51" s="551"/>
      <c r="W51" s="584" t="str">
        <f t="shared" si="3"/>
        <v/>
      </c>
      <c r="X51" s="552"/>
      <c r="AC51" s="526"/>
    </row>
    <row r="52" spans="1:29" ht="13.5" hidden="1" thickBot="1" x14ac:dyDescent="0.25">
      <c r="A52" s="169"/>
      <c r="B52" s="554"/>
      <c r="C52" s="166"/>
      <c r="D52" s="163"/>
      <c r="E52" s="167"/>
      <c r="F52" s="168"/>
      <c r="G52" s="166"/>
      <c r="H52" s="163"/>
      <c r="I52" s="167"/>
      <c r="J52" s="168"/>
      <c r="K52" s="166"/>
      <c r="L52" s="163"/>
      <c r="M52" s="167"/>
      <c r="N52" s="168"/>
      <c r="O52" s="166"/>
      <c r="P52" s="163"/>
      <c r="Q52" s="167"/>
      <c r="R52" s="168"/>
      <c r="S52" s="166"/>
      <c r="T52" s="163"/>
      <c r="U52" s="167"/>
      <c r="V52" s="168"/>
      <c r="W52" s="584" t="str">
        <f t="shared" si="3"/>
        <v/>
      </c>
      <c r="X52" s="150"/>
      <c r="AC52" s="526"/>
    </row>
    <row r="53" spans="1:29" ht="13.5" hidden="1" thickBot="1" x14ac:dyDescent="0.25">
      <c r="A53" s="169"/>
      <c r="B53" s="259"/>
      <c r="C53" s="166"/>
      <c r="D53" s="163"/>
      <c r="E53" s="167"/>
      <c r="F53" s="168"/>
      <c r="G53" s="166"/>
      <c r="H53" s="163"/>
      <c r="I53" s="167"/>
      <c r="J53" s="168"/>
      <c r="K53" s="166"/>
      <c r="L53" s="163"/>
      <c r="M53" s="167"/>
      <c r="N53" s="168"/>
      <c r="O53" s="166"/>
      <c r="P53" s="163"/>
      <c r="Q53" s="167"/>
      <c r="R53" s="168"/>
      <c r="S53" s="166"/>
      <c r="T53" s="163"/>
      <c r="U53" s="167"/>
      <c r="V53" s="168"/>
      <c r="W53" s="584" t="str">
        <f t="shared" si="3"/>
        <v/>
      </c>
      <c r="X53" s="150"/>
      <c r="AC53" s="526"/>
    </row>
    <row r="54" spans="1:29" ht="13.5" hidden="1" thickBot="1" x14ac:dyDescent="0.25">
      <c r="A54" s="555"/>
      <c r="B54" s="199"/>
      <c r="C54" s="166"/>
      <c r="D54" s="163"/>
      <c r="E54" s="167"/>
      <c r="F54" s="168"/>
      <c r="G54" s="166"/>
      <c r="H54" s="163"/>
      <c r="I54" s="167"/>
      <c r="J54" s="168"/>
      <c r="K54" s="166"/>
      <c r="L54" s="163"/>
      <c r="M54" s="167"/>
      <c r="N54" s="168"/>
      <c r="O54" s="166"/>
      <c r="P54" s="163"/>
      <c r="Q54" s="167"/>
      <c r="R54" s="168"/>
      <c r="S54" s="166"/>
      <c r="T54" s="163"/>
      <c r="U54" s="167"/>
      <c r="V54" s="168"/>
      <c r="W54" s="584" t="str">
        <f t="shared" si="3"/>
        <v/>
      </c>
      <c r="X54" s="150"/>
    </row>
    <row r="55" spans="1:29" ht="13.5" hidden="1" thickBot="1" x14ac:dyDescent="0.25">
      <c r="A55" s="555"/>
      <c r="B55" s="199"/>
      <c r="C55" s="166"/>
      <c r="D55" s="163"/>
      <c r="E55" s="167"/>
      <c r="F55" s="168"/>
      <c r="G55" s="166"/>
      <c r="H55" s="163"/>
      <c r="I55" s="167"/>
      <c r="J55" s="168"/>
      <c r="K55" s="166"/>
      <c r="L55" s="163"/>
      <c r="M55" s="167"/>
      <c r="N55" s="168"/>
      <c r="O55" s="166"/>
      <c r="P55" s="163"/>
      <c r="Q55" s="167"/>
      <c r="R55" s="168"/>
      <c r="S55" s="166"/>
      <c r="T55" s="163"/>
      <c r="U55" s="167"/>
      <c r="V55" s="168"/>
      <c r="W55" s="584" t="str">
        <f t="shared" si="3"/>
        <v/>
      </c>
      <c r="X55" s="150"/>
    </row>
    <row r="56" spans="1:29" ht="13.5" hidden="1" thickBot="1" x14ac:dyDescent="0.25">
      <c r="A56" s="546"/>
      <c r="B56" s="547"/>
      <c r="C56" s="548"/>
      <c r="D56" s="549"/>
      <c r="E56" s="550"/>
      <c r="F56" s="551"/>
      <c r="G56" s="548"/>
      <c r="H56" s="549"/>
      <c r="I56" s="550"/>
      <c r="J56" s="551"/>
      <c r="K56" s="548"/>
      <c r="L56" s="549"/>
      <c r="M56" s="550"/>
      <c r="N56" s="551"/>
      <c r="O56" s="548"/>
      <c r="P56" s="549"/>
      <c r="Q56" s="550"/>
      <c r="R56" s="551"/>
      <c r="S56" s="548"/>
      <c r="T56" s="549"/>
      <c r="U56" s="550"/>
      <c r="V56" s="551"/>
      <c r="W56" s="584" t="str">
        <f t="shared" si="3"/>
        <v/>
      </c>
      <c r="X56" s="552"/>
      <c r="AC56" s="526"/>
    </row>
    <row r="57" spans="1:29" ht="13.5" hidden="1" thickBot="1" x14ac:dyDescent="0.25">
      <c r="A57" s="546"/>
      <c r="B57" s="547"/>
      <c r="C57" s="548"/>
      <c r="D57" s="549"/>
      <c r="E57" s="550"/>
      <c r="F57" s="551"/>
      <c r="G57" s="548"/>
      <c r="H57" s="549"/>
      <c r="I57" s="550"/>
      <c r="J57" s="551"/>
      <c r="K57" s="548"/>
      <c r="L57" s="549"/>
      <c r="M57" s="550"/>
      <c r="N57" s="551"/>
      <c r="O57" s="548"/>
      <c r="P57" s="549"/>
      <c r="Q57" s="550"/>
      <c r="R57" s="551"/>
      <c r="S57" s="548"/>
      <c r="T57" s="549"/>
      <c r="U57" s="550"/>
      <c r="V57" s="551"/>
      <c r="W57" s="584" t="str">
        <f t="shared" si="3"/>
        <v/>
      </c>
      <c r="X57" s="552"/>
      <c r="AC57" s="526"/>
    </row>
    <row r="58" spans="1:29" ht="13.5" hidden="1" thickBot="1" x14ac:dyDescent="0.25">
      <c r="A58" s="546"/>
      <c r="B58" s="553"/>
      <c r="C58" s="548"/>
      <c r="D58" s="549"/>
      <c r="E58" s="550"/>
      <c r="F58" s="551"/>
      <c r="G58" s="548"/>
      <c r="H58" s="549"/>
      <c r="I58" s="550"/>
      <c r="J58" s="551"/>
      <c r="K58" s="548"/>
      <c r="L58" s="549"/>
      <c r="M58" s="550"/>
      <c r="N58" s="551"/>
      <c r="O58" s="548"/>
      <c r="P58" s="549"/>
      <c r="Q58" s="550"/>
      <c r="R58" s="551"/>
      <c r="S58" s="548"/>
      <c r="T58" s="549"/>
      <c r="U58" s="550"/>
      <c r="V58" s="551"/>
      <c r="W58" s="584" t="str">
        <f t="shared" si="3"/>
        <v/>
      </c>
      <c r="X58" s="552"/>
      <c r="AC58" s="526"/>
    </row>
    <row r="59" spans="1:29" ht="13.5" hidden="1" thickBot="1" x14ac:dyDescent="0.25">
      <c r="A59" s="546"/>
      <c r="B59" s="547"/>
      <c r="C59" s="548"/>
      <c r="D59" s="549"/>
      <c r="E59" s="550"/>
      <c r="F59" s="551"/>
      <c r="G59" s="548"/>
      <c r="H59" s="549"/>
      <c r="I59" s="550"/>
      <c r="J59" s="551"/>
      <c r="K59" s="548"/>
      <c r="L59" s="549"/>
      <c r="M59" s="550"/>
      <c r="N59" s="551"/>
      <c r="O59" s="548"/>
      <c r="P59" s="549"/>
      <c r="Q59" s="550"/>
      <c r="R59" s="551"/>
      <c r="S59" s="548"/>
      <c r="T59" s="549"/>
      <c r="U59" s="550"/>
      <c r="V59" s="551"/>
      <c r="W59" s="584" t="str">
        <f t="shared" si="3"/>
        <v/>
      </c>
      <c r="X59" s="552"/>
      <c r="AC59" s="526"/>
    </row>
    <row r="60" spans="1:29" ht="13.5" hidden="1" thickBot="1" x14ac:dyDescent="0.25">
      <c r="A60" s="169"/>
      <c r="B60" s="554"/>
      <c r="C60" s="166"/>
      <c r="D60" s="163"/>
      <c r="E60" s="167"/>
      <c r="F60" s="168"/>
      <c r="G60" s="166"/>
      <c r="H60" s="163"/>
      <c r="I60" s="167"/>
      <c r="J60" s="168"/>
      <c r="K60" s="166"/>
      <c r="L60" s="163"/>
      <c r="M60" s="167"/>
      <c r="N60" s="168"/>
      <c r="O60" s="166"/>
      <c r="P60" s="163"/>
      <c r="Q60" s="167"/>
      <c r="R60" s="168"/>
      <c r="S60" s="166"/>
      <c r="T60" s="163"/>
      <c r="U60" s="167"/>
      <c r="V60" s="168"/>
      <c r="W60" s="584" t="str">
        <f t="shared" si="3"/>
        <v/>
      </c>
      <c r="X60" s="150"/>
      <c r="AC60" s="526"/>
    </row>
    <row r="61" spans="1:29" ht="13.5" hidden="1" thickBot="1" x14ac:dyDescent="0.25">
      <c r="A61" s="169"/>
      <c r="B61" s="259"/>
      <c r="C61" s="166"/>
      <c r="D61" s="163"/>
      <c r="E61" s="167"/>
      <c r="F61" s="168"/>
      <c r="G61" s="166"/>
      <c r="H61" s="163"/>
      <c r="I61" s="167"/>
      <c r="J61" s="168"/>
      <c r="K61" s="166"/>
      <c r="L61" s="163"/>
      <c r="M61" s="167"/>
      <c r="N61" s="168"/>
      <c r="O61" s="166"/>
      <c r="P61" s="163"/>
      <c r="Q61" s="167"/>
      <c r="R61" s="168"/>
      <c r="S61" s="166"/>
      <c r="T61" s="163"/>
      <c r="U61" s="167"/>
      <c r="V61" s="168"/>
      <c r="W61" s="584" t="str">
        <f t="shared" si="3"/>
        <v/>
      </c>
      <c r="X61" s="150"/>
      <c r="AC61" s="526"/>
    </row>
    <row r="62" spans="1:29" ht="13.5" hidden="1" thickBot="1" x14ac:dyDescent="0.25">
      <c r="A62" s="555"/>
      <c r="B62" s="199"/>
      <c r="C62" s="166"/>
      <c r="D62" s="163"/>
      <c r="E62" s="167"/>
      <c r="F62" s="168"/>
      <c r="G62" s="166"/>
      <c r="H62" s="163"/>
      <c r="I62" s="167"/>
      <c r="J62" s="168"/>
      <c r="K62" s="166"/>
      <c r="L62" s="163"/>
      <c r="M62" s="167"/>
      <c r="N62" s="168"/>
      <c r="O62" s="166"/>
      <c r="P62" s="163"/>
      <c r="Q62" s="167"/>
      <c r="R62" s="168"/>
      <c r="S62" s="166"/>
      <c r="T62" s="163"/>
      <c r="U62" s="167"/>
      <c r="V62" s="168"/>
      <c r="W62" s="584" t="str">
        <f t="shared" si="3"/>
        <v/>
      </c>
      <c r="X62" s="150"/>
    </row>
    <row r="63" spans="1:29" ht="13.5" hidden="1" thickBot="1" x14ac:dyDescent="0.25">
      <c r="A63" s="555"/>
      <c r="B63" s="199"/>
      <c r="C63" s="166"/>
      <c r="D63" s="163"/>
      <c r="E63" s="167"/>
      <c r="F63" s="168"/>
      <c r="G63" s="166"/>
      <c r="H63" s="163"/>
      <c r="I63" s="167"/>
      <c r="J63" s="168"/>
      <c r="K63" s="166"/>
      <c r="L63" s="163"/>
      <c r="M63" s="167"/>
      <c r="N63" s="168"/>
      <c r="O63" s="166"/>
      <c r="P63" s="163"/>
      <c r="Q63" s="167"/>
      <c r="R63" s="168"/>
      <c r="S63" s="166"/>
      <c r="T63" s="163"/>
      <c r="U63" s="167"/>
      <c r="V63" s="168"/>
      <c r="W63" s="584" t="str">
        <f t="shared" si="3"/>
        <v/>
      </c>
      <c r="X63" s="150"/>
    </row>
    <row r="64" spans="1:29" ht="13.5" hidden="1" thickBot="1" x14ac:dyDescent="0.25">
      <c r="A64" s="546"/>
      <c r="B64" s="553"/>
      <c r="C64" s="548"/>
      <c r="D64" s="549"/>
      <c r="E64" s="550"/>
      <c r="F64" s="551"/>
      <c r="G64" s="548"/>
      <c r="H64" s="549"/>
      <c r="I64" s="550"/>
      <c r="J64" s="551"/>
      <c r="K64" s="548"/>
      <c r="L64" s="549"/>
      <c r="M64" s="550"/>
      <c r="N64" s="551"/>
      <c r="O64" s="548"/>
      <c r="P64" s="549"/>
      <c r="Q64" s="550"/>
      <c r="R64" s="551"/>
      <c r="S64" s="548"/>
      <c r="T64" s="549"/>
      <c r="U64" s="550"/>
      <c r="V64" s="551"/>
      <c r="W64" s="584" t="str">
        <f t="shared" si="3"/>
        <v/>
      </c>
      <c r="X64" s="552"/>
    </row>
    <row r="65" spans="1:29" ht="13.5" hidden="1" thickBot="1" x14ac:dyDescent="0.25">
      <c r="A65" s="546"/>
      <c r="B65" s="553"/>
      <c r="C65" s="548"/>
      <c r="D65" s="549"/>
      <c r="E65" s="550"/>
      <c r="F65" s="551"/>
      <c r="G65" s="548"/>
      <c r="H65" s="549"/>
      <c r="I65" s="550"/>
      <c r="J65" s="551"/>
      <c r="K65" s="548"/>
      <c r="L65" s="549"/>
      <c r="M65" s="550"/>
      <c r="N65" s="551"/>
      <c r="O65" s="548"/>
      <c r="P65" s="549"/>
      <c r="Q65" s="550"/>
      <c r="R65" s="551"/>
      <c r="S65" s="548"/>
      <c r="T65" s="549"/>
      <c r="U65" s="550"/>
      <c r="V65" s="551"/>
      <c r="W65" s="584" t="str">
        <f t="shared" si="3"/>
        <v/>
      </c>
      <c r="X65" s="552"/>
    </row>
    <row r="66" spans="1:29" ht="13.5" hidden="1" thickBot="1" x14ac:dyDescent="0.25">
      <c r="A66" s="546"/>
      <c r="B66" s="547"/>
      <c r="C66" s="548"/>
      <c r="D66" s="549"/>
      <c r="E66" s="550"/>
      <c r="F66" s="551"/>
      <c r="G66" s="548"/>
      <c r="H66" s="549"/>
      <c r="I66" s="550"/>
      <c r="J66" s="551"/>
      <c r="K66" s="548"/>
      <c r="L66" s="549"/>
      <c r="M66" s="550"/>
      <c r="N66" s="551"/>
      <c r="O66" s="548"/>
      <c r="P66" s="549"/>
      <c r="Q66" s="550"/>
      <c r="R66" s="551"/>
      <c r="S66" s="548"/>
      <c r="T66" s="549"/>
      <c r="U66" s="550"/>
      <c r="V66" s="551"/>
      <c r="W66" s="584" t="str">
        <f t="shared" si="3"/>
        <v/>
      </c>
      <c r="X66" s="552"/>
    </row>
    <row r="67" spans="1:29" ht="13.5" hidden="1" thickBot="1" x14ac:dyDescent="0.25">
      <c r="A67" s="546"/>
      <c r="B67" s="556"/>
      <c r="C67" s="548"/>
      <c r="D67" s="549"/>
      <c r="E67" s="550"/>
      <c r="F67" s="551"/>
      <c r="G67" s="548"/>
      <c r="H67" s="549"/>
      <c r="I67" s="550"/>
      <c r="J67" s="551"/>
      <c r="K67" s="548"/>
      <c r="L67" s="549"/>
      <c r="M67" s="550"/>
      <c r="N67" s="551"/>
      <c r="O67" s="548"/>
      <c r="P67" s="549"/>
      <c r="Q67" s="550"/>
      <c r="R67" s="551"/>
      <c r="S67" s="548"/>
      <c r="T67" s="549"/>
      <c r="U67" s="550"/>
      <c r="V67" s="551"/>
      <c r="W67" s="584" t="str">
        <f t="shared" si="3"/>
        <v/>
      </c>
      <c r="X67" s="552"/>
    </row>
    <row r="68" spans="1:29" ht="13.5" hidden="1" thickBot="1" x14ac:dyDescent="0.25">
      <c r="A68" s="169"/>
      <c r="B68" s="554"/>
      <c r="C68" s="166"/>
      <c r="D68" s="163"/>
      <c r="E68" s="167"/>
      <c r="F68" s="168"/>
      <c r="G68" s="166"/>
      <c r="H68" s="163"/>
      <c r="I68" s="167"/>
      <c r="J68" s="168"/>
      <c r="K68" s="166"/>
      <c r="L68" s="163"/>
      <c r="M68" s="167"/>
      <c r="N68" s="168"/>
      <c r="O68" s="166"/>
      <c r="P68" s="163"/>
      <c r="Q68" s="167"/>
      <c r="R68" s="168"/>
      <c r="S68" s="166"/>
      <c r="T68" s="163"/>
      <c r="U68" s="167"/>
      <c r="V68" s="168"/>
      <c r="W68" s="584" t="str">
        <f t="shared" si="3"/>
        <v/>
      </c>
      <c r="X68" s="150"/>
      <c r="AC68" s="526"/>
    </row>
    <row r="69" spans="1:29" ht="13.5" hidden="1" thickBot="1" x14ac:dyDescent="0.25">
      <c r="A69" s="169"/>
      <c r="B69" s="259"/>
      <c r="C69" s="166"/>
      <c r="D69" s="163"/>
      <c r="E69" s="167"/>
      <c r="F69" s="168"/>
      <c r="G69" s="166"/>
      <c r="H69" s="163"/>
      <c r="I69" s="167"/>
      <c r="J69" s="168"/>
      <c r="K69" s="166"/>
      <c r="L69" s="163"/>
      <c r="M69" s="167"/>
      <c r="N69" s="168"/>
      <c r="O69" s="166"/>
      <c r="P69" s="163"/>
      <c r="Q69" s="167"/>
      <c r="R69" s="168"/>
      <c r="S69" s="166"/>
      <c r="T69" s="163"/>
      <c r="U69" s="167"/>
      <c r="V69" s="168"/>
      <c r="W69" s="584" t="str">
        <f t="shared" si="3"/>
        <v/>
      </c>
      <c r="X69" s="150"/>
      <c r="AC69" s="526"/>
    </row>
    <row r="70" spans="1:29" ht="13.5" hidden="1" thickBot="1" x14ac:dyDescent="0.25">
      <c r="A70" s="555"/>
      <c r="B70" s="199"/>
      <c r="C70" s="166"/>
      <c r="D70" s="163"/>
      <c r="E70" s="167"/>
      <c r="F70" s="168"/>
      <c r="G70" s="166"/>
      <c r="H70" s="163"/>
      <c r="I70" s="167"/>
      <c r="J70" s="168"/>
      <c r="K70" s="166"/>
      <c r="L70" s="163"/>
      <c r="M70" s="167"/>
      <c r="N70" s="168"/>
      <c r="O70" s="166"/>
      <c r="P70" s="163"/>
      <c r="Q70" s="167"/>
      <c r="R70" s="168"/>
      <c r="S70" s="166"/>
      <c r="T70" s="163"/>
      <c r="U70" s="167"/>
      <c r="V70" s="168"/>
      <c r="W70" s="584" t="str">
        <f t="shared" si="3"/>
        <v/>
      </c>
      <c r="X70" s="150"/>
    </row>
    <row r="71" spans="1:29" ht="13.5" hidden="1" thickBot="1" x14ac:dyDescent="0.25">
      <c r="A71" s="557"/>
      <c r="B71" s="558"/>
      <c r="C71" s="559"/>
      <c r="D71" s="190"/>
      <c r="E71" s="560"/>
      <c r="F71" s="561"/>
      <c r="G71" s="559"/>
      <c r="H71" s="190"/>
      <c r="I71" s="560"/>
      <c r="J71" s="561"/>
      <c r="K71" s="559"/>
      <c r="L71" s="190"/>
      <c r="M71" s="560"/>
      <c r="N71" s="561"/>
      <c r="O71" s="559"/>
      <c r="P71" s="190"/>
      <c r="Q71" s="560"/>
      <c r="R71" s="561"/>
      <c r="S71" s="559"/>
      <c r="T71" s="190"/>
      <c r="U71" s="560"/>
      <c r="V71" s="561"/>
      <c r="W71" s="591" t="str">
        <f t="shared" si="3"/>
        <v/>
      </c>
      <c r="X71" s="159"/>
      <c r="Y71" s="154"/>
    </row>
    <row r="72" spans="1:29" x14ac:dyDescent="0.2">
      <c r="A72" s="562" t="s">
        <v>717</v>
      </c>
      <c r="B72" s="545" t="s">
        <v>220</v>
      </c>
      <c r="C72" s="247"/>
      <c r="D72" s="248"/>
      <c r="E72" s="248"/>
      <c r="F72" s="249"/>
      <c r="G72" s="247"/>
      <c r="H72" s="248"/>
      <c r="I72" s="248"/>
      <c r="J72" s="249"/>
      <c r="K72" s="247"/>
      <c r="L72" s="248"/>
      <c r="M72" s="248"/>
      <c r="N72" s="249"/>
      <c r="O72" s="247"/>
      <c r="P72" s="248"/>
      <c r="Q72" s="248"/>
      <c r="R72" s="249"/>
      <c r="S72" s="247"/>
      <c r="T72" s="248"/>
      <c r="U72" s="248"/>
      <c r="V72" s="249"/>
      <c r="W72" s="661"/>
      <c r="X72" s="250"/>
      <c r="Y72" s="563" t="s">
        <v>709</v>
      </c>
      <c r="Z72" s="148"/>
      <c r="AA72" s="149" t="s">
        <v>215</v>
      </c>
      <c r="AB72" s="149" t="s">
        <v>216</v>
      </c>
    </row>
    <row r="73" spans="1:29" x14ac:dyDescent="0.2">
      <c r="A73" s="556">
        <v>1</v>
      </c>
      <c r="B73" s="580"/>
      <c r="C73" s="581"/>
      <c r="D73" s="582"/>
      <c r="E73" s="582"/>
      <c r="F73" s="583"/>
      <c r="G73" s="581"/>
      <c r="H73" s="582"/>
      <c r="I73" s="582"/>
      <c r="J73" s="583"/>
      <c r="K73" s="581"/>
      <c r="L73" s="582"/>
      <c r="M73" s="582"/>
      <c r="N73" s="583"/>
      <c r="O73" s="581"/>
      <c r="P73" s="582"/>
      <c r="Q73" s="582"/>
      <c r="R73" s="583"/>
      <c r="S73" s="581"/>
      <c r="T73" s="582"/>
      <c r="U73" s="582"/>
      <c r="V73" s="583"/>
      <c r="W73" s="584">
        <f>SUM(C73:V73)+COUNTIF(C73:V73,5)/100+COUNTIF(C73:V73,3)/10000</f>
        <v>0</v>
      </c>
      <c r="X73" s="552" t="str">
        <f t="shared" ref="X73:X84" si="4">IF(RANK(Y73,$Y$73:$Y$84)&lt;5,"edasi "&amp;RANK(Y73,$Y$73:$Y$84)+4,RANK(Y73,$Y$73:$Y$84)+4)</f>
        <v>edasi 5</v>
      </c>
      <c r="Y73" s="552">
        <f>W73+IFERROR(INDEX(W$9:W$38,MATCH(B73,B$9:B$38,0)),0)</f>
        <v>0</v>
      </c>
      <c r="Z73" s="151">
        <f>IF(COUNTA(C73:V73)=0,100,W73+IF(RANK(W73,$W$111:$W$112)=1,100,0))</f>
        <v>100</v>
      </c>
      <c r="AA73" s="149">
        <f>MIN(W73:W74)</f>
        <v>0</v>
      </c>
      <c r="AB73" s="149">
        <f>MAX(W73:W74)</f>
        <v>0</v>
      </c>
    </row>
    <row r="74" spans="1:29" x14ac:dyDescent="0.2">
      <c r="A74" s="556">
        <v>2</v>
      </c>
      <c r="B74" s="662"/>
      <c r="C74" s="581"/>
      <c r="D74" s="582"/>
      <c r="E74" s="582"/>
      <c r="F74" s="583"/>
      <c r="G74" s="581"/>
      <c r="H74" s="582"/>
      <c r="I74" s="582"/>
      <c r="J74" s="583"/>
      <c r="K74" s="581"/>
      <c r="L74" s="582"/>
      <c r="M74" s="582"/>
      <c r="N74" s="583"/>
      <c r="O74" s="581"/>
      <c r="P74" s="582"/>
      <c r="Q74" s="582"/>
      <c r="R74" s="583"/>
      <c r="S74" s="581"/>
      <c r="T74" s="582"/>
      <c r="U74" s="582"/>
      <c r="V74" s="583"/>
      <c r="W74" s="584">
        <f t="shared" ref="W74:W84" si="5">SUM(C74:V74)+COUNTIF(C74:V74,5)/100+COUNTIF(C74:V74,3)/10000</f>
        <v>0</v>
      </c>
      <c r="X74" s="642" t="str">
        <f t="shared" si="4"/>
        <v>edasi 5</v>
      </c>
      <c r="Y74" s="552">
        <f t="shared" ref="Y74:Y84" si="6">W74+IFERROR(INDEX(W$9:W$38,MATCH(B74,B$9:B$38,0)),0)</f>
        <v>0</v>
      </c>
      <c r="Z74" s="151"/>
      <c r="AA74" s="149"/>
      <c r="AB74" s="149"/>
    </row>
    <row r="75" spans="1:29" x14ac:dyDescent="0.2">
      <c r="A75" s="173">
        <v>3</v>
      </c>
      <c r="B75" s="193"/>
      <c r="C75" s="144"/>
      <c r="D75" s="145"/>
      <c r="E75" s="145"/>
      <c r="F75" s="146"/>
      <c r="G75" s="144"/>
      <c r="H75" s="145"/>
      <c r="I75" s="145"/>
      <c r="J75" s="146"/>
      <c r="K75" s="144"/>
      <c r="L75" s="145"/>
      <c r="M75" s="145"/>
      <c r="N75" s="146"/>
      <c r="O75" s="144"/>
      <c r="P75" s="145"/>
      <c r="Q75" s="145"/>
      <c r="R75" s="146"/>
      <c r="S75" s="144"/>
      <c r="T75" s="145"/>
      <c r="U75" s="145"/>
      <c r="V75" s="146"/>
      <c r="W75" s="584">
        <f t="shared" ref="W75:W78" si="7">SUM(C75:V75)+COUNTIF(C75:V75,5)/100+COUNTIF(C75:V75,3)/10000</f>
        <v>0</v>
      </c>
      <c r="X75" s="150" t="str">
        <f t="shared" si="4"/>
        <v>edasi 5</v>
      </c>
      <c r="Y75" s="642">
        <f t="shared" si="6"/>
        <v>0</v>
      </c>
      <c r="Z75" s="151">
        <f>IF(COUNTA(C75:V75)=0,100,W75+IF(RANK(W75,$W$113:$W$114)=1,100,0))</f>
        <v>100</v>
      </c>
      <c r="AA75" s="149">
        <f>MIN(W75:W76)</f>
        <v>0</v>
      </c>
      <c r="AB75" s="149">
        <f>MAX(W75:W76)</f>
        <v>0</v>
      </c>
    </row>
    <row r="76" spans="1:29" x14ac:dyDescent="0.2">
      <c r="A76" s="173">
        <v>4</v>
      </c>
      <c r="B76" s="196"/>
      <c r="C76" s="144"/>
      <c r="D76" s="145"/>
      <c r="E76" s="145"/>
      <c r="F76" s="146"/>
      <c r="G76" s="144"/>
      <c r="H76" s="145"/>
      <c r="I76" s="145"/>
      <c r="J76" s="146"/>
      <c r="K76" s="144"/>
      <c r="L76" s="145"/>
      <c r="M76" s="145"/>
      <c r="N76" s="146"/>
      <c r="O76" s="144"/>
      <c r="P76" s="145"/>
      <c r="Q76" s="145"/>
      <c r="R76" s="146"/>
      <c r="S76" s="144"/>
      <c r="T76" s="145"/>
      <c r="U76" s="145"/>
      <c r="V76" s="146"/>
      <c r="W76" s="584">
        <f t="shared" si="7"/>
        <v>0</v>
      </c>
      <c r="X76" s="150" t="str">
        <f t="shared" si="4"/>
        <v>edasi 5</v>
      </c>
      <c r="Y76" s="552">
        <f t="shared" si="6"/>
        <v>0</v>
      </c>
      <c r="Z76" s="152">
        <f>IF(COUNTA(C76:V76)=0,0,W76+IF(RANK(W76,$W$113:$W$114)=1,100,0))</f>
        <v>0</v>
      </c>
      <c r="AA76" s="149"/>
      <c r="AB76" s="149"/>
    </row>
    <row r="77" spans="1:29" x14ac:dyDescent="0.2">
      <c r="A77" s="556">
        <v>5</v>
      </c>
      <c r="B77" s="588"/>
      <c r="C77" s="581"/>
      <c r="D77" s="582"/>
      <c r="E77" s="582"/>
      <c r="F77" s="583"/>
      <c r="G77" s="581"/>
      <c r="H77" s="582"/>
      <c r="I77" s="582"/>
      <c r="J77" s="583"/>
      <c r="K77" s="581"/>
      <c r="L77" s="582"/>
      <c r="M77" s="582"/>
      <c r="N77" s="583"/>
      <c r="O77" s="581"/>
      <c r="P77" s="582"/>
      <c r="Q77" s="582"/>
      <c r="R77" s="583"/>
      <c r="S77" s="581"/>
      <c r="T77" s="582"/>
      <c r="U77" s="582"/>
      <c r="V77" s="583"/>
      <c r="W77" s="584">
        <f t="shared" si="7"/>
        <v>0</v>
      </c>
      <c r="X77" s="642">
        <v>14</v>
      </c>
      <c r="Y77" s="552">
        <f t="shared" si="6"/>
        <v>0</v>
      </c>
      <c r="Z77" s="151">
        <f>IF(COUNTA(C77:V77)=0,100,W77+IF(RANK(W77,$W$115:$W$116)=1,100,0))</f>
        <v>100</v>
      </c>
      <c r="AA77" s="149">
        <f>MIN(W77:W78)</f>
        <v>0</v>
      </c>
      <c r="AB77" s="149">
        <f>MAX(W77:W78)</f>
        <v>0</v>
      </c>
    </row>
    <row r="78" spans="1:29" x14ac:dyDescent="0.2">
      <c r="A78" s="556">
        <v>6</v>
      </c>
      <c r="B78" s="588"/>
      <c r="C78" s="581"/>
      <c r="D78" s="582"/>
      <c r="E78" s="582"/>
      <c r="F78" s="583"/>
      <c r="G78" s="581"/>
      <c r="H78" s="582"/>
      <c r="I78" s="582"/>
      <c r="J78" s="583"/>
      <c r="K78" s="581"/>
      <c r="L78" s="582"/>
      <c r="M78" s="582"/>
      <c r="N78" s="583"/>
      <c r="O78" s="581"/>
      <c r="P78" s="582"/>
      <c r="Q78" s="582"/>
      <c r="R78" s="583"/>
      <c r="S78" s="581"/>
      <c r="T78" s="582"/>
      <c r="U78" s="582"/>
      <c r="V78" s="583"/>
      <c r="W78" s="584">
        <f t="shared" si="7"/>
        <v>0</v>
      </c>
      <c r="X78" s="552" t="str">
        <f t="shared" si="4"/>
        <v>edasi 5</v>
      </c>
      <c r="Y78" s="552">
        <f t="shared" si="6"/>
        <v>0</v>
      </c>
      <c r="Z78" s="152">
        <f>IF(COUNTA(C78:V78)=0,0,W78+IF(RANK(W78,$W$115:$W$116)=1,100,0))</f>
        <v>0</v>
      </c>
      <c r="AA78" s="149"/>
      <c r="AB78" s="149"/>
    </row>
    <row r="79" spans="1:29" x14ac:dyDescent="0.2">
      <c r="A79" s="173">
        <v>7</v>
      </c>
      <c r="B79" s="193"/>
      <c r="C79" s="144"/>
      <c r="D79" s="145"/>
      <c r="E79" s="145"/>
      <c r="F79" s="146"/>
      <c r="G79" s="144"/>
      <c r="H79" s="145"/>
      <c r="I79" s="145"/>
      <c r="J79" s="146"/>
      <c r="K79" s="144"/>
      <c r="L79" s="145"/>
      <c r="M79" s="145"/>
      <c r="N79" s="146"/>
      <c r="O79" s="144"/>
      <c r="P79" s="145"/>
      <c r="Q79" s="145"/>
      <c r="R79" s="146"/>
      <c r="S79" s="144"/>
      <c r="T79" s="145"/>
      <c r="U79" s="145"/>
      <c r="V79" s="146"/>
      <c r="W79" s="584">
        <f t="shared" si="5"/>
        <v>0</v>
      </c>
      <c r="X79" s="150" t="str">
        <f t="shared" si="4"/>
        <v>edasi 5</v>
      </c>
      <c r="Y79" s="552">
        <f t="shared" si="6"/>
        <v>0</v>
      </c>
      <c r="Z79" s="151">
        <f>IF(COUNTA(C79:V79)=0,100,W79+IF(RANK(W79,$W$113:$W$114)=1,100,0))</f>
        <v>100</v>
      </c>
      <c r="AA79" s="149">
        <f>MIN(W79:W80)</f>
        <v>0</v>
      </c>
      <c r="AB79" s="149">
        <f>MAX(W79:W80)</f>
        <v>0</v>
      </c>
    </row>
    <row r="80" spans="1:29" x14ac:dyDescent="0.2">
      <c r="A80" s="173">
        <v>8</v>
      </c>
      <c r="B80" s="196"/>
      <c r="C80" s="144"/>
      <c r="D80" s="145"/>
      <c r="E80" s="145"/>
      <c r="F80" s="146"/>
      <c r="G80" s="144"/>
      <c r="H80" s="145"/>
      <c r="I80" s="145"/>
      <c r="J80" s="146"/>
      <c r="K80" s="144"/>
      <c r="L80" s="145"/>
      <c r="M80" s="145"/>
      <c r="N80" s="146"/>
      <c r="O80" s="144"/>
      <c r="P80" s="145"/>
      <c r="Q80" s="145"/>
      <c r="R80" s="146"/>
      <c r="S80" s="144"/>
      <c r="T80" s="145"/>
      <c r="U80" s="145"/>
      <c r="V80" s="146"/>
      <c r="W80" s="584">
        <f t="shared" si="5"/>
        <v>0</v>
      </c>
      <c r="X80" s="150" t="str">
        <f t="shared" si="4"/>
        <v>edasi 5</v>
      </c>
      <c r="Y80" s="552">
        <f t="shared" si="6"/>
        <v>0</v>
      </c>
      <c r="Z80" s="152">
        <f>IF(COUNTA(C80:V80)=0,0,W80+IF(RANK(W80,$W$113:$W$114)=1,100,0))</f>
        <v>0</v>
      </c>
      <c r="AA80" s="149"/>
      <c r="AB80" s="149"/>
    </row>
    <row r="81" spans="1:29" x14ac:dyDescent="0.2">
      <c r="A81" s="556">
        <v>9</v>
      </c>
      <c r="B81" s="588"/>
      <c r="C81" s="581"/>
      <c r="D81" s="582"/>
      <c r="E81" s="582"/>
      <c r="F81" s="583"/>
      <c r="G81" s="581"/>
      <c r="H81" s="582"/>
      <c r="I81" s="582"/>
      <c r="J81" s="583"/>
      <c r="K81" s="581"/>
      <c r="L81" s="582"/>
      <c r="M81" s="582"/>
      <c r="N81" s="583"/>
      <c r="O81" s="581"/>
      <c r="P81" s="582"/>
      <c r="Q81" s="582"/>
      <c r="R81" s="583"/>
      <c r="S81" s="581"/>
      <c r="T81" s="582"/>
      <c r="U81" s="582"/>
      <c r="V81" s="583"/>
      <c r="W81" s="584">
        <f t="shared" si="5"/>
        <v>0</v>
      </c>
      <c r="X81" s="552" t="str">
        <f t="shared" si="4"/>
        <v>edasi 5</v>
      </c>
      <c r="Y81" s="642">
        <f t="shared" si="6"/>
        <v>0</v>
      </c>
      <c r="Z81" s="151">
        <f>IF(COUNTA(C81:V81)=0,100,W81+IF(RANK(W81,$W$115:$W$116)=1,100,0))</f>
        <v>100</v>
      </c>
      <c r="AA81" s="149">
        <f>MIN(W81:W82)</f>
        <v>0</v>
      </c>
      <c r="AB81" s="149">
        <f>MAX(W81:W82)</f>
        <v>0</v>
      </c>
    </row>
    <row r="82" spans="1:29" x14ac:dyDescent="0.2">
      <c r="A82" s="556">
        <v>10</v>
      </c>
      <c r="B82" s="588"/>
      <c r="C82" s="581"/>
      <c r="D82" s="582"/>
      <c r="E82" s="582"/>
      <c r="F82" s="583"/>
      <c r="G82" s="581"/>
      <c r="H82" s="582"/>
      <c r="I82" s="582"/>
      <c r="J82" s="583"/>
      <c r="K82" s="581"/>
      <c r="L82" s="582"/>
      <c r="M82" s="582"/>
      <c r="N82" s="583"/>
      <c r="O82" s="581"/>
      <c r="P82" s="582"/>
      <c r="Q82" s="582"/>
      <c r="R82" s="583"/>
      <c r="S82" s="581"/>
      <c r="T82" s="582"/>
      <c r="U82" s="582"/>
      <c r="V82" s="583"/>
      <c r="W82" s="584">
        <f t="shared" si="5"/>
        <v>0</v>
      </c>
      <c r="X82" s="552" t="str">
        <f t="shared" si="4"/>
        <v>edasi 5</v>
      </c>
      <c r="Y82" s="552">
        <f t="shared" si="6"/>
        <v>0</v>
      </c>
      <c r="Z82" s="152">
        <f>IF(COUNTA(C82:V82)=0,0,W82+IF(RANK(W82,$W$115:$W$116)=1,100,0))</f>
        <v>0</v>
      </c>
      <c r="AA82" s="149"/>
      <c r="AB82" s="149"/>
    </row>
    <row r="83" spans="1:29" x14ac:dyDescent="0.2">
      <c r="A83" s="663">
        <v>11</v>
      </c>
      <c r="B83" s="664"/>
      <c r="C83" s="665"/>
      <c r="D83" s="666"/>
      <c r="E83" s="666"/>
      <c r="F83" s="176"/>
      <c r="G83" s="665"/>
      <c r="H83" s="666"/>
      <c r="I83" s="666"/>
      <c r="J83" s="176"/>
      <c r="K83" s="665"/>
      <c r="L83" s="666"/>
      <c r="M83" s="666"/>
      <c r="N83" s="176"/>
      <c r="O83" s="665"/>
      <c r="P83" s="666"/>
      <c r="Q83" s="666"/>
      <c r="R83" s="176"/>
      <c r="S83" s="665"/>
      <c r="T83" s="666"/>
      <c r="U83" s="666"/>
      <c r="V83" s="176"/>
      <c r="W83" s="584">
        <f t="shared" si="5"/>
        <v>0</v>
      </c>
      <c r="X83" s="150" t="str">
        <f t="shared" si="4"/>
        <v>edasi 5</v>
      </c>
      <c r="Y83" s="642">
        <f t="shared" si="6"/>
        <v>0</v>
      </c>
      <c r="Z83" s="151">
        <f>IF(COUNTA(C83:V83)=0,100,W83+IF(RANK(W83,$W$117:$W$118)=1,100,0))</f>
        <v>100</v>
      </c>
      <c r="AA83" s="149">
        <f>MIN(W83:W84)</f>
        <v>0</v>
      </c>
      <c r="AB83" s="149">
        <f>MAX(W83:W84)</f>
        <v>0</v>
      </c>
    </row>
    <row r="84" spans="1:29" ht="13.5" thickBot="1" x14ac:dyDescent="0.25">
      <c r="A84" s="667">
        <v>12</v>
      </c>
      <c r="B84" s="668"/>
      <c r="C84" s="669"/>
      <c r="D84" s="670"/>
      <c r="E84" s="670"/>
      <c r="F84" s="671"/>
      <c r="G84" s="669"/>
      <c r="H84" s="670"/>
      <c r="I84" s="670"/>
      <c r="J84" s="671"/>
      <c r="K84" s="669"/>
      <c r="L84" s="670"/>
      <c r="M84" s="670"/>
      <c r="N84" s="671"/>
      <c r="O84" s="669"/>
      <c r="P84" s="670"/>
      <c r="Q84" s="670"/>
      <c r="R84" s="671"/>
      <c r="S84" s="669"/>
      <c r="T84" s="670"/>
      <c r="U84" s="670"/>
      <c r="V84" s="671"/>
      <c r="W84" s="591">
        <f t="shared" si="5"/>
        <v>0</v>
      </c>
      <c r="X84" s="159" t="str">
        <f t="shared" si="4"/>
        <v>edasi 5</v>
      </c>
      <c r="Y84" s="672">
        <f t="shared" si="6"/>
        <v>0</v>
      </c>
      <c r="Z84" s="152">
        <f>IF(COUNTA(C84:V84)=0,0,W84+IF(RANK(W84,$W$117:$W$118)=1,100,0))</f>
        <v>0</v>
      </c>
      <c r="AA84" s="149"/>
      <c r="AB84" s="149"/>
    </row>
    <row r="85" spans="1:29" ht="13.5" hidden="1" thickBot="1" x14ac:dyDescent="0.25">
      <c r="A85" s="544"/>
      <c r="B85" s="545" t="s">
        <v>718</v>
      </c>
      <c r="C85" s="144"/>
      <c r="D85" s="145"/>
      <c r="E85" s="145"/>
      <c r="F85" s="146"/>
      <c r="G85" s="144"/>
      <c r="H85" s="145"/>
      <c r="I85" s="145"/>
      <c r="J85" s="146"/>
      <c r="K85" s="144"/>
      <c r="L85" s="145"/>
      <c r="M85" s="145"/>
      <c r="N85" s="146"/>
      <c r="O85" s="144"/>
      <c r="P85" s="145"/>
      <c r="Q85" s="145"/>
      <c r="R85" s="146"/>
      <c r="S85" s="144"/>
      <c r="T85" s="145"/>
      <c r="U85" s="145"/>
      <c r="V85" s="146"/>
      <c r="W85" s="661"/>
      <c r="X85" s="250"/>
      <c r="Z85" s="148"/>
      <c r="AA85" s="149" t="s">
        <v>215</v>
      </c>
      <c r="AB85" s="149" t="s">
        <v>216</v>
      </c>
    </row>
    <row r="86" spans="1:29" ht="13.5" hidden="1" thickBot="1" x14ac:dyDescent="0.25">
      <c r="A86" s="546"/>
      <c r="B86" s="547"/>
      <c r="C86" s="548"/>
      <c r="D86" s="549"/>
      <c r="E86" s="550"/>
      <c r="F86" s="551"/>
      <c r="G86" s="548"/>
      <c r="H86" s="549"/>
      <c r="I86" s="550"/>
      <c r="J86" s="551"/>
      <c r="K86" s="548"/>
      <c r="L86" s="549"/>
      <c r="M86" s="550"/>
      <c r="N86" s="551"/>
      <c r="O86" s="548"/>
      <c r="P86" s="549"/>
      <c r="Q86" s="550"/>
      <c r="R86" s="551"/>
      <c r="S86" s="548"/>
      <c r="T86" s="549"/>
      <c r="U86" s="550"/>
      <c r="V86" s="551"/>
      <c r="W86" s="584" t="str">
        <f t="shared" ref="W86:W105" si="8">IF(COUNTA(C86:V86)=0,"",SUM(C86:V86)+COUNTIF(C86:V86,5)/100+COUNTIF(C86:V86,3)/10000)</f>
        <v/>
      </c>
      <c r="X86" s="552"/>
      <c r="AC86" s="526"/>
    </row>
    <row r="87" spans="1:29" ht="13.5" hidden="1" thickBot="1" x14ac:dyDescent="0.25">
      <c r="A87" s="546"/>
      <c r="B87" s="547"/>
      <c r="C87" s="548"/>
      <c r="D87" s="549"/>
      <c r="E87" s="550"/>
      <c r="F87" s="551"/>
      <c r="G87" s="548"/>
      <c r="H87" s="549"/>
      <c r="I87" s="550"/>
      <c r="J87" s="551"/>
      <c r="K87" s="548"/>
      <c r="L87" s="549"/>
      <c r="M87" s="550"/>
      <c r="N87" s="551"/>
      <c r="O87" s="548"/>
      <c r="P87" s="549"/>
      <c r="Q87" s="550"/>
      <c r="R87" s="551"/>
      <c r="S87" s="548"/>
      <c r="T87" s="549"/>
      <c r="U87" s="550"/>
      <c r="V87" s="551"/>
      <c r="W87" s="584" t="str">
        <f t="shared" si="8"/>
        <v/>
      </c>
      <c r="X87" s="552"/>
      <c r="AC87" s="526"/>
    </row>
    <row r="88" spans="1:29" ht="13.5" hidden="1" thickBot="1" x14ac:dyDescent="0.25">
      <c r="A88" s="546"/>
      <c r="B88" s="553"/>
      <c r="C88" s="548"/>
      <c r="D88" s="549"/>
      <c r="E88" s="550"/>
      <c r="F88" s="551"/>
      <c r="G88" s="548"/>
      <c r="H88" s="549"/>
      <c r="I88" s="550"/>
      <c r="J88" s="551"/>
      <c r="K88" s="548"/>
      <c r="L88" s="549"/>
      <c r="M88" s="550"/>
      <c r="N88" s="551"/>
      <c r="O88" s="548"/>
      <c r="P88" s="549"/>
      <c r="Q88" s="550"/>
      <c r="R88" s="551"/>
      <c r="S88" s="548"/>
      <c r="T88" s="549"/>
      <c r="U88" s="550"/>
      <c r="V88" s="551"/>
      <c r="W88" s="584" t="str">
        <f t="shared" si="8"/>
        <v/>
      </c>
      <c r="X88" s="552"/>
      <c r="AC88" s="526"/>
    </row>
    <row r="89" spans="1:29" ht="13.5" hidden="1" thickBot="1" x14ac:dyDescent="0.25">
      <c r="A89" s="546"/>
      <c r="B89" s="547"/>
      <c r="C89" s="548"/>
      <c r="D89" s="549"/>
      <c r="E89" s="550"/>
      <c r="F89" s="551"/>
      <c r="G89" s="548"/>
      <c r="H89" s="549"/>
      <c r="I89" s="550"/>
      <c r="J89" s="551"/>
      <c r="K89" s="548"/>
      <c r="L89" s="549"/>
      <c r="M89" s="550"/>
      <c r="N89" s="551"/>
      <c r="O89" s="548"/>
      <c r="P89" s="549"/>
      <c r="Q89" s="550"/>
      <c r="R89" s="551"/>
      <c r="S89" s="548"/>
      <c r="T89" s="549"/>
      <c r="U89" s="550"/>
      <c r="V89" s="551"/>
      <c r="W89" s="584" t="str">
        <f t="shared" si="8"/>
        <v/>
      </c>
      <c r="X89" s="552"/>
      <c r="AC89" s="526"/>
    </row>
    <row r="90" spans="1:29" ht="13.5" hidden="1" thickBot="1" x14ac:dyDescent="0.25">
      <c r="A90" s="169"/>
      <c r="B90" s="554"/>
      <c r="C90" s="166"/>
      <c r="D90" s="163"/>
      <c r="E90" s="167"/>
      <c r="F90" s="168"/>
      <c r="G90" s="166"/>
      <c r="H90" s="163"/>
      <c r="I90" s="167"/>
      <c r="J90" s="168"/>
      <c r="K90" s="166"/>
      <c r="L90" s="163"/>
      <c r="M90" s="167"/>
      <c r="N90" s="168"/>
      <c r="O90" s="166"/>
      <c r="P90" s="163"/>
      <c r="Q90" s="167"/>
      <c r="R90" s="168"/>
      <c r="S90" s="166"/>
      <c r="T90" s="163"/>
      <c r="U90" s="167"/>
      <c r="V90" s="168"/>
      <c r="W90" s="584" t="str">
        <f t="shared" si="8"/>
        <v/>
      </c>
      <c r="X90" s="150"/>
      <c r="AC90" s="526"/>
    </row>
    <row r="91" spans="1:29" ht="13.5" hidden="1" thickBot="1" x14ac:dyDescent="0.25">
      <c r="A91" s="169"/>
      <c r="B91" s="259"/>
      <c r="C91" s="166"/>
      <c r="D91" s="163"/>
      <c r="E91" s="167"/>
      <c r="F91" s="168"/>
      <c r="G91" s="166"/>
      <c r="H91" s="163"/>
      <c r="I91" s="167"/>
      <c r="J91" s="168"/>
      <c r="K91" s="166"/>
      <c r="L91" s="163"/>
      <c r="M91" s="167"/>
      <c r="N91" s="168"/>
      <c r="O91" s="166"/>
      <c r="P91" s="163"/>
      <c r="Q91" s="167"/>
      <c r="R91" s="168"/>
      <c r="S91" s="166"/>
      <c r="T91" s="163"/>
      <c r="U91" s="167"/>
      <c r="V91" s="168"/>
      <c r="W91" s="584" t="str">
        <f t="shared" si="8"/>
        <v/>
      </c>
      <c r="X91" s="150"/>
      <c r="AC91" s="526"/>
    </row>
    <row r="92" spans="1:29" ht="13.5" hidden="1" thickBot="1" x14ac:dyDescent="0.25">
      <c r="A92" s="555"/>
      <c r="B92" s="199"/>
      <c r="C92" s="166"/>
      <c r="D92" s="163"/>
      <c r="E92" s="167"/>
      <c r="F92" s="168"/>
      <c r="G92" s="166"/>
      <c r="H92" s="163"/>
      <c r="I92" s="167"/>
      <c r="J92" s="168"/>
      <c r="K92" s="166"/>
      <c r="L92" s="163"/>
      <c r="M92" s="167"/>
      <c r="N92" s="168"/>
      <c r="O92" s="166"/>
      <c r="P92" s="163"/>
      <c r="Q92" s="167"/>
      <c r="R92" s="168"/>
      <c r="S92" s="166"/>
      <c r="T92" s="163"/>
      <c r="U92" s="167"/>
      <c r="V92" s="168"/>
      <c r="W92" s="584" t="str">
        <f t="shared" si="8"/>
        <v/>
      </c>
      <c r="X92" s="150"/>
    </row>
    <row r="93" spans="1:29" ht="13.5" hidden="1" thickBot="1" x14ac:dyDescent="0.25">
      <c r="A93" s="555"/>
      <c r="B93" s="199"/>
      <c r="C93" s="166"/>
      <c r="D93" s="163"/>
      <c r="E93" s="167"/>
      <c r="F93" s="168"/>
      <c r="G93" s="166"/>
      <c r="H93" s="163"/>
      <c r="I93" s="167"/>
      <c r="J93" s="168"/>
      <c r="K93" s="166"/>
      <c r="L93" s="163"/>
      <c r="M93" s="167"/>
      <c r="N93" s="168"/>
      <c r="O93" s="166"/>
      <c r="P93" s="163"/>
      <c r="Q93" s="167"/>
      <c r="R93" s="168"/>
      <c r="S93" s="166"/>
      <c r="T93" s="163"/>
      <c r="U93" s="167"/>
      <c r="V93" s="168"/>
      <c r="W93" s="584" t="str">
        <f t="shared" si="8"/>
        <v/>
      </c>
      <c r="X93" s="150"/>
    </row>
    <row r="94" spans="1:29" ht="13.5" hidden="1" thickBot="1" x14ac:dyDescent="0.25">
      <c r="A94" s="546"/>
      <c r="B94" s="547"/>
      <c r="C94" s="548"/>
      <c r="D94" s="549"/>
      <c r="E94" s="550"/>
      <c r="F94" s="551"/>
      <c r="G94" s="548"/>
      <c r="H94" s="549"/>
      <c r="I94" s="550"/>
      <c r="J94" s="551"/>
      <c r="K94" s="548"/>
      <c r="L94" s="549"/>
      <c r="M94" s="550"/>
      <c r="N94" s="551"/>
      <c r="O94" s="548"/>
      <c r="P94" s="549"/>
      <c r="Q94" s="550"/>
      <c r="R94" s="551"/>
      <c r="S94" s="548"/>
      <c r="T94" s="549"/>
      <c r="U94" s="550"/>
      <c r="V94" s="551"/>
      <c r="W94" s="584" t="str">
        <f t="shared" si="8"/>
        <v/>
      </c>
      <c r="X94" s="552"/>
      <c r="AC94" s="526"/>
    </row>
    <row r="95" spans="1:29" ht="13.5" hidden="1" thickBot="1" x14ac:dyDescent="0.25">
      <c r="A95" s="546"/>
      <c r="B95" s="547"/>
      <c r="C95" s="548"/>
      <c r="D95" s="549"/>
      <c r="E95" s="550"/>
      <c r="F95" s="551"/>
      <c r="G95" s="548"/>
      <c r="H95" s="549"/>
      <c r="I95" s="550"/>
      <c r="J95" s="551"/>
      <c r="K95" s="548"/>
      <c r="L95" s="549"/>
      <c r="M95" s="550"/>
      <c r="N95" s="551"/>
      <c r="O95" s="548"/>
      <c r="P95" s="549"/>
      <c r="Q95" s="550"/>
      <c r="R95" s="551"/>
      <c r="S95" s="548"/>
      <c r="T95" s="549"/>
      <c r="U95" s="550"/>
      <c r="V95" s="551"/>
      <c r="W95" s="584" t="str">
        <f t="shared" si="8"/>
        <v/>
      </c>
      <c r="X95" s="552"/>
      <c r="AC95" s="526"/>
    </row>
    <row r="96" spans="1:29" ht="13.5" hidden="1" thickBot="1" x14ac:dyDescent="0.25">
      <c r="A96" s="546"/>
      <c r="B96" s="553"/>
      <c r="C96" s="548"/>
      <c r="D96" s="549"/>
      <c r="E96" s="550"/>
      <c r="F96" s="551"/>
      <c r="G96" s="548"/>
      <c r="H96" s="549"/>
      <c r="I96" s="550"/>
      <c r="J96" s="551"/>
      <c r="K96" s="548"/>
      <c r="L96" s="549"/>
      <c r="M96" s="550"/>
      <c r="N96" s="551"/>
      <c r="O96" s="548"/>
      <c r="P96" s="549"/>
      <c r="Q96" s="550"/>
      <c r="R96" s="551"/>
      <c r="S96" s="548"/>
      <c r="T96" s="549"/>
      <c r="U96" s="550"/>
      <c r="V96" s="551"/>
      <c r="W96" s="584" t="str">
        <f t="shared" si="8"/>
        <v/>
      </c>
      <c r="X96" s="552"/>
      <c r="AC96" s="526"/>
    </row>
    <row r="97" spans="1:29" ht="13.5" hidden="1" thickBot="1" x14ac:dyDescent="0.25">
      <c r="A97" s="546"/>
      <c r="B97" s="547"/>
      <c r="C97" s="548"/>
      <c r="D97" s="549"/>
      <c r="E97" s="550"/>
      <c r="F97" s="551"/>
      <c r="G97" s="548"/>
      <c r="H97" s="549"/>
      <c r="I97" s="550"/>
      <c r="J97" s="551"/>
      <c r="K97" s="548"/>
      <c r="L97" s="549"/>
      <c r="M97" s="550"/>
      <c r="N97" s="551"/>
      <c r="O97" s="548"/>
      <c r="P97" s="549"/>
      <c r="Q97" s="550"/>
      <c r="R97" s="551"/>
      <c r="S97" s="548"/>
      <c r="T97" s="549"/>
      <c r="U97" s="550"/>
      <c r="V97" s="551"/>
      <c r="W97" s="584" t="str">
        <f t="shared" si="8"/>
        <v/>
      </c>
      <c r="X97" s="552"/>
      <c r="AC97" s="526"/>
    </row>
    <row r="98" spans="1:29" ht="13.5" hidden="1" thickBot="1" x14ac:dyDescent="0.25">
      <c r="A98" s="169"/>
      <c r="B98" s="554"/>
      <c r="C98" s="166"/>
      <c r="D98" s="163"/>
      <c r="E98" s="167"/>
      <c r="F98" s="168"/>
      <c r="G98" s="166"/>
      <c r="H98" s="163"/>
      <c r="I98" s="167"/>
      <c r="J98" s="168"/>
      <c r="K98" s="166"/>
      <c r="L98" s="163"/>
      <c r="M98" s="167"/>
      <c r="N98" s="168"/>
      <c r="O98" s="166"/>
      <c r="P98" s="163"/>
      <c r="Q98" s="167"/>
      <c r="R98" s="168"/>
      <c r="S98" s="166"/>
      <c r="T98" s="163"/>
      <c r="U98" s="167"/>
      <c r="V98" s="168"/>
      <c r="W98" s="584" t="str">
        <f t="shared" si="8"/>
        <v/>
      </c>
      <c r="X98" s="150"/>
      <c r="AC98" s="526"/>
    </row>
    <row r="99" spans="1:29" ht="13.5" hidden="1" thickBot="1" x14ac:dyDescent="0.25">
      <c r="A99" s="169"/>
      <c r="B99" s="259"/>
      <c r="C99" s="166"/>
      <c r="D99" s="163"/>
      <c r="E99" s="167"/>
      <c r="F99" s="168"/>
      <c r="G99" s="166"/>
      <c r="H99" s="163"/>
      <c r="I99" s="167"/>
      <c r="J99" s="168"/>
      <c r="K99" s="166"/>
      <c r="L99" s="163"/>
      <c r="M99" s="167"/>
      <c r="N99" s="168"/>
      <c r="O99" s="166"/>
      <c r="P99" s="163"/>
      <c r="Q99" s="167"/>
      <c r="R99" s="168"/>
      <c r="S99" s="166"/>
      <c r="T99" s="163"/>
      <c r="U99" s="167"/>
      <c r="V99" s="168"/>
      <c r="W99" s="584" t="str">
        <f t="shared" si="8"/>
        <v/>
      </c>
      <c r="X99" s="150"/>
      <c r="AC99" s="526"/>
    </row>
    <row r="100" spans="1:29" ht="13.5" hidden="1" thickBot="1" x14ac:dyDescent="0.25">
      <c r="A100" s="555"/>
      <c r="B100" s="199"/>
      <c r="C100" s="166"/>
      <c r="D100" s="163"/>
      <c r="E100" s="167"/>
      <c r="F100" s="168"/>
      <c r="G100" s="166"/>
      <c r="H100" s="163"/>
      <c r="I100" s="167"/>
      <c r="J100" s="168"/>
      <c r="K100" s="166"/>
      <c r="L100" s="163"/>
      <c r="M100" s="167"/>
      <c r="N100" s="168"/>
      <c r="O100" s="166"/>
      <c r="P100" s="163"/>
      <c r="Q100" s="167"/>
      <c r="R100" s="168"/>
      <c r="S100" s="166"/>
      <c r="T100" s="163"/>
      <c r="U100" s="167"/>
      <c r="V100" s="168"/>
      <c r="W100" s="584" t="str">
        <f t="shared" si="8"/>
        <v/>
      </c>
      <c r="X100" s="150"/>
    </row>
    <row r="101" spans="1:29" ht="13.5" hidden="1" thickBot="1" x14ac:dyDescent="0.25">
      <c r="A101" s="555"/>
      <c r="B101" s="199"/>
      <c r="C101" s="166"/>
      <c r="D101" s="163"/>
      <c r="E101" s="167"/>
      <c r="F101" s="168"/>
      <c r="G101" s="166"/>
      <c r="H101" s="163"/>
      <c r="I101" s="167"/>
      <c r="J101" s="168"/>
      <c r="K101" s="166"/>
      <c r="L101" s="163"/>
      <c r="M101" s="167"/>
      <c r="N101" s="168"/>
      <c r="O101" s="166"/>
      <c r="P101" s="163"/>
      <c r="Q101" s="167"/>
      <c r="R101" s="168"/>
      <c r="S101" s="166"/>
      <c r="T101" s="163"/>
      <c r="U101" s="167"/>
      <c r="V101" s="168"/>
      <c r="W101" s="584" t="str">
        <f t="shared" si="8"/>
        <v/>
      </c>
      <c r="X101" s="150"/>
    </row>
    <row r="102" spans="1:29" ht="13.5" hidden="1" thickBot="1" x14ac:dyDescent="0.25">
      <c r="A102" s="546"/>
      <c r="B102" s="553"/>
      <c r="C102" s="548"/>
      <c r="D102" s="549"/>
      <c r="E102" s="550"/>
      <c r="F102" s="551"/>
      <c r="G102" s="548"/>
      <c r="H102" s="549"/>
      <c r="I102" s="550"/>
      <c r="J102" s="551"/>
      <c r="K102" s="548"/>
      <c r="L102" s="549"/>
      <c r="M102" s="550"/>
      <c r="N102" s="551"/>
      <c r="O102" s="548"/>
      <c r="P102" s="549"/>
      <c r="Q102" s="550"/>
      <c r="R102" s="551"/>
      <c r="S102" s="548"/>
      <c r="T102" s="549"/>
      <c r="U102" s="550"/>
      <c r="V102" s="551"/>
      <c r="W102" s="584" t="str">
        <f t="shared" si="8"/>
        <v/>
      </c>
      <c r="X102" s="552"/>
    </row>
    <row r="103" spans="1:29" ht="13.5" hidden="1" thickBot="1" x14ac:dyDescent="0.25">
      <c r="A103" s="546"/>
      <c r="B103" s="553"/>
      <c r="C103" s="548"/>
      <c r="D103" s="549"/>
      <c r="E103" s="550"/>
      <c r="F103" s="551"/>
      <c r="G103" s="548"/>
      <c r="H103" s="549"/>
      <c r="I103" s="550"/>
      <c r="J103" s="551"/>
      <c r="K103" s="548"/>
      <c r="L103" s="549"/>
      <c r="M103" s="550"/>
      <c r="N103" s="551"/>
      <c r="O103" s="548"/>
      <c r="P103" s="549"/>
      <c r="Q103" s="550"/>
      <c r="R103" s="551"/>
      <c r="S103" s="548"/>
      <c r="T103" s="549"/>
      <c r="U103" s="550"/>
      <c r="V103" s="551"/>
      <c r="W103" s="584" t="str">
        <f t="shared" si="8"/>
        <v/>
      </c>
      <c r="X103" s="552"/>
    </row>
    <row r="104" spans="1:29" ht="13.5" hidden="1" thickBot="1" x14ac:dyDescent="0.25">
      <c r="A104" s="546"/>
      <c r="B104" s="547"/>
      <c r="C104" s="548"/>
      <c r="D104" s="549"/>
      <c r="E104" s="550"/>
      <c r="F104" s="551"/>
      <c r="G104" s="548"/>
      <c r="H104" s="549"/>
      <c r="I104" s="550"/>
      <c r="J104" s="551"/>
      <c r="K104" s="548"/>
      <c r="L104" s="549"/>
      <c r="M104" s="550"/>
      <c r="N104" s="551"/>
      <c r="O104" s="548"/>
      <c r="P104" s="549"/>
      <c r="Q104" s="550"/>
      <c r="R104" s="551"/>
      <c r="S104" s="548"/>
      <c r="T104" s="549"/>
      <c r="U104" s="550"/>
      <c r="V104" s="551"/>
      <c r="W104" s="584" t="str">
        <f t="shared" si="8"/>
        <v/>
      </c>
      <c r="X104" s="552"/>
    </row>
    <row r="105" spans="1:29" ht="13.5" hidden="1" thickBot="1" x14ac:dyDescent="0.25">
      <c r="A105" s="546"/>
      <c r="B105" s="556"/>
      <c r="C105" s="548"/>
      <c r="D105" s="549"/>
      <c r="E105" s="550"/>
      <c r="F105" s="551"/>
      <c r="G105" s="548"/>
      <c r="H105" s="549"/>
      <c r="I105" s="550"/>
      <c r="J105" s="551"/>
      <c r="K105" s="548"/>
      <c r="L105" s="549"/>
      <c r="M105" s="550"/>
      <c r="N105" s="551"/>
      <c r="O105" s="548"/>
      <c r="P105" s="549"/>
      <c r="Q105" s="550"/>
      <c r="R105" s="551"/>
      <c r="S105" s="548"/>
      <c r="T105" s="549"/>
      <c r="U105" s="550"/>
      <c r="V105" s="551"/>
      <c r="W105" s="584" t="str">
        <f t="shared" si="8"/>
        <v/>
      </c>
      <c r="X105" s="552"/>
    </row>
    <row r="106" spans="1:29" ht="13.5" hidden="1" thickBot="1" x14ac:dyDescent="0.25">
      <c r="A106" s="169"/>
      <c r="B106" s="554"/>
      <c r="C106" s="166"/>
      <c r="D106" s="163"/>
      <c r="E106" s="167"/>
      <c r="F106" s="168"/>
      <c r="G106" s="166"/>
      <c r="H106" s="163"/>
      <c r="I106" s="167"/>
      <c r="J106" s="168"/>
      <c r="K106" s="166"/>
      <c r="L106" s="163"/>
      <c r="M106" s="167"/>
      <c r="N106" s="168"/>
      <c r="O106" s="166"/>
      <c r="P106" s="163"/>
      <c r="Q106" s="167"/>
      <c r="R106" s="168"/>
      <c r="S106" s="166"/>
      <c r="T106" s="163"/>
      <c r="U106" s="167"/>
      <c r="V106" s="168"/>
      <c r="W106" s="584" t="str">
        <f t="shared" ref="W106:W109" si="9">IF(COUNTA(C106:V106)=0,"",SUM(C106:V106)+COUNTIF(C106:V106,5)/100+COUNTIF(C106:V106,3)/10000)</f>
        <v/>
      </c>
      <c r="X106" s="150"/>
      <c r="AC106" s="526"/>
    </row>
    <row r="107" spans="1:29" ht="13.5" hidden="1" thickBot="1" x14ac:dyDescent="0.25">
      <c r="A107" s="169"/>
      <c r="B107" s="259"/>
      <c r="C107" s="166"/>
      <c r="D107" s="163"/>
      <c r="E107" s="167"/>
      <c r="F107" s="168"/>
      <c r="G107" s="166"/>
      <c r="H107" s="163"/>
      <c r="I107" s="167"/>
      <c r="J107" s="168"/>
      <c r="K107" s="166"/>
      <c r="L107" s="163"/>
      <c r="M107" s="167"/>
      <c r="N107" s="168"/>
      <c r="O107" s="166"/>
      <c r="P107" s="163"/>
      <c r="Q107" s="167"/>
      <c r="R107" s="168"/>
      <c r="S107" s="166"/>
      <c r="T107" s="163"/>
      <c r="U107" s="167"/>
      <c r="V107" s="168"/>
      <c r="W107" s="584" t="str">
        <f t="shared" si="9"/>
        <v/>
      </c>
      <c r="X107" s="150"/>
      <c r="AC107" s="526"/>
    </row>
    <row r="108" spans="1:29" ht="13.5" hidden="1" thickBot="1" x14ac:dyDescent="0.25">
      <c r="A108" s="555"/>
      <c r="B108" s="199"/>
      <c r="C108" s="166"/>
      <c r="D108" s="163"/>
      <c r="E108" s="167"/>
      <c r="F108" s="168"/>
      <c r="G108" s="166"/>
      <c r="H108" s="163"/>
      <c r="I108" s="167"/>
      <c r="J108" s="168"/>
      <c r="K108" s="166"/>
      <c r="L108" s="163"/>
      <c r="M108" s="167"/>
      <c r="N108" s="168"/>
      <c r="O108" s="166"/>
      <c r="P108" s="163"/>
      <c r="Q108" s="167"/>
      <c r="R108" s="168"/>
      <c r="S108" s="166"/>
      <c r="T108" s="163"/>
      <c r="U108" s="167"/>
      <c r="V108" s="168"/>
      <c r="W108" s="584" t="str">
        <f t="shared" si="9"/>
        <v/>
      </c>
      <c r="X108" s="150"/>
    </row>
    <row r="109" spans="1:29" ht="13.5" hidden="1" thickBot="1" x14ac:dyDescent="0.25">
      <c r="A109" s="557"/>
      <c r="B109" s="558"/>
      <c r="C109" s="559"/>
      <c r="D109" s="190"/>
      <c r="E109" s="560"/>
      <c r="F109" s="561"/>
      <c r="G109" s="559"/>
      <c r="H109" s="190"/>
      <c r="I109" s="560"/>
      <c r="J109" s="561"/>
      <c r="K109" s="559"/>
      <c r="L109" s="190"/>
      <c r="M109" s="560"/>
      <c r="N109" s="561"/>
      <c r="O109" s="559"/>
      <c r="P109" s="190"/>
      <c r="Q109" s="560"/>
      <c r="R109" s="561"/>
      <c r="S109" s="559"/>
      <c r="T109" s="190"/>
      <c r="U109" s="560"/>
      <c r="V109" s="561"/>
      <c r="W109" s="591" t="str">
        <f t="shared" si="9"/>
        <v/>
      </c>
      <c r="X109" s="159"/>
    </row>
    <row r="110" spans="1:29" x14ac:dyDescent="0.2">
      <c r="A110" s="544"/>
      <c r="B110" s="246" t="s">
        <v>214</v>
      </c>
      <c r="C110" s="247"/>
      <c r="D110" s="248"/>
      <c r="E110" s="248"/>
      <c r="F110" s="249"/>
      <c r="G110" s="247"/>
      <c r="H110" s="248"/>
      <c r="I110" s="248"/>
      <c r="J110" s="249"/>
      <c r="K110" s="247"/>
      <c r="L110" s="248"/>
      <c r="M110" s="248"/>
      <c r="N110" s="249"/>
      <c r="O110" s="247"/>
      <c r="P110" s="248"/>
      <c r="Q110" s="248"/>
      <c r="R110" s="249"/>
      <c r="S110" s="247"/>
      <c r="T110" s="248"/>
      <c r="U110" s="248"/>
      <c r="V110" s="249"/>
      <c r="W110" s="673" t="str">
        <f t="shared" si="2"/>
        <v/>
      </c>
      <c r="X110" s="250"/>
      <c r="Y110" s="511"/>
      <c r="Z110" s="148"/>
      <c r="AA110" s="149" t="s">
        <v>215</v>
      </c>
      <c r="AB110" s="149" t="s">
        <v>216</v>
      </c>
    </row>
    <row r="111" spans="1:29" x14ac:dyDescent="0.2">
      <c r="A111" s="556">
        <v>4</v>
      </c>
      <c r="B111" s="580"/>
      <c r="C111" s="581"/>
      <c r="D111" s="582"/>
      <c r="E111" s="582"/>
      <c r="F111" s="583"/>
      <c r="G111" s="581"/>
      <c r="H111" s="582"/>
      <c r="I111" s="582"/>
      <c r="J111" s="583"/>
      <c r="K111" s="581"/>
      <c r="L111" s="582"/>
      <c r="M111" s="582"/>
      <c r="N111" s="583"/>
      <c r="O111" s="581"/>
      <c r="P111" s="582"/>
      <c r="Q111" s="582"/>
      <c r="R111" s="583"/>
      <c r="S111" s="581"/>
      <c r="T111" s="582"/>
      <c r="U111" s="582"/>
      <c r="V111" s="583"/>
      <c r="W111" s="584" t="str">
        <f t="shared" si="2"/>
        <v/>
      </c>
      <c r="X111" s="585" t="str">
        <f>IF(ISBLANK(C111),"",IF(W111=W112,"edasi "&amp;RANK(W111,$AB$111:$AB$118),(IF(RANK(Z111,$Z$111:$Z$112)&lt;2,"edasi "&amp;RANK(W111,$AB$111:$AB$118),RANK(W111,$AA$111:$AA$118)+4))))</f>
        <v/>
      </c>
      <c r="Z111" s="151">
        <f>IF(COUNTA(C111:V111)=0,100,W111+IF(RANK(W111,$W$111:$W$112)=1,100,0))</f>
        <v>100</v>
      </c>
      <c r="AA111" s="149">
        <f>MIN(W111:W112)</f>
        <v>0</v>
      </c>
      <c r="AB111" s="149">
        <f>MAX(W111:W112)</f>
        <v>0</v>
      </c>
    </row>
    <row r="112" spans="1:29" x14ac:dyDescent="0.2">
      <c r="A112" s="556">
        <v>5</v>
      </c>
      <c r="B112" s="586"/>
      <c r="C112" s="581"/>
      <c r="D112" s="582"/>
      <c r="E112" s="582"/>
      <c r="F112" s="583"/>
      <c r="G112" s="581"/>
      <c r="H112" s="582"/>
      <c r="I112" s="582"/>
      <c r="J112" s="583"/>
      <c r="K112" s="581"/>
      <c r="L112" s="582"/>
      <c r="M112" s="582"/>
      <c r="N112" s="583"/>
      <c r="O112" s="581"/>
      <c r="P112" s="582"/>
      <c r="Q112" s="582"/>
      <c r="R112" s="583"/>
      <c r="S112" s="581"/>
      <c r="T112" s="582"/>
      <c r="U112" s="582"/>
      <c r="V112" s="583"/>
      <c r="W112" s="584" t="str">
        <f t="shared" si="2"/>
        <v/>
      </c>
      <c r="X112" s="585" t="str">
        <f>IF(ISBLANK(C112),"",IF(RANK(Z112,$Z$111:$Z$112)&lt;2,"edasi "&amp;RANK(W112,$AB$111:$AB$118),RANK(W112,$AA$111:$AA$118)+4))</f>
        <v/>
      </c>
      <c r="Z112" s="152">
        <f>IF(COUNTA(C112:V112)=0,0,W112+IF(RANK(W112,$W$111:$W$112)=1,100,0))</f>
        <v>0</v>
      </c>
      <c r="AA112" s="149"/>
      <c r="AB112" s="149"/>
    </row>
    <row r="113" spans="1:29" x14ac:dyDescent="0.2">
      <c r="A113" s="173">
        <v>3</v>
      </c>
      <c r="B113" s="193"/>
      <c r="C113" s="144"/>
      <c r="D113" s="145"/>
      <c r="E113" s="145"/>
      <c r="F113" s="146"/>
      <c r="G113" s="144"/>
      <c r="H113" s="145"/>
      <c r="I113" s="145"/>
      <c r="J113" s="146"/>
      <c r="K113" s="144"/>
      <c r="L113" s="145"/>
      <c r="M113" s="145"/>
      <c r="N113" s="146"/>
      <c r="O113" s="144"/>
      <c r="P113" s="145"/>
      <c r="Q113" s="145"/>
      <c r="R113" s="146"/>
      <c r="S113" s="144"/>
      <c r="T113" s="145"/>
      <c r="U113" s="145"/>
      <c r="V113" s="146"/>
      <c r="W113" s="584" t="str">
        <f t="shared" si="2"/>
        <v/>
      </c>
      <c r="X113" s="147" t="str">
        <f>IF(ISBLANK(C113),"",IF(RANK(Z113,$Z$113:$Z$114)&lt;2,"edasi "&amp;RANK(W113,$AB$111:$AB$118),RANK(W113,$AA$111:$AA$118)+4))</f>
        <v/>
      </c>
      <c r="Z113" s="151">
        <f>IF(COUNTA(C113:V113)=0,100,W113+IF(RANK(W113,$W$113:$W$114)=1,100,0))</f>
        <v>100</v>
      </c>
      <c r="AA113" s="149">
        <f>MIN(W113:W114)</f>
        <v>0</v>
      </c>
      <c r="AB113" s="149">
        <f>MAX(W113:W114)</f>
        <v>0</v>
      </c>
    </row>
    <row r="114" spans="1:29" x14ac:dyDescent="0.2">
      <c r="A114" s="173">
        <v>6</v>
      </c>
      <c r="B114" s="196"/>
      <c r="C114" s="144"/>
      <c r="D114" s="145"/>
      <c r="E114" s="145"/>
      <c r="F114" s="146"/>
      <c r="G114" s="144"/>
      <c r="H114" s="145"/>
      <c r="I114" s="145"/>
      <c r="J114" s="146"/>
      <c r="K114" s="144"/>
      <c r="L114" s="145"/>
      <c r="M114" s="145"/>
      <c r="N114" s="146"/>
      <c r="O114" s="144"/>
      <c r="P114" s="145"/>
      <c r="Q114" s="145"/>
      <c r="R114" s="146"/>
      <c r="S114" s="144"/>
      <c r="T114" s="145"/>
      <c r="U114" s="145"/>
      <c r="V114" s="146"/>
      <c r="W114" s="584" t="str">
        <f t="shared" si="2"/>
        <v/>
      </c>
      <c r="X114" s="147" t="str">
        <f>IF(ISBLANK(C114),"",IF(RANK(Z114,$Z$113:$Z$114)&lt;2,"edasi "&amp;RANK(W114,$AB$111:$AB$118),RANK(W114,$AA$111:$AA$118)+4))</f>
        <v/>
      </c>
      <c r="Z114" s="152">
        <f>IF(COUNTA(C114:V114)=0,0,W114+IF(RANK(W114,$W$113:$W$114)=1,100,0))</f>
        <v>0</v>
      </c>
      <c r="AA114" s="149"/>
      <c r="AB114" s="149"/>
    </row>
    <row r="115" spans="1:29" x14ac:dyDescent="0.2">
      <c r="A115" s="556">
        <v>2</v>
      </c>
      <c r="B115" s="674"/>
      <c r="C115" s="581"/>
      <c r="D115" s="582"/>
      <c r="E115" s="582"/>
      <c r="F115" s="583"/>
      <c r="G115" s="581"/>
      <c r="H115" s="582"/>
      <c r="I115" s="582"/>
      <c r="J115" s="583"/>
      <c r="K115" s="581"/>
      <c r="L115" s="582"/>
      <c r="M115" s="582"/>
      <c r="N115" s="583"/>
      <c r="O115" s="581"/>
      <c r="P115" s="582"/>
      <c r="Q115" s="582"/>
      <c r="R115" s="583"/>
      <c r="S115" s="581"/>
      <c r="T115" s="582"/>
      <c r="U115" s="582"/>
      <c r="V115" s="583"/>
      <c r="W115" s="584" t="str">
        <f t="shared" si="2"/>
        <v/>
      </c>
      <c r="X115" s="585" t="str">
        <f>IF(ISBLANK(C115),"",IF(RANK(Z115,$Z$115:$Z$116)&lt;2,"edasi "&amp;RANK(W115,$AB$111:$AB$118),RANK(W115,$AA$111:$AA$118)+4))</f>
        <v/>
      </c>
      <c r="Z115" s="151">
        <f>IF(COUNTA(C115:V115)=0,100,W115+IF(RANK(W115,$W$115:$W$116)=1,100,0))</f>
        <v>100</v>
      </c>
      <c r="AA115" s="149">
        <f>MIN(W115:W116)</f>
        <v>0</v>
      </c>
      <c r="AB115" s="149">
        <f>MAX(W115:W116)</f>
        <v>0</v>
      </c>
    </row>
    <row r="116" spans="1:29" x14ac:dyDescent="0.2">
      <c r="A116" s="556">
        <v>7</v>
      </c>
      <c r="B116" s="588"/>
      <c r="C116" s="581"/>
      <c r="D116" s="582"/>
      <c r="E116" s="582"/>
      <c r="F116" s="583"/>
      <c r="G116" s="581"/>
      <c r="H116" s="582"/>
      <c r="I116" s="582"/>
      <c r="J116" s="583"/>
      <c r="K116" s="581"/>
      <c r="L116" s="582"/>
      <c r="M116" s="582"/>
      <c r="N116" s="583"/>
      <c r="O116" s="581"/>
      <c r="P116" s="582"/>
      <c r="Q116" s="582"/>
      <c r="R116" s="583"/>
      <c r="S116" s="581"/>
      <c r="T116" s="582"/>
      <c r="U116" s="582"/>
      <c r="V116" s="583"/>
      <c r="W116" s="584" t="str">
        <f t="shared" si="2"/>
        <v/>
      </c>
      <c r="X116" s="585" t="str">
        <f>IF(ISBLANK(C116),"",IF(RANK(Z116,$Z$115:$Z$116)&lt;2,"edasi "&amp;RANK(W116,$AB$111:$AB$118),RANK(W116,$AA$111:$AA$118)+4))</f>
        <v/>
      </c>
      <c r="Z116" s="152">
        <f>IF(COUNTA(C116:V116)=0,0,W116+IF(RANK(W116,$W$115:$W$116)=1,100,0))</f>
        <v>0</v>
      </c>
      <c r="AA116" s="149"/>
      <c r="AB116" s="149"/>
    </row>
    <row r="117" spans="1:29" x14ac:dyDescent="0.2">
      <c r="A117" s="173">
        <v>1</v>
      </c>
      <c r="B117" s="589"/>
      <c r="C117" s="144"/>
      <c r="D117" s="145"/>
      <c r="E117" s="145"/>
      <c r="F117" s="146"/>
      <c r="G117" s="144"/>
      <c r="H117" s="145"/>
      <c r="I117" s="145"/>
      <c r="J117" s="146"/>
      <c r="K117" s="144"/>
      <c r="L117" s="145"/>
      <c r="M117" s="145"/>
      <c r="N117" s="146"/>
      <c r="O117" s="144"/>
      <c r="P117" s="145"/>
      <c r="Q117" s="145"/>
      <c r="R117" s="146"/>
      <c r="S117" s="144"/>
      <c r="T117" s="145"/>
      <c r="U117" s="145"/>
      <c r="V117" s="146"/>
      <c r="W117" s="584" t="str">
        <f t="shared" si="2"/>
        <v/>
      </c>
      <c r="X117" s="147" t="str">
        <f>IF(ISBLANK(C117),"",IF(RANK(Z117,$Z$117:$Z$118)&lt;2,"edasi "&amp;RANK(W117,$AB$111:$AB$118),RANK(W117,$AA$111:$AA$118)+4))</f>
        <v/>
      </c>
      <c r="Z117" s="151">
        <f>IF(COUNTA(C117:V117)=0,100,W117+IF(RANK(W117,$W$117:$W$118)=1,100,0))</f>
        <v>100</v>
      </c>
      <c r="AA117" s="149">
        <f>MIN(W117:W118)</f>
        <v>0</v>
      </c>
      <c r="AB117" s="149">
        <f>MAX(W117:W118)</f>
        <v>0</v>
      </c>
    </row>
    <row r="118" spans="1:29" ht="13.5" thickBot="1" x14ac:dyDescent="0.25">
      <c r="A118" s="177">
        <v>8</v>
      </c>
      <c r="B118" s="590"/>
      <c r="C118" s="156"/>
      <c r="D118" s="157"/>
      <c r="E118" s="157"/>
      <c r="F118" s="158"/>
      <c r="G118" s="156"/>
      <c r="H118" s="157"/>
      <c r="I118" s="157"/>
      <c r="J118" s="158"/>
      <c r="K118" s="156"/>
      <c r="L118" s="157"/>
      <c r="M118" s="157"/>
      <c r="N118" s="158"/>
      <c r="O118" s="156"/>
      <c r="P118" s="157"/>
      <c r="Q118" s="157"/>
      <c r="R118" s="158"/>
      <c r="S118" s="156"/>
      <c r="T118" s="157"/>
      <c r="U118" s="157"/>
      <c r="V118" s="158"/>
      <c r="W118" s="591" t="str">
        <f t="shared" si="2"/>
        <v/>
      </c>
      <c r="X118" s="592" t="str">
        <f>IF(ISBLANK(C118),"",IF(RANK(Z118,$Z$117:$Z$118)&lt;2,"edasi "&amp;RANK(W118,$AB$111:$AB$118),RANK(W118,$AA$111:$AA$118)+4))</f>
        <v/>
      </c>
      <c r="Z118" s="152">
        <f>IF(COUNTA(C118:V118)=0,0,W118+IF(RANK(W118,$W$117:$W$118)=1,100,0))</f>
        <v>0</v>
      </c>
      <c r="AA118" s="149"/>
      <c r="AB118" s="149"/>
    </row>
    <row r="119" spans="1:29" x14ac:dyDescent="0.2">
      <c r="A119" s="544"/>
      <c r="B119" s="545" t="s">
        <v>718</v>
      </c>
      <c r="C119" s="144"/>
      <c r="D119" s="145"/>
      <c r="E119" s="145"/>
      <c r="F119" s="146"/>
      <c r="G119" s="144"/>
      <c r="H119" s="145"/>
      <c r="I119" s="145"/>
      <c r="J119" s="146"/>
      <c r="K119" s="144"/>
      <c r="L119" s="145"/>
      <c r="M119" s="145"/>
      <c r="N119" s="146"/>
      <c r="O119" s="144"/>
      <c r="P119" s="145"/>
      <c r="Q119" s="145"/>
      <c r="R119" s="146"/>
      <c r="S119" s="144"/>
      <c r="T119" s="145"/>
      <c r="U119" s="145"/>
      <c r="V119" s="146"/>
      <c r="W119" s="661"/>
      <c r="X119" s="250"/>
      <c r="Z119" s="153"/>
      <c r="AA119" s="154"/>
      <c r="AB119" s="154"/>
    </row>
    <row r="120" spans="1:29" x14ac:dyDescent="0.2">
      <c r="A120" s="546"/>
      <c r="B120" s="593"/>
      <c r="C120" s="548"/>
      <c r="D120" s="549"/>
      <c r="E120" s="550"/>
      <c r="F120" s="551"/>
      <c r="G120" s="548"/>
      <c r="H120" s="549"/>
      <c r="I120" s="550"/>
      <c r="J120" s="551"/>
      <c r="K120" s="548"/>
      <c r="L120" s="549"/>
      <c r="M120" s="550"/>
      <c r="N120" s="551"/>
      <c r="O120" s="548"/>
      <c r="P120" s="594"/>
      <c r="Q120" s="550"/>
      <c r="R120" s="551"/>
      <c r="S120" s="548"/>
      <c r="T120" s="594"/>
      <c r="U120" s="550"/>
      <c r="V120" s="551"/>
      <c r="W120" s="584" t="str">
        <f t="shared" ref="W120:W121" si="10">IF(COUNTA(C120:V120)=0,"",SUM(C120:V120)+COUNTIF(C120:V120,5)/100+COUNTIF(C120:V120,3)/10000)</f>
        <v/>
      </c>
      <c r="X120" s="552"/>
      <c r="Z120" s="153"/>
      <c r="AA120" s="154"/>
      <c r="AB120" s="154"/>
      <c r="AC120" s="595"/>
    </row>
    <row r="121" spans="1:29" ht="13.5" thickBot="1" x14ac:dyDescent="0.25">
      <c r="A121" s="546"/>
      <c r="B121" s="593"/>
      <c r="C121" s="548"/>
      <c r="D121" s="549"/>
      <c r="E121" s="550"/>
      <c r="F121" s="551"/>
      <c r="G121" s="548"/>
      <c r="H121" s="549"/>
      <c r="I121" s="550"/>
      <c r="J121" s="551"/>
      <c r="K121" s="548"/>
      <c r="L121" s="549"/>
      <c r="M121" s="550"/>
      <c r="N121" s="551"/>
      <c r="O121" s="548"/>
      <c r="P121" s="549"/>
      <c r="Q121" s="550"/>
      <c r="R121" s="551"/>
      <c r="S121" s="548"/>
      <c r="T121" s="594"/>
      <c r="U121" s="550"/>
      <c r="V121" s="551"/>
      <c r="W121" s="584" t="str">
        <f t="shared" si="10"/>
        <v/>
      </c>
      <c r="X121" s="552"/>
      <c r="Z121" s="153"/>
      <c r="AA121" s="154"/>
      <c r="AB121" s="154"/>
    </row>
    <row r="122" spans="1:29" x14ac:dyDescent="0.2">
      <c r="A122" s="544"/>
      <c r="B122" s="246" t="s">
        <v>217</v>
      </c>
      <c r="C122" s="247"/>
      <c r="D122" s="248"/>
      <c r="E122" s="248"/>
      <c r="F122" s="249"/>
      <c r="G122" s="247"/>
      <c r="H122" s="248"/>
      <c r="I122" s="248"/>
      <c r="J122" s="249"/>
      <c r="K122" s="247"/>
      <c r="L122" s="248"/>
      <c r="M122" s="248"/>
      <c r="N122" s="249"/>
      <c r="O122" s="247"/>
      <c r="P122" s="248"/>
      <c r="Q122" s="248"/>
      <c r="R122" s="249"/>
      <c r="S122" s="247"/>
      <c r="T122" s="248"/>
      <c r="U122" s="248"/>
      <c r="V122" s="249"/>
      <c r="W122" s="673" t="str">
        <f t="shared" si="2"/>
        <v/>
      </c>
      <c r="X122" s="250"/>
    </row>
    <row r="123" spans="1:29" x14ac:dyDescent="0.2">
      <c r="A123" s="556">
        <v>1</v>
      </c>
      <c r="B123" s="588"/>
      <c r="C123" s="581"/>
      <c r="D123" s="582"/>
      <c r="E123" s="582"/>
      <c r="F123" s="583"/>
      <c r="G123" s="581"/>
      <c r="H123" s="582"/>
      <c r="I123" s="582"/>
      <c r="J123" s="583"/>
      <c r="K123" s="581"/>
      <c r="L123" s="582"/>
      <c r="M123" s="582"/>
      <c r="N123" s="583"/>
      <c r="O123" s="581"/>
      <c r="P123" s="582"/>
      <c r="Q123" s="582"/>
      <c r="R123" s="583"/>
      <c r="S123" s="581"/>
      <c r="T123" s="582"/>
      <c r="U123" s="582"/>
      <c r="V123" s="583"/>
      <c r="W123" s="584" t="str">
        <f t="shared" si="2"/>
        <v/>
      </c>
      <c r="X123" s="585" t="str">
        <f>IF(COUNTA(C123:V123)=0,"",IF(W123=W124,"ümbervisk",IF(W123&gt;W124,"finaali "&amp;(IF(W123&lt;MAX(W125:W126),2,IF(W123=MAX(W125:W126),"",1))),"pronksi "&amp;(IF(W123&lt;MIN(W125:W126),2,IF(W123=MIN(W125:W126),"",1))))))</f>
        <v/>
      </c>
    </row>
    <row r="124" spans="1:29" x14ac:dyDescent="0.2">
      <c r="A124" s="556">
        <v>4</v>
      </c>
      <c r="B124" s="586"/>
      <c r="C124" s="581"/>
      <c r="D124" s="582"/>
      <c r="E124" s="582"/>
      <c r="F124" s="583"/>
      <c r="G124" s="581"/>
      <c r="H124" s="582"/>
      <c r="I124" s="582"/>
      <c r="J124" s="583"/>
      <c r="K124" s="581"/>
      <c r="L124" s="582"/>
      <c r="M124" s="582"/>
      <c r="N124" s="583"/>
      <c r="O124" s="581"/>
      <c r="P124" s="582"/>
      <c r="Q124" s="582"/>
      <c r="R124" s="583"/>
      <c r="S124" s="581"/>
      <c r="T124" s="582"/>
      <c r="U124" s="582"/>
      <c r="V124" s="583"/>
      <c r="W124" s="584" t="str">
        <f t="shared" si="2"/>
        <v/>
      </c>
      <c r="X124" s="585" t="str">
        <f>IF(COUNTA(C124:V124)=0,"",IF(W123=W124,"ümbervisk",IF(W124&gt;W123,"finaali "&amp;(IF(W124&lt;MAX(W125:W126),2,IF(W124=MAX(W125:W126),"",1))),"pronksi "&amp;(IF(W124&lt;MIN(W125:W126),2,IF(W124=MIN(W125:W126),"",1))))))</f>
        <v/>
      </c>
    </row>
    <row r="125" spans="1:29" x14ac:dyDescent="0.2">
      <c r="A125" s="173">
        <v>2</v>
      </c>
      <c r="B125" s="589"/>
      <c r="C125" s="144"/>
      <c r="D125" s="145"/>
      <c r="E125" s="145"/>
      <c r="F125" s="146"/>
      <c r="G125" s="144"/>
      <c r="H125" s="145"/>
      <c r="I125" s="145"/>
      <c r="J125" s="146"/>
      <c r="K125" s="144"/>
      <c r="L125" s="145"/>
      <c r="M125" s="145"/>
      <c r="N125" s="146"/>
      <c r="O125" s="144"/>
      <c r="P125" s="145"/>
      <c r="Q125" s="145"/>
      <c r="R125" s="146"/>
      <c r="S125" s="144"/>
      <c r="T125" s="145"/>
      <c r="U125" s="145"/>
      <c r="V125" s="146"/>
      <c r="W125" s="584" t="str">
        <f t="shared" si="2"/>
        <v/>
      </c>
      <c r="X125" s="147" t="str">
        <f>IF(COUNTA(C125:V125)=0,"",IF(W125=W126,"ümbervisk",IF(W125&gt;W126,"finaali "&amp;(IF(W125&lt;MAX(W123:W124),2,IF(W125=MAX(W123:W124),"",1))),"pronksi "&amp;(IF(W125&lt;MIN(W123:W124),2,IF(W125=MIN(W123:W124),"",1))))))</f>
        <v/>
      </c>
    </row>
    <row r="126" spans="1:29" ht="13.5" thickBot="1" x14ac:dyDescent="0.25">
      <c r="A126" s="177">
        <v>3</v>
      </c>
      <c r="B126" s="590"/>
      <c r="C126" s="156"/>
      <c r="D126" s="157"/>
      <c r="E126" s="157"/>
      <c r="F126" s="158"/>
      <c r="G126" s="156"/>
      <c r="H126" s="157"/>
      <c r="I126" s="157"/>
      <c r="J126" s="158"/>
      <c r="K126" s="156"/>
      <c r="L126" s="157"/>
      <c r="M126" s="157"/>
      <c r="N126" s="158"/>
      <c r="O126" s="156"/>
      <c r="P126" s="157"/>
      <c r="Q126" s="157"/>
      <c r="R126" s="158"/>
      <c r="S126" s="156"/>
      <c r="T126" s="157"/>
      <c r="U126" s="157"/>
      <c r="V126" s="158"/>
      <c r="W126" s="591" t="str">
        <f t="shared" si="2"/>
        <v/>
      </c>
      <c r="X126" s="592" t="str">
        <f>IF(COUNTA(C126:V126)=0,"",IF(W125=W126,"ümbervisk",IF(W126&gt;W125,"finaali "&amp;(IF(W126&lt;MAX(W123:W124),2,IF(W126=MAX(W123:W124),"",1))),"pronksi "&amp;(IF(W126&lt;MIN(W123:W124),2,IF(W126=MIN(W123:W124),"",1))))))</f>
        <v/>
      </c>
    </row>
    <row r="127" spans="1:29" x14ac:dyDescent="0.2">
      <c r="A127" s="544"/>
      <c r="B127" s="597" t="s">
        <v>218</v>
      </c>
      <c r="C127" s="247"/>
      <c r="D127" s="248"/>
      <c r="E127" s="248"/>
      <c r="F127" s="249"/>
      <c r="G127" s="247"/>
      <c r="H127" s="248"/>
      <c r="I127" s="248"/>
      <c r="J127" s="249"/>
      <c r="K127" s="247"/>
      <c r="L127" s="248"/>
      <c r="M127" s="248"/>
      <c r="N127" s="249"/>
      <c r="O127" s="247"/>
      <c r="P127" s="248"/>
      <c r="Q127" s="248"/>
      <c r="R127" s="249"/>
      <c r="S127" s="247"/>
      <c r="T127" s="248"/>
      <c r="U127" s="248"/>
      <c r="V127" s="249"/>
      <c r="W127" s="673" t="str">
        <f t="shared" si="2"/>
        <v/>
      </c>
      <c r="X127" s="250"/>
    </row>
    <row r="128" spans="1:29" x14ac:dyDescent="0.2">
      <c r="A128" s="173"/>
      <c r="B128" s="195"/>
      <c r="C128" s="144"/>
      <c r="D128" s="145"/>
      <c r="E128" s="145"/>
      <c r="F128" s="146"/>
      <c r="G128" s="144"/>
      <c r="H128" s="145"/>
      <c r="I128" s="145"/>
      <c r="J128" s="146"/>
      <c r="K128" s="144"/>
      <c r="L128" s="145"/>
      <c r="M128" s="145"/>
      <c r="N128" s="146"/>
      <c r="O128" s="144"/>
      <c r="P128" s="145"/>
      <c r="Q128" s="145"/>
      <c r="R128" s="146"/>
      <c r="S128" s="144"/>
      <c r="T128" s="145"/>
      <c r="U128" s="145"/>
      <c r="V128" s="146"/>
      <c r="W128" s="584" t="str">
        <f t="shared" si="2"/>
        <v/>
      </c>
      <c r="X128" s="155">
        <f ca="1">IF( INDIRECT("RC[-1]",0)=MAX(( INDIRECT("R[-1]C[-1]",0)):( INDIRECT("R[1]C[-1]",0))),3,4)</f>
        <v>4</v>
      </c>
    </row>
    <row r="129" spans="1:27" ht="13.5" thickBot="1" x14ac:dyDescent="0.25">
      <c r="A129" s="177"/>
      <c r="B129" s="598"/>
      <c r="C129" s="156"/>
      <c r="D129" s="157"/>
      <c r="E129" s="157"/>
      <c r="F129" s="158"/>
      <c r="G129" s="156"/>
      <c r="H129" s="157"/>
      <c r="I129" s="157"/>
      <c r="J129" s="671"/>
      <c r="K129" s="156"/>
      <c r="L129" s="157"/>
      <c r="M129" s="157"/>
      <c r="N129" s="158"/>
      <c r="O129" s="156"/>
      <c r="P129" s="157"/>
      <c r="Q129" s="157"/>
      <c r="R129" s="158"/>
      <c r="S129" s="156"/>
      <c r="T129" s="157"/>
      <c r="U129" s="157"/>
      <c r="V129" s="158"/>
      <c r="W129" s="591" t="str">
        <f t="shared" si="2"/>
        <v/>
      </c>
      <c r="X129" s="160">
        <f ca="1">IF( INDIRECT("RC[-1]",0)=MAX(( INDIRECT("R[-1]C[-1]",0)):( INDIRECT("R[1]C[-1]",0))),3,4)</f>
        <v>4</v>
      </c>
    </row>
    <row r="130" spans="1:27" x14ac:dyDescent="0.2">
      <c r="A130" s="544"/>
      <c r="B130" s="597" t="s">
        <v>219</v>
      </c>
      <c r="C130" s="247"/>
      <c r="D130" s="248"/>
      <c r="E130" s="248"/>
      <c r="F130" s="249"/>
      <c r="G130" s="247"/>
      <c r="H130" s="248"/>
      <c r="I130" s="248"/>
      <c r="J130" s="249"/>
      <c r="K130" s="247"/>
      <c r="L130" s="248"/>
      <c r="M130" s="248"/>
      <c r="N130" s="249"/>
      <c r="O130" s="247"/>
      <c r="P130" s="248"/>
      <c r="Q130" s="248"/>
      <c r="R130" s="249"/>
      <c r="S130" s="247"/>
      <c r="T130" s="248"/>
      <c r="U130" s="248"/>
      <c r="V130" s="249"/>
      <c r="W130" s="673" t="str">
        <f t="shared" si="2"/>
        <v/>
      </c>
      <c r="X130" s="250"/>
    </row>
    <row r="131" spans="1:27" x14ac:dyDescent="0.2">
      <c r="A131" s="173"/>
      <c r="B131" s="193"/>
      <c r="C131" s="144"/>
      <c r="D131" s="145"/>
      <c r="E131" s="145"/>
      <c r="F131" s="146"/>
      <c r="G131" s="144"/>
      <c r="H131" s="145"/>
      <c r="I131" s="145"/>
      <c r="J131" s="146"/>
      <c r="K131" s="144"/>
      <c r="L131" s="145"/>
      <c r="M131" s="145"/>
      <c r="N131" s="146"/>
      <c r="O131" s="144"/>
      <c r="P131" s="145"/>
      <c r="Q131" s="145"/>
      <c r="R131" s="146"/>
      <c r="S131" s="144"/>
      <c r="T131" s="145"/>
      <c r="U131" s="145"/>
      <c r="V131" s="146"/>
      <c r="W131" s="584" t="str">
        <f t="shared" si="2"/>
        <v/>
      </c>
      <c r="X131" s="155">
        <f ca="1">IF( INDIRECT("RC[-1]",0)=MAX(( INDIRECT("R[-1]C[-1]",0)):( INDIRECT("R[1]C[-1]",0))),1,2)</f>
        <v>2</v>
      </c>
    </row>
    <row r="132" spans="1:27" ht="13.5" thickBot="1" x14ac:dyDescent="0.25">
      <c r="A132" s="177"/>
      <c r="B132" s="194"/>
      <c r="C132" s="156"/>
      <c r="D132" s="157"/>
      <c r="E132" s="157"/>
      <c r="F132" s="158"/>
      <c r="G132" s="156"/>
      <c r="H132" s="157"/>
      <c r="I132" s="157"/>
      <c r="J132" s="158"/>
      <c r="K132" s="156"/>
      <c r="L132" s="157"/>
      <c r="M132" s="157"/>
      <c r="N132" s="158"/>
      <c r="O132" s="156"/>
      <c r="P132" s="157"/>
      <c r="Q132" s="157"/>
      <c r="R132" s="158"/>
      <c r="S132" s="156"/>
      <c r="T132" s="157"/>
      <c r="U132" s="157"/>
      <c r="V132" s="158"/>
      <c r="W132" s="591" t="str">
        <f t="shared" si="2"/>
        <v/>
      </c>
      <c r="X132" s="160">
        <f ca="1">IF( INDIRECT("RC[-1]",0)=MAX(( INDIRECT("R[-1]C[-1]",0)):( INDIRECT("R[1]C[-1]",0))),1,2)</f>
        <v>2</v>
      </c>
    </row>
    <row r="133" spans="1:27" x14ac:dyDescent="0.2">
      <c r="A133" s="172"/>
      <c r="B133" s="172"/>
      <c r="C133" s="172"/>
      <c r="D133" s="172"/>
      <c r="E133" s="172"/>
      <c r="F133" s="172"/>
      <c r="G133" s="172"/>
      <c r="H133" s="172"/>
      <c r="I133" s="172"/>
      <c r="J133" s="172"/>
      <c r="K133" s="172"/>
      <c r="L133" s="172"/>
      <c r="M133" s="172"/>
      <c r="N133" s="172"/>
      <c r="O133" s="611"/>
      <c r="P133" s="172"/>
      <c r="Q133" s="172"/>
      <c r="R133" s="172"/>
      <c r="S133" s="172"/>
      <c r="T133" s="612"/>
      <c r="U133" s="172"/>
      <c r="V133" s="172"/>
      <c r="W133" s="172"/>
      <c r="X133" s="172"/>
      <c r="Y133" s="172"/>
    </row>
    <row r="134" spans="1:27" x14ac:dyDescent="0.2">
      <c r="A134" s="178">
        <v>1</v>
      </c>
      <c r="B134" s="203" t="str">
        <f t="shared" ref="B134:B143" ca="1" si="11">IF(IFERROR(INDEX($B$9:$B$132,MATCH($A134,$X$9:$X$132,0)),"")=0,"",IFERROR(INDEX($B$9:$B$132,MATCH($A134,$X$9:$X$132,0)),""))</f>
        <v/>
      </c>
      <c r="C134" s="172"/>
      <c r="D134" s="172"/>
      <c r="E134" s="613"/>
      <c r="F134" s="614">
        <v>11</v>
      </c>
      <c r="G134" s="258" t="str">
        <f ca="1">IF(IFERROR(INDEX($B$9:$B$132,MATCH($F134,$X$9:$X$132,0)),"")=0,"",IFERROR(INDEX($B$9:$B$132,MATCH($F134,$X$9:$X$132,0)),""))</f>
        <v/>
      </c>
      <c r="H134" s="259"/>
      <c r="I134" s="259"/>
      <c r="J134" s="259"/>
      <c r="K134" s="259"/>
      <c r="L134" s="259"/>
      <c r="M134" s="260"/>
      <c r="P134" s="613"/>
      <c r="Q134" s="614">
        <v>21</v>
      </c>
      <c r="R134" s="258" t="str">
        <f t="shared" ref="R134:R136" ca="1" si="12">IF(IFERROR(INDEX($B$9:$B$132,MATCH($Q134,$X$9:$X$132,0)),"")=0,"",IFERROR(INDEX($B$9:$B$132,MATCH($Q134,$X$9:$X$132,0)),""))</f>
        <v/>
      </c>
      <c r="S134" s="259"/>
      <c r="T134" s="259"/>
      <c r="U134" s="675"/>
      <c r="V134" s="675"/>
      <c r="W134" s="616"/>
      <c r="Z134" s="259"/>
      <c r="AA134" s="260"/>
    </row>
    <row r="135" spans="1:27" x14ac:dyDescent="0.2">
      <c r="A135" s="178">
        <v>2</v>
      </c>
      <c r="B135" s="179" t="str">
        <f t="shared" ca="1" si="11"/>
        <v/>
      </c>
      <c r="C135" s="172"/>
      <c r="D135" s="172"/>
      <c r="E135" s="613"/>
      <c r="F135" s="614">
        <v>12</v>
      </c>
      <c r="G135" s="258" t="str">
        <f ca="1">IF(IFERROR(INDEX($B$9:$B$132,MATCH($F135,$X$9:$X$132,0)),"")=0,"",IFERROR(INDEX($B$9:$B$132,MATCH($F135,$X$9:$X$132,0)),""))</f>
        <v/>
      </c>
      <c r="H135" s="259"/>
      <c r="I135" s="259"/>
      <c r="J135" s="259"/>
      <c r="K135" s="259"/>
      <c r="L135" s="259"/>
      <c r="M135" s="260"/>
      <c r="P135" s="613"/>
      <c r="Q135" s="614">
        <v>22</v>
      </c>
      <c r="R135" s="258" t="str">
        <f t="shared" ca="1" si="12"/>
        <v/>
      </c>
      <c r="S135" s="259"/>
      <c r="T135" s="259"/>
      <c r="U135" s="675"/>
      <c r="V135" s="675"/>
      <c r="W135" s="616"/>
      <c r="Z135" s="259"/>
      <c r="AA135" s="260"/>
    </row>
    <row r="136" spans="1:27" x14ac:dyDescent="0.2">
      <c r="A136" s="178">
        <v>3</v>
      </c>
      <c r="B136" s="180" t="str">
        <f t="shared" ca="1" si="11"/>
        <v/>
      </c>
      <c r="C136" s="172"/>
      <c r="D136" s="172"/>
      <c r="E136" s="613"/>
      <c r="F136" s="614">
        <v>13</v>
      </c>
      <c r="G136" s="258" t="str">
        <f ca="1">IF(IFERROR(INDEX($B$9:$B$132,MATCH($F136,$X$9:$X$132,0)),"")=0,"",IFERROR(INDEX($B$9:$B$132,MATCH($F136,$X$9:$X$132,0)),""))</f>
        <v/>
      </c>
      <c r="H136" s="259"/>
      <c r="I136" s="259"/>
      <c r="J136" s="259"/>
      <c r="K136" s="259"/>
      <c r="L136" s="259"/>
      <c r="M136" s="260"/>
      <c r="P136" s="613"/>
      <c r="Q136" s="614">
        <v>23</v>
      </c>
      <c r="R136" s="258" t="str">
        <f t="shared" ca="1" si="12"/>
        <v/>
      </c>
      <c r="S136" s="259"/>
      <c r="T136" s="259"/>
      <c r="U136" s="675"/>
      <c r="V136" s="675"/>
      <c r="W136" s="616"/>
      <c r="Z136" s="259"/>
      <c r="AA136" s="260"/>
    </row>
    <row r="137" spans="1:27" x14ac:dyDescent="0.2">
      <c r="A137" s="178">
        <v>4</v>
      </c>
      <c r="B137" s="323" t="str">
        <f t="shared" ca="1" si="11"/>
        <v/>
      </c>
      <c r="C137" s="172"/>
      <c r="D137" s="172"/>
      <c r="E137" s="613"/>
      <c r="F137" s="614">
        <v>14</v>
      </c>
      <c r="G137" s="258" t="str">
        <f t="shared" ref="G137:G143" si="13">IF(IFERROR(INDEX($B$9:$B$132,MATCH($F137,$X$9:$X$132,0)),"")=0,"",IFERROR(INDEX($B$9:$B$132,MATCH($F137,$X$9:$X$132,0)),""))</f>
        <v/>
      </c>
      <c r="H137" s="259"/>
      <c r="I137" s="259"/>
      <c r="J137" s="259"/>
      <c r="K137" s="259"/>
      <c r="L137" s="259"/>
      <c r="M137" s="260"/>
      <c r="P137" s="613"/>
      <c r="Q137" s="614">
        <v>24</v>
      </c>
      <c r="R137" s="258" t="str">
        <f ca="1">IF(IFERROR(INDEX($B$9:$B$132,MATCH($Q137,$X$9:$X$132,0)),"")=0,"",IFERROR(INDEX($B$9:$B$132,MATCH($Q137,$X$9:$X$132,0)),""))</f>
        <v/>
      </c>
      <c r="S137" s="259"/>
      <c r="T137" s="259"/>
      <c r="U137" s="675"/>
      <c r="V137" s="675"/>
      <c r="W137" s="616"/>
      <c r="Z137" s="259"/>
      <c r="AA137" s="260"/>
    </row>
    <row r="138" spans="1:27" x14ac:dyDescent="0.2">
      <c r="A138" s="178">
        <v>5</v>
      </c>
      <c r="B138" s="323" t="str">
        <f t="shared" ca="1" si="11"/>
        <v/>
      </c>
      <c r="C138" s="172"/>
      <c r="D138" s="172"/>
      <c r="E138" s="613"/>
      <c r="F138" s="614">
        <v>15</v>
      </c>
      <c r="G138" s="258" t="str">
        <f t="shared" ca="1" si="13"/>
        <v/>
      </c>
      <c r="H138" s="259"/>
      <c r="I138" s="259"/>
      <c r="J138" s="259"/>
      <c r="K138" s="259"/>
      <c r="L138" s="259"/>
      <c r="M138" s="260"/>
      <c r="P138" s="613"/>
      <c r="Q138" s="614">
        <v>25</v>
      </c>
      <c r="R138" s="258" t="str">
        <f t="shared" ref="R138:R142" ca="1" si="14">IF(IFERROR(INDEX($B$9:$B$132,MATCH($Q138,$X$9:$X$132,0)),"")=0,"",IFERROR(INDEX($B$9:$B$132,MATCH($Q138,$X$9:$X$132,0)),""))</f>
        <v/>
      </c>
      <c r="S138" s="259"/>
      <c r="T138" s="259"/>
      <c r="U138" s="675"/>
      <c r="V138" s="675"/>
      <c r="W138" s="616"/>
      <c r="Z138" s="259"/>
      <c r="AA138" s="260"/>
    </row>
    <row r="139" spans="1:27" x14ac:dyDescent="0.2">
      <c r="A139" s="178">
        <v>6</v>
      </c>
      <c r="B139" s="323" t="str">
        <f t="shared" ca="1" si="11"/>
        <v/>
      </c>
      <c r="C139" s="172"/>
      <c r="D139" s="172"/>
      <c r="E139" s="613"/>
      <c r="F139" s="614">
        <v>16</v>
      </c>
      <c r="G139" s="258" t="str">
        <f t="shared" ca="1" si="13"/>
        <v/>
      </c>
      <c r="H139" s="259"/>
      <c r="I139" s="259"/>
      <c r="J139" s="259"/>
      <c r="K139" s="259"/>
      <c r="L139" s="259"/>
      <c r="M139" s="260"/>
      <c r="P139" s="613"/>
      <c r="Q139" s="614">
        <v>26</v>
      </c>
      <c r="R139" s="258" t="str">
        <f t="shared" ca="1" si="14"/>
        <v/>
      </c>
      <c r="S139" s="259"/>
      <c r="T139" s="259"/>
      <c r="U139" s="675"/>
      <c r="V139" s="675"/>
      <c r="W139" s="616"/>
      <c r="Z139" s="259"/>
      <c r="AA139" s="260"/>
    </row>
    <row r="140" spans="1:27" x14ac:dyDescent="0.2">
      <c r="A140" s="178">
        <v>7</v>
      </c>
      <c r="B140" s="323" t="str">
        <f t="shared" ca="1" si="11"/>
        <v/>
      </c>
      <c r="C140" s="172"/>
      <c r="D140" s="172"/>
      <c r="E140" s="613"/>
      <c r="F140" s="614">
        <v>17</v>
      </c>
      <c r="G140" s="258" t="str">
        <f t="shared" ca="1" si="13"/>
        <v/>
      </c>
      <c r="H140" s="259"/>
      <c r="I140" s="259"/>
      <c r="J140" s="259"/>
      <c r="K140" s="259"/>
      <c r="L140" s="259"/>
      <c r="M140" s="260"/>
      <c r="P140" s="613"/>
      <c r="Q140" s="614">
        <v>27</v>
      </c>
      <c r="R140" s="258" t="str">
        <f t="shared" ca="1" si="14"/>
        <v/>
      </c>
      <c r="S140" s="259"/>
      <c r="T140" s="259"/>
      <c r="U140" s="675"/>
      <c r="V140" s="675"/>
      <c r="W140" s="616"/>
      <c r="Z140" s="259"/>
      <c r="AA140" s="260"/>
    </row>
    <row r="141" spans="1:27" x14ac:dyDescent="0.2">
      <c r="A141" s="178">
        <v>8</v>
      </c>
      <c r="B141" s="323" t="str">
        <f t="shared" ca="1" si="11"/>
        <v/>
      </c>
      <c r="C141" s="172"/>
      <c r="D141" s="172"/>
      <c r="E141" s="613"/>
      <c r="F141" s="614">
        <v>18</v>
      </c>
      <c r="G141" s="258" t="str">
        <f t="shared" ca="1" si="13"/>
        <v/>
      </c>
      <c r="H141" s="259"/>
      <c r="I141" s="259"/>
      <c r="J141" s="259"/>
      <c r="K141" s="259"/>
      <c r="L141" s="259"/>
      <c r="M141" s="260"/>
      <c r="P141" s="613"/>
      <c r="Q141" s="614">
        <v>28</v>
      </c>
      <c r="R141" s="258" t="str">
        <f t="shared" ca="1" si="14"/>
        <v/>
      </c>
      <c r="S141" s="259"/>
      <c r="T141" s="259"/>
      <c r="U141" s="675"/>
      <c r="V141" s="675"/>
      <c r="W141" s="616"/>
      <c r="Z141" s="259"/>
      <c r="AA141" s="260"/>
    </row>
    <row r="142" spans="1:27" x14ac:dyDescent="0.2">
      <c r="A142" s="178">
        <v>9</v>
      </c>
      <c r="B142" s="323" t="str">
        <f t="shared" ca="1" si="11"/>
        <v/>
      </c>
      <c r="C142" s="172"/>
      <c r="D142" s="172"/>
      <c r="E142" s="613"/>
      <c r="F142" s="614">
        <v>19</v>
      </c>
      <c r="G142" s="258" t="str">
        <f t="shared" ca="1" si="13"/>
        <v/>
      </c>
      <c r="H142" s="259"/>
      <c r="I142" s="259"/>
      <c r="J142" s="259"/>
      <c r="K142" s="259"/>
      <c r="L142" s="259"/>
      <c r="M142" s="260"/>
      <c r="P142" s="613"/>
      <c r="Q142" s="614">
        <v>29</v>
      </c>
      <c r="R142" s="258" t="str">
        <f t="shared" ca="1" si="14"/>
        <v/>
      </c>
      <c r="S142" s="259"/>
      <c r="T142" s="259"/>
      <c r="U142" s="675"/>
      <c r="V142" s="675"/>
      <c r="W142" s="616"/>
      <c r="Z142" s="259"/>
      <c r="AA142" s="260"/>
    </row>
    <row r="143" spans="1:27" x14ac:dyDescent="0.2">
      <c r="A143" s="178">
        <v>10</v>
      </c>
      <c r="B143" s="323" t="str">
        <f t="shared" ca="1" si="11"/>
        <v/>
      </c>
      <c r="C143" s="172"/>
      <c r="D143" s="172"/>
      <c r="E143" s="613"/>
      <c r="F143" s="614">
        <v>20</v>
      </c>
      <c r="G143" s="258" t="str">
        <f t="shared" ca="1" si="13"/>
        <v/>
      </c>
      <c r="H143" s="259"/>
      <c r="I143" s="259"/>
      <c r="J143" s="259"/>
      <c r="K143" s="259"/>
      <c r="L143" s="259"/>
      <c r="M143" s="260"/>
      <c r="P143" s="172"/>
      <c r="Q143" s="172"/>
      <c r="R143" s="172"/>
      <c r="S143" s="172"/>
      <c r="T143" s="172"/>
      <c r="U143" s="172"/>
      <c r="V143" s="172"/>
      <c r="W143" s="172"/>
      <c r="Z143" s="259"/>
      <c r="AA143" s="260"/>
    </row>
    <row r="144" spans="1:27" x14ac:dyDescent="0.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row>
    <row r="145" spans="3:25" x14ac:dyDescent="0.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row>
    <row r="146" spans="3:25" x14ac:dyDescent="0.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row>
    <row r="147" spans="3:25" x14ac:dyDescent="0.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row>
    <row r="148" spans="3:25" x14ac:dyDescent="0.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row>
    <row r="149" spans="3:25" x14ac:dyDescent="0.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row>
    <row r="150" spans="3:25" x14ac:dyDescent="0.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row>
  </sheetData>
  <conditionalFormatting sqref="X123:X126">
    <cfRule type="duplicateValues" dxfId="212" priority="44"/>
  </conditionalFormatting>
  <conditionalFormatting sqref="B25:B32">
    <cfRule type="duplicateValues" dxfId="211" priority="41" stopIfTrue="1"/>
  </conditionalFormatting>
  <conditionalFormatting sqref="X9:X38">
    <cfRule type="duplicateValues" dxfId="210" priority="42"/>
    <cfRule type="top10" dxfId="209" priority="43" stopIfTrue="1" rank="100"/>
  </conditionalFormatting>
  <conditionalFormatting sqref="B22:B24">
    <cfRule type="duplicateValues" dxfId="208" priority="40" stopIfTrue="1"/>
  </conditionalFormatting>
  <conditionalFormatting sqref="B33:B38 B10:B12 B14">
    <cfRule type="duplicateValues" dxfId="207" priority="45" stopIfTrue="1"/>
  </conditionalFormatting>
  <conditionalFormatting sqref="B40:B45">
    <cfRule type="duplicateValues" dxfId="206" priority="38" stopIfTrue="1"/>
  </conditionalFormatting>
  <conditionalFormatting sqref="X40:X47 X64:X67">
    <cfRule type="duplicateValues" dxfId="205" priority="46"/>
    <cfRule type="top10" dxfId="204" priority="47" stopIfTrue="1" rank="100"/>
  </conditionalFormatting>
  <conditionalFormatting sqref="B46:B47 B64:B67">
    <cfRule type="duplicateValues" dxfId="203" priority="48" stopIfTrue="1"/>
  </conditionalFormatting>
  <conditionalFormatting sqref="B56:B61">
    <cfRule type="duplicateValues" dxfId="202" priority="34" stopIfTrue="1"/>
  </conditionalFormatting>
  <conditionalFormatting sqref="X56:X63">
    <cfRule type="duplicateValues" dxfId="201" priority="35"/>
    <cfRule type="top10" dxfId="200" priority="36" stopIfTrue="1" rank="100"/>
  </conditionalFormatting>
  <conditionalFormatting sqref="B62:B63">
    <cfRule type="duplicateValues" dxfId="199" priority="37" stopIfTrue="1"/>
  </conditionalFormatting>
  <conditionalFormatting sqref="B86:B91">
    <cfRule type="duplicateValues" dxfId="198" priority="30" stopIfTrue="1"/>
  </conditionalFormatting>
  <conditionalFormatting sqref="X86:X93 X102:X105">
    <cfRule type="duplicateValues" dxfId="197" priority="31"/>
    <cfRule type="top10" dxfId="196" priority="32" stopIfTrue="1" rank="100"/>
  </conditionalFormatting>
  <conditionalFormatting sqref="B92:B93 B102:B105">
    <cfRule type="duplicateValues" dxfId="195" priority="33" stopIfTrue="1"/>
  </conditionalFormatting>
  <conditionalFormatting sqref="B94:B99">
    <cfRule type="duplicateValues" dxfId="194" priority="26" stopIfTrue="1"/>
  </conditionalFormatting>
  <conditionalFormatting sqref="X94:X101">
    <cfRule type="duplicateValues" dxfId="193" priority="27"/>
    <cfRule type="top10" dxfId="192" priority="28" stopIfTrue="1" rank="100"/>
  </conditionalFormatting>
  <conditionalFormatting sqref="B100:B101">
    <cfRule type="duplicateValues" dxfId="191" priority="29" stopIfTrue="1"/>
  </conditionalFormatting>
  <conditionalFormatting sqref="B106:B107">
    <cfRule type="duplicateValues" dxfId="190" priority="22" stopIfTrue="1"/>
  </conditionalFormatting>
  <conditionalFormatting sqref="X106:X109">
    <cfRule type="duplicateValues" dxfId="189" priority="23"/>
    <cfRule type="top10" dxfId="188" priority="24" stopIfTrue="1" rank="100"/>
  </conditionalFormatting>
  <conditionalFormatting sqref="B108:B109">
    <cfRule type="duplicateValues" dxfId="187" priority="25" stopIfTrue="1"/>
  </conditionalFormatting>
  <conditionalFormatting sqref="B68:B69">
    <cfRule type="duplicateValues" dxfId="186" priority="21" stopIfTrue="1"/>
  </conditionalFormatting>
  <conditionalFormatting sqref="B48:B53">
    <cfRule type="duplicateValues" dxfId="185" priority="17" stopIfTrue="1"/>
  </conditionalFormatting>
  <conditionalFormatting sqref="X48:X55">
    <cfRule type="duplicateValues" dxfId="184" priority="18"/>
    <cfRule type="top10" dxfId="183" priority="19" stopIfTrue="1" rank="100"/>
  </conditionalFormatting>
  <conditionalFormatting sqref="B54:B55">
    <cfRule type="duplicateValues" dxfId="182" priority="20" stopIfTrue="1"/>
  </conditionalFormatting>
  <conditionalFormatting sqref="X73:X84">
    <cfRule type="duplicateValues" dxfId="181" priority="16"/>
    <cfRule type="top10" dxfId="180" priority="39" stopIfTrue="1" rank="100"/>
  </conditionalFormatting>
  <conditionalFormatting sqref="W40:W43">
    <cfRule type="top10" dxfId="179" priority="15" rank="1"/>
  </conditionalFormatting>
  <conditionalFormatting sqref="W44:W47">
    <cfRule type="top10" dxfId="178" priority="14" rank="1"/>
  </conditionalFormatting>
  <conditionalFormatting sqref="W48:W51">
    <cfRule type="top10" dxfId="177" priority="13" rank="1"/>
  </conditionalFormatting>
  <conditionalFormatting sqref="W52:W55">
    <cfRule type="top10" dxfId="176" priority="12" rank="1"/>
  </conditionalFormatting>
  <conditionalFormatting sqref="W56:W59">
    <cfRule type="top10" dxfId="175" priority="11" rank="1"/>
  </conditionalFormatting>
  <conditionalFormatting sqref="W60:W63">
    <cfRule type="top10" dxfId="174" priority="10" rank="1"/>
  </conditionalFormatting>
  <conditionalFormatting sqref="W64:W67">
    <cfRule type="top10" dxfId="173" priority="9" rank="1"/>
  </conditionalFormatting>
  <conditionalFormatting sqref="W68:W71">
    <cfRule type="top10" dxfId="172" priority="8" rank="1"/>
  </conditionalFormatting>
  <conditionalFormatting sqref="W86:W89">
    <cfRule type="top10" dxfId="171" priority="7" rank="1"/>
  </conditionalFormatting>
  <conditionalFormatting sqref="W90:W93">
    <cfRule type="top10" dxfId="170" priority="6" rank="1"/>
  </conditionalFormatting>
  <conditionalFormatting sqref="W94:W97">
    <cfRule type="top10" dxfId="169" priority="5" rank="1"/>
  </conditionalFormatting>
  <conditionalFormatting sqref="W98:W101">
    <cfRule type="top10" dxfId="168" priority="4" rank="1"/>
  </conditionalFormatting>
  <conditionalFormatting sqref="W102:W105">
    <cfRule type="top10" dxfId="167" priority="3" rank="1"/>
  </conditionalFormatting>
  <conditionalFormatting sqref="W106:W109">
    <cfRule type="top10" dxfId="166" priority="2" rank="1"/>
  </conditionalFormatting>
  <conditionalFormatting sqref="W111:W112">
    <cfRule type="top10" dxfId="165" priority="49" rank="1"/>
  </conditionalFormatting>
  <conditionalFormatting sqref="W113:W114">
    <cfRule type="top10" dxfId="164" priority="50" rank="1"/>
  </conditionalFormatting>
  <conditionalFormatting sqref="W115:W116">
    <cfRule type="top10" dxfId="163" priority="51" rank="1"/>
  </conditionalFormatting>
  <conditionalFormatting sqref="W123:W124">
    <cfRule type="top10" dxfId="162" priority="52" rank="1"/>
  </conditionalFormatting>
  <conditionalFormatting sqref="W125:W126">
    <cfRule type="top10" dxfId="161" priority="53" rank="1"/>
  </conditionalFormatting>
  <conditionalFormatting sqref="W128:W129">
    <cfRule type="top10" dxfId="160" priority="54" rank="1"/>
  </conditionalFormatting>
  <conditionalFormatting sqref="W131:W132">
    <cfRule type="top10" dxfId="159" priority="55" rank="1"/>
  </conditionalFormatting>
  <conditionalFormatting sqref="X111:X118">
    <cfRule type="duplicateValues" dxfId="158" priority="56"/>
    <cfRule type="top10" dxfId="157" priority="57" stopIfTrue="1" rank="4"/>
  </conditionalFormatting>
  <conditionalFormatting sqref="W117:W118">
    <cfRule type="top10" dxfId="156" priority="58" rank="1"/>
  </conditionalFormatting>
  <conditionalFormatting sqref="B120:B121">
    <cfRule type="duplicateValues" dxfId="155" priority="59" stopIfTrue="1"/>
  </conditionalFormatting>
  <conditionalFormatting sqref="X120:X121">
    <cfRule type="duplicateValues" dxfId="154" priority="60"/>
    <cfRule type="top10" dxfId="153" priority="61" stopIfTrue="1" rank="100"/>
  </conditionalFormatting>
  <conditionalFormatting sqref="W120:W121">
    <cfRule type="top10" dxfId="152" priority="62" rank="1"/>
  </conditionalFormatting>
  <conditionalFormatting sqref="Y73:Y84">
    <cfRule type="duplicateValues" dxfId="151" priority="1"/>
  </conditionalFormatting>
  <conditionalFormatting sqref="W9:W132">
    <cfRule type="top10" dxfId="150" priority="63" rank="1"/>
  </conditionalFormatting>
  <conditionalFormatting sqref="X68:X71">
    <cfRule type="duplicateValues" dxfId="149" priority="64"/>
    <cfRule type="top10" dxfId="148" priority="65" stopIfTrue="1" rank="100"/>
  </conditionalFormatting>
  <conditionalFormatting sqref="B70:B71">
    <cfRule type="duplicateValues" dxfId="147" priority="66" stopIfTrue="1"/>
  </conditionalFormatting>
  <pageMargins left="0.78740157480314965" right="0.27559055118110237" top="0.51181102362204722" bottom="0.31496062992125984" header="0.31496062992125984" footer="0"/>
  <pageSetup paperSize="9" fitToHeight="0" orientation="portrait" r:id="rId1"/>
  <headerFooter alignWithMargins="0">
    <oddHeader>&amp;R&amp;"Arial,Regular"&amp;9Page &amp;P of &amp;N</oddHead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A39"/>
  <sheetViews>
    <sheetView showGridLines="0" showRowColHeaders="0" zoomScaleNormal="100" workbookViewId="0">
      <pane ySplit="7" topLeftCell="A8" activePane="bottomLeft" state="frozen"/>
      <selection activeCell="W1" sqref="W1"/>
      <selection pane="bottomLeft" sqref="A1:R4"/>
    </sheetView>
  </sheetViews>
  <sheetFormatPr defaultRowHeight="12.75" x14ac:dyDescent="0.2"/>
  <cols>
    <col min="1" max="1" width="3" style="142" customWidth="1"/>
    <col min="2" max="2" width="18.28515625" style="142" customWidth="1"/>
    <col min="3" max="22" width="2.85546875" style="142" customWidth="1"/>
    <col min="23" max="23" width="3" style="142" bestFit="1" customWidth="1"/>
    <col min="24" max="24" width="10.5703125" style="142" bestFit="1" customWidth="1"/>
    <col min="25" max="26" width="4" style="142" hidden="1" customWidth="1"/>
    <col min="27" max="27" width="4.5703125" style="142" hidden="1" customWidth="1"/>
    <col min="28" max="256" width="9.140625" style="142"/>
    <col min="257" max="257" width="3" style="142" customWidth="1"/>
    <col min="258" max="258" width="18.7109375" style="142" customWidth="1"/>
    <col min="259" max="278" width="2.85546875" style="142" customWidth="1"/>
    <col min="279" max="279" width="3" style="142" bestFit="1" customWidth="1"/>
    <col min="280" max="280" width="10.5703125" style="142" bestFit="1" customWidth="1"/>
    <col min="281" max="283" width="0" style="142" hidden="1" customWidth="1"/>
    <col min="284" max="512" width="9.140625" style="142"/>
    <col min="513" max="513" width="3" style="142" customWidth="1"/>
    <col min="514" max="514" width="18.7109375" style="142" customWidth="1"/>
    <col min="515" max="534" width="2.85546875" style="142" customWidth="1"/>
    <col min="535" max="535" width="3" style="142" bestFit="1" customWidth="1"/>
    <col min="536" max="536" width="10.5703125" style="142" bestFit="1" customWidth="1"/>
    <col min="537" max="539" width="0" style="142" hidden="1" customWidth="1"/>
    <col min="540" max="768" width="9.140625" style="142"/>
    <col min="769" max="769" width="3" style="142" customWidth="1"/>
    <col min="770" max="770" width="18.7109375" style="142" customWidth="1"/>
    <col min="771" max="790" width="2.85546875" style="142" customWidth="1"/>
    <col min="791" max="791" width="3" style="142" bestFit="1" customWidth="1"/>
    <col min="792" max="792" width="10.5703125" style="142" bestFit="1" customWidth="1"/>
    <col min="793" max="795" width="0" style="142" hidden="1" customWidth="1"/>
    <col min="796" max="1024" width="9.140625" style="142"/>
    <col min="1025" max="1025" width="3" style="142" customWidth="1"/>
    <col min="1026" max="1026" width="18.7109375" style="142" customWidth="1"/>
    <col min="1027" max="1046" width="2.85546875" style="142" customWidth="1"/>
    <col min="1047" max="1047" width="3" style="142" bestFit="1" customWidth="1"/>
    <col min="1048" max="1048" width="10.5703125" style="142" bestFit="1" customWidth="1"/>
    <col min="1049" max="1051" width="0" style="142" hidden="1" customWidth="1"/>
    <col min="1052" max="1280" width="9.140625" style="142"/>
    <col min="1281" max="1281" width="3" style="142" customWidth="1"/>
    <col min="1282" max="1282" width="18.7109375" style="142" customWidth="1"/>
    <col min="1283" max="1302" width="2.85546875" style="142" customWidth="1"/>
    <col min="1303" max="1303" width="3" style="142" bestFit="1" customWidth="1"/>
    <col min="1304" max="1304" width="10.5703125" style="142" bestFit="1" customWidth="1"/>
    <col min="1305" max="1307" width="0" style="142" hidden="1" customWidth="1"/>
    <col min="1308" max="1536" width="9.140625" style="142"/>
    <col min="1537" max="1537" width="3" style="142" customWidth="1"/>
    <col min="1538" max="1538" width="18.7109375" style="142" customWidth="1"/>
    <col min="1539" max="1558" width="2.85546875" style="142" customWidth="1"/>
    <col min="1559" max="1559" width="3" style="142" bestFit="1" customWidth="1"/>
    <col min="1560" max="1560" width="10.5703125" style="142" bestFit="1" customWidth="1"/>
    <col min="1561" max="1563" width="0" style="142" hidden="1" customWidth="1"/>
    <col min="1564" max="1792" width="9.140625" style="142"/>
    <col min="1793" max="1793" width="3" style="142" customWidth="1"/>
    <col min="1794" max="1794" width="18.7109375" style="142" customWidth="1"/>
    <col min="1795" max="1814" width="2.85546875" style="142" customWidth="1"/>
    <col min="1815" max="1815" width="3" style="142" bestFit="1" customWidth="1"/>
    <col min="1816" max="1816" width="10.5703125" style="142" bestFit="1" customWidth="1"/>
    <col min="1817" max="1819" width="0" style="142" hidden="1" customWidth="1"/>
    <col min="1820" max="2048" width="9.140625" style="142"/>
    <col min="2049" max="2049" width="3" style="142" customWidth="1"/>
    <col min="2050" max="2050" width="18.7109375" style="142" customWidth="1"/>
    <col min="2051" max="2070" width="2.85546875" style="142" customWidth="1"/>
    <col min="2071" max="2071" width="3" style="142" bestFit="1" customWidth="1"/>
    <col min="2072" max="2072" width="10.5703125" style="142" bestFit="1" customWidth="1"/>
    <col min="2073" max="2075" width="0" style="142" hidden="1" customWidth="1"/>
    <col min="2076" max="2304" width="9.140625" style="142"/>
    <col min="2305" max="2305" width="3" style="142" customWidth="1"/>
    <col min="2306" max="2306" width="18.7109375" style="142" customWidth="1"/>
    <col min="2307" max="2326" width="2.85546875" style="142" customWidth="1"/>
    <col min="2327" max="2327" width="3" style="142" bestFit="1" customWidth="1"/>
    <col min="2328" max="2328" width="10.5703125" style="142" bestFit="1" customWidth="1"/>
    <col min="2329" max="2331" width="0" style="142" hidden="1" customWidth="1"/>
    <col min="2332" max="2560" width="9.140625" style="142"/>
    <col min="2561" max="2561" width="3" style="142" customWidth="1"/>
    <col min="2562" max="2562" width="18.7109375" style="142" customWidth="1"/>
    <col min="2563" max="2582" width="2.85546875" style="142" customWidth="1"/>
    <col min="2583" max="2583" width="3" style="142" bestFit="1" customWidth="1"/>
    <col min="2584" max="2584" width="10.5703125" style="142" bestFit="1" customWidth="1"/>
    <col min="2585" max="2587" width="0" style="142" hidden="1" customWidth="1"/>
    <col min="2588" max="2816" width="9.140625" style="142"/>
    <col min="2817" max="2817" width="3" style="142" customWidth="1"/>
    <col min="2818" max="2818" width="18.7109375" style="142" customWidth="1"/>
    <col min="2819" max="2838" width="2.85546875" style="142" customWidth="1"/>
    <col min="2839" max="2839" width="3" style="142" bestFit="1" customWidth="1"/>
    <col min="2840" max="2840" width="10.5703125" style="142" bestFit="1" customWidth="1"/>
    <col min="2841" max="2843" width="0" style="142" hidden="1" customWidth="1"/>
    <col min="2844" max="3072" width="9.140625" style="142"/>
    <col min="3073" max="3073" width="3" style="142" customWidth="1"/>
    <col min="3074" max="3074" width="18.7109375" style="142" customWidth="1"/>
    <col min="3075" max="3094" width="2.85546875" style="142" customWidth="1"/>
    <col min="3095" max="3095" width="3" style="142" bestFit="1" customWidth="1"/>
    <col min="3096" max="3096" width="10.5703125" style="142" bestFit="1" customWidth="1"/>
    <col min="3097" max="3099" width="0" style="142" hidden="1" customWidth="1"/>
    <col min="3100" max="3328" width="9.140625" style="142"/>
    <col min="3329" max="3329" width="3" style="142" customWidth="1"/>
    <col min="3330" max="3330" width="18.7109375" style="142" customWidth="1"/>
    <col min="3331" max="3350" width="2.85546875" style="142" customWidth="1"/>
    <col min="3351" max="3351" width="3" style="142" bestFit="1" customWidth="1"/>
    <col min="3352" max="3352" width="10.5703125" style="142" bestFit="1" customWidth="1"/>
    <col min="3353" max="3355" width="0" style="142" hidden="1" customWidth="1"/>
    <col min="3356" max="3584" width="9.140625" style="142"/>
    <col min="3585" max="3585" width="3" style="142" customWidth="1"/>
    <col min="3586" max="3586" width="18.7109375" style="142" customWidth="1"/>
    <col min="3587" max="3606" width="2.85546875" style="142" customWidth="1"/>
    <col min="3607" max="3607" width="3" style="142" bestFit="1" customWidth="1"/>
    <col min="3608" max="3608" width="10.5703125" style="142" bestFit="1" customWidth="1"/>
    <col min="3609" max="3611" width="0" style="142" hidden="1" customWidth="1"/>
    <col min="3612" max="3840" width="9.140625" style="142"/>
    <col min="3841" max="3841" width="3" style="142" customWidth="1"/>
    <col min="3842" max="3842" width="18.7109375" style="142" customWidth="1"/>
    <col min="3843" max="3862" width="2.85546875" style="142" customWidth="1"/>
    <col min="3863" max="3863" width="3" style="142" bestFit="1" customWidth="1"/>
    <col min="3864" max="3864" width="10.5703125" style="142" bestFit="1" customWidth="1"/>
    <col min="3865" max="3867" width="0" style="142" hidden="1" customWidth="1"/>
    <col min="3868" max="4096" width="9.140625" style="142"/>
    <col min="4097" max="4097" width="3" style="142" customWidth="1"/>
    <col min="4098" max="4098" width="18.7109375" style="142" customWidth="1"/>
    <col min="4099" max="4118" width="2.85546875" style="142" customWidth="1"/>
    <col min="4119" max="4119" width="3" style="142" bestFit="1" customWidth="1"/>
    <col min="4120" max="4120" width="10.5703125" style="142" bestFit="1" customWidth="1"/>
    <col min="4121" max="4123" width="0" style="142" hidden="1" customWidth="1"/>
    <col min="4124" max="4352" width="9.140625" style="142"/>
    <col min="4353" max="4353" width="3" style="142" customWidth="1"/>
    <col min="4354" max="4354" width="18.7109375" style="142" customWidth="1"/>
    <col min="4355" max="4374" width="2.85546875" style="142" customWidth="1"/>
    <col min="4375" max="4375" width="3" style="142" bestFit="1" customWidth="1"/>
    <col min="4376" max="4376" width="10.5703125" style="142" bestFit="1" customWidth="1"/>
    <col min="4377" max="4379" width="0" style="142" hidden="1" customWidth="1"/>
    <col min="4380" max="4608" width="9.140625" style="142"/>
    <col min="4609" max="4609" width="3" style="142" customWidth="1"/>
    <col min="4610" max="4610" width="18.7109375" style="142" customWidth="1"/>
    <col min="4611" max="4630" width="2.85546875" style="142" customWidth="1"/>
    <col min="4631" max="4631" width="3" style="142" bestFit="1" customWidth="1"/>
    <col min="4632" max="4632" width="10.5703125" style="142" bestFit="1" customWidth="1"/>
    <col min="4633" max="4635" width="0" style="142" hidden="1" customWidth="1"/>
    <col min="4636" max="4864" width="9.140625" style="142"/>
    <col min="4865" max="4865" width="3" style="142" customWidth="1"/>
    <col min="4866" max="4866" width="18.7109375" style="142" customWidth="1"/>
    <col min="4867" max="4886" width="2.85546875" style="142" customWidth="1"/>
    <col min="4887" max="4887" width="3" style="142" bestFit="1" customWidth="1"/>
    <col min="4888" max="4888" width="10.5703125" style="142" bestFit="1" customWidth="1"/>
    <col min="4889" max="4891" width="0" style="142" hidden="1" customWidth="1"/>
    <col min="4892" max="5120" width="9.140625" style="142"/>
    <col min="5121" max="5121" width="3" style="142" customWidth="1"/>
    <col min="5122" max="5122" width="18.7109375" style="142" customWidth="1"/>
    <col min="5123" max="5142" width="2.85546875" style="142" customWidth="1"/>
    <col min="5143" max="5143" width="3" style="142" bestFit="1" customWidth="1"/>
    <col min="5144" max="5144" width="10.5703125" style="142" bestFit="1" customWidth="1"/>
    <col min="5145" max="5147" width="0" style="142" hidden="1" customWidth="1"/>
    <col min="5148" max="5376" width="9.140625" style="142"/>
    <col min="5377" max="5377" width="3" style="142" customWidth="1"/>
    <col min="5378" max="5378" width="18.7109375" style="142" customWidth="1"/>
    <col min="5379" max="5398" width="2.85546875" style="142" customWidth="1"/>
    <col min="5399" max="5399" width="3" style="142" bestFit="1" customWidth="1"/>
    <col min="5400" max="5400" width="10.5703125" style="142" bestFit="1" customWidth="1"/>
    <col min="5401" max="5403" width="0" style="142" hidden="1" customWidth="1"/>
    <col min="5404" max="5632" width="9.140625" style="142"/>
    <col min="5633" max="5633" width="3" style="142" customWidth="1"/>
    <col min="5634" max="5634" width="18.7109375" style="142" customWidth="1"/>
    <col min="5635" max="5654" width="2.85546875" style="142" customWidth="1"/>
    <col min="5655" max="5655" width="3" style="142" bestFit="1" customWidth="1"/>
    <col min="5656" max="5656" width="10.5703125" style="142" bestFit="1" customWidth="1"/>
    <col min="5657" max="5659" width="0" style="142" hidden="1" customWidth="1"/>
    <col min="5660" max="5888" width="9.140625" style="142"/>
    <col min="5889" max="5889" width="3" style="142" customWidth="1"/>
    <col min="5890" max="5890" width="18.7109375" style="142" customWidth="1"/>
    <col min="5891" max="5910" width="2.85546875" style="142" customWidth="1"/>
    <col min="5911" max="5911" width="3" style="142" bestFit="1" customWidth="1"/>
    <col min="5912" max="5912" width="10.5703125" style="142" bestFit="1" customWidth="1"/>
    <col min="5913" max="5915" width="0" style="142" hidden="1" customWidth="1"/>
    <col min="5916" max="6144" width="9.140625" style="142"/>
    <col min="6145" max="6145" width="3" style="142" customWidth="1"/>
    <col min="6146" max="6146" width="18.7109375" style="142" customWidth="1"/>
    <col min="6147" max="6166" width="2.85546875" style="142" customWidth="1"/>
    <col min="6167" max="6167" width="3" style="142" bestFit="1" customWidth="1"/>
    <col min="6168" max="6168" width="10.5703125" style="142" bestFit="1" customWidth="1"/>
    <col min="6169" max="6171" width="0" style="142" hidden="1" customWidth="1"/>
    <col min="6172" max="6400" width="9.140625" style="142"/>
    <col min="6401" max="6401" width="3" style="142" customWidth="1"/>
    <col min="6402" max="6402" width="18.7109375" style="142" customWidth="1"/>
    <col min="6403" max="6422" width="2.85546875" style="142" customWidth="1"/>
    <col min="6423" max="6423" width="3" style="142" bestFit="1" customWidth="1"/>
    <col min="6424" max="6424" width="10.5703125" style="142" bestFit="1" customWidth="1"/>
    <col min="6425" max="6427" width="0" style="142" hidden="1" customWidth="1"/>
    <col min="6428" max="6656" width="9.140625" style="142"/>
    <col min="6657" max="6657" width="3" style="142" customWidth="1"/>
    <col min="6658" max="6658" width="18.7109375" style="142" customWidth="1"/>
    <col min="6659" max="6678" width="2.85546875" style="142" customWidth="1"/>
    <col min="6679" max="6679" width="3" style="142" bestFit="1" customWidth="1"/>
    <col min="6680" max="6680" width="10.5703125" style="142" bestFit="1" customWidth="1"/>
    <col min="6681" max="6683" width="0" style="142" hidden="1" customWidth="1"/>
    <col min="6684" max="6912" width="9.140625" style="142"/>
    <col min="6913" max="6913" width="3" style="142" customWidth="1"/>
    <col min="6914" max="6914" width="18.7109375" style="142" customWidth="1"/>
    <col min="6915" max="6934" width="2.85546875" style="142" customWidth="1"/>
    <col min="6935" max="6935" width="3" style="142" bestFit="1" customWidth="1"/>
    <col min="6936" max="6936" width="10.5703125" style="142" bestFit="1" customWidth="1"/>
    <col min="6937" max="6939" width="0" style="142" hidden="1" customWidth="1"/>
    <col min="6940" max="7168" width="9.140625" style="142"/>
    <col min="7169" max="7169" width="3" style="142" customWidth="1"/>
    <col min="7170" max="7170" width="18.7109375" style="142" customWidth="1"/>
    <col min="7171" max="7190" width="2.85546875" style="142" customWidth="1"/>
    <col min="7191" max="7191" width="3" style="142" bestFit="1" customWidth="1"/>
    <col min="7192" max="7192" width="10.5703125" style="142" bestFit="1" customWidth="1"/>
    <col min="7193" max="7195" width="0" style="142" hidden="1" customWidth="1"/>
    <col min="7196" max="7424" width="9.140625" style="142"/>
    <col min="7425" max="7425" width="3" style="142" customWidth="1"/>
    <col min="7426" max="7426" width="18.7109375" style="142" customWidth="1"/>
    <col min="7427" max="7446" width="2.85546875" style="142" customWidth="1"/>
    <col min="7447" max="7447" width="3" style="142" bestFit="1" customWidth="1"/>
    <col min="7448" max="7448" width="10.5703125" style="142" bestFit="1" customWidth="1"/>
    <col min="7449" max="7451" width="0" style="142" hidden="1" customWidth="1"/>
    <col min="7452" max="7680" width="9.140625" style="142"/>
    <col min="7681" max="7681" width="3" style="142" customWidth="1"/>
    <col min="7682" max="7682" width="18.7109375" style="142" customWidth="1"/>
    <col min="7683" max="7702" width="2.85546875" style="142" customWidth="1"/>
    <col min="7703" max="7703" width="3" style="142" bestFit="1" customWidth="1"/>
    <col min="7704" max="7704" width="10.5703125" style="142" bestFit="1" customWidth="1"/>
    <col min="7705" max="7707" width="0" style="142" hidden="1" customWidth="1"/>
    <col min="7708" max="7936" width="9.140625" style="142"/>
    <col min="7937" max="7937" width="3" style="142" customWidth="1"/>
    <col min="7938" max="7938" width="18.7109375" style="142" customWidth="1"/>
    <col min="7939" max="7958" width="2.85546875" style="142" customWidth="1"/>
    <col min="7959" max="7959" width="3" style="142" bestFit="1" customWidth="1"/>
    <col min="7960" max="7960" width="10.5703125" style="142" bestFit="1" customWidth="1"/>
    <col min="7961" max="7963" width="0" style="142" hidden="1" customWidth="1"/>
    <col min="7964" max="8192" width="9.140625" style="142"/>
    <col min="8193" max="8193" width="3" style="142" customWidth="1"/>
    <col min="8194" max="8194" width="18.7109375" style="142" customWidth="1"/>
    <col min="8195" max="8214" width="2.85546875" style="142" customWidth="1"/>
    <col min="8215" max="8215" width="3" style="142" bestFit="1" customWidth="1"/>
    <col min="8216" max="8216" width="10.5703125" style="142" bestFit="1" customWidth="1"/>
    <col min="8217" max="8219" width="0" style="142" hidden="1" customWidth="1"/>
    <col min="8220" max="8448" width="9.140625" style="142"/>
    <col min="8449" max="8449" width="3" style="142" customWidth="1"/>
    <col min="8450" max="8450" width="18.7109375" style="142" customWidth="1"/>
    <col min="8451" max="8470" width="2.85546875" style="142" customWidth="1"/>
    <col min="8471" max="8471" width="3" style="142" bestFit="1" customWidth="1"/>
    <col min="8472" max="8472" width="10.5703125" style="142" bestFit="1" customWidth="1"/>
    <col min="8473" max="8475" width="0" style="142" hidden="1" customWidth="1"/>
    <col min="8476" max="8704" width="9.140625" style="142"/>
    <col min="8705" max="8705" width="3" style="142" customWidth="1"/>
    <col min="8706" max="8706" width="18.7109375" style="142" customWidth="1"/>
    <col min="8707" max="8726" width="2.85546875" style="142" customWidth="1"/>
    <col min="8727" max="8727" width="3" style="142" bestFit="1" customWidth="1"/>
    <col min="8728" max="8728" width="10.5703125" style="142" bestFit="1" customWidth="1"/>
    <col min="8729" max="8731" width="0" style="142" hidden="1" customWidth="1"/>
    <col min="8732" max="8960" width="9.140625" style="142"/>
    <col min="8961" max="8961" width="3" style="142" customWidth="1"/>
    <col min="8962" max="8962" width="18.7109375" style="142" customWidth="1"/>
    <col min="8963" max="8982" width="2.85546875" style="142" customWidth="1"/>
    <col min="8983" max="8983" width="3" style="142" bestFit="1" customWidth="1"/>
    <col min="8984" max="8984" width="10.5703125" style="142" bestFit="1" customWidth="1"/>
    <col min="8985" max="8987" width="0" style="142" hidden="1" customWidth="1"/>
    <col min="8988" max="9216" width="9.140625" style="142"/>
    <col min="9217" max="9217" width="3" style="142" customWidth="1"/>
    <col min="9218" max="9218" width="18.7109375" style="142" customWidth="1"/>
    <col min="9219" max="9238" width="2.85546875" style="142" customWidth="1"/>
    <col min="9239" max="9239" width="3" style="142" bestFit="1" customWidth="1"/>
    <col min="9240" max="9240" width="10.5703125" style="142" bestFit="1" customWidth="1"/>
    <col min="9241" max="9243" width="0" style="142" hidden="1" customWidth="1"/>
    <col min="9244" max="9472" width="9.140625" style="142"/>
    <col min="9473" max="9473" width="3" style="142" customWidth="1"/>
    <col min="9474" max="9474" width="18.7109375" style="142" customWidth="1"/>
    <col min="9475" max="9494" width="2.85546875" style="142" customWidth="1"/>
    <col min="9495" max="9495" width="3" style="142" bestFit="1" customWidth="1"/>
    <col min="9496" max="9496" width="10.5703125" style="142" bestFit="1" customWidth="1"/>
    <col min="9497" max="9499" width="0" style="142" hidden="1" customWidth="1"/>
    <col min="9500" max="9728" width="9.140625" style="142"/>
    <col min="9729" max="9729" width="3" style="142" customWidth="1"/>
    <col min="9730" max="9730" width="18.7109375" style="142" customWidth="1"/>
    <col min="9731" max="9750" width="2.85546875" style="142" customWidth="1"/>
    <col min="9751" max="9751" width="3" style="142" bestFit="1" customWidth="1"/>
    <col min="9752" max="9752" width="10.5703125" style="142" bestFit="1" customWidth="1"/>
    <col min="9753" max="9755" width="0" style="142" hidden="1" customWidth="1"/>
    <col min="9756" max="9984" width="9.140625" style="142"/>
    <col min="9985" max="9985" width="3" style="142" customWidth="1"/>
    <col min="9986" max="9986" width="18.7109375" style="142" customWidth="1"/>
    <col min="9987" max="10006" width="2.85546875" style="142" customWidth="1"/>
    <col min="10007" max="10007" width="3" style="142" bestFit="1" customWidth="1"/>
    <col min="10008" max="10008" width="10.5703125" style="142" bestFit="1" customWidth="1"/>
    <col min="10009" max="10011" width="0" style="142" hidden="1" customWidth="1"/>
    <col min="10012" max="10240" width="9.140625" style="142"/>
    <col min="10241" max="10241" width="3" style="142" customWidth="1"/>
    <col min="10242" max="10242" width="18.7109375" style="142" customWidth="1"/>
    <col min="10243" max="10262" width="2.85546875" style="142" customWidth="1"/>
    <col min="10263" max="10263" width="3" style="142" bestFit="1" customWidth="1"/>
    <col min="10264" max="10264" width="10.5703125" style="142" bestFit="1" customWidth="1"/>
    <col min="10265" max="10267" width="0" style="142" hidden="1" customWidth="1"/>
    <col min="10268" max="10496" width="9.140625" style="142"/>
    <col min="10497" max="10497" width="3" style="142" customWidth="1"/>
    <col min="10498" max="10498" width="18.7109375" style="142" customWidth="1"/>
    <col min="10499" max="10518" width="2.85546875" style="142" customWidth="1"/>
    <col min="10519" max="10519" width="3" style="142" bestFit="1" customWidth="1"/>
    <col min="10520" max="10520" width="10.5703125" style="142" bestFit="1" customWidth="1"/>
    <col min="10521" max="10523" width="0" style="142" hidden="1" customWidth="1"/>
    <col min="10524" max="10752" width="9.140625" style="142"/>
    <col min="10753" max="10753" width="3" style="142" customWidth="1"/>
    <col min="10754" max="10754" width="18.7109375" style="142" customWidth="1"/>
    <col min="10755" max="10774" width="2.85546875" style="142" customWidth="1"/>
    <col min="10775" max="10775" width="3" style="142" bestFit="1" customWidth="1"/>
    <col min="10776" max="10776" width="10.5703125" style="142" bestFit="1" customWidth="1"/>
    <col min="10777" max="10779" width="0" style="142" hidden="1" customWidth="1"/>
    <col min="10780" max="11008" width="9.140625" style="142"/>
    <col min="11009" max="11009" width="3" style="142" customWidth="1"/>
    <col min="11010" max="11010" width="18.7109375" style="142" customWidth="1"/>
    <col min="11011" max="11030" width="2.85546875" style="142" customWidth="1"/>
    <col min="11031" max="11031" width="3" style="142" bestFit="1" customWidth="1"/>
    <col min="11032" max="11032" width="10.5703125" style="142" bestFit="1" customWidth="1"/>
    <col min="11033" max="11035" width="0" style="142" hidden="1" customWidth="1"/>
    <col min="11036" max="11264" width="9.140625" style="142"/>
    <col min="11265" max="11265" width="3" style="142" customWidth="1"/>
    <col min="11266" max="11266" width="18.7109375" style="142" customWidth="1"/>
    <col min="11267" max="11286" width="2.85546875" style="142" customWidth="1"/>
    <col min="11287" max="11287" width="3" style="142" bestFit="1" customWidth="1"/>
    <col min="11288" max="11288" width="10.5703125" style="142" bestFit="1" customWidth="1"/>
    <col min="11289" max="11291" width="0" style="142" hidden="1" customWidth="1"/>
    <col min="11292" max="11520" width="9.140625" style="142"/>
    <col min="11521" max="11521" width="3" style="142" customWidth="1"/>
    <col min="11522" max="11522" width="18.7109375" style="142" customWidth="1"/>
    <col min="11523" max="11542" width="2.85546875" style="142" customWidth="1"/>
    <col min="11543" max="11543" width="3" style="142" bestFit="1" customWidth="1"/>
    <col min="11544" max="11544" width="10.5703125" style="142" bestFit="1" customWidth="1"/>
    <col min="11545" max="11547" width="0" style="142" hidden="1" customWidth="1"/>
    <col min="11548" max="11776" width="9.140625" style="142"/>
    <col min="11777" max="11777" width="3" style="142" customWidth="1"/>
    <col min="11778" max="11778" width="18.7109375" style="142" customWidth="1"/>
    <col min="11779" max="11798" width="2.85546875" style="142" customWidth="1"/>
    <col min="11799" max="11799" width="3" style="142" bestFit="1" customWidth="1"/>
    <col min="11800" max="11800" width="10.5703125" style="142" bestFit="1" customWidth="1"/>
    <col min="11801" max="11803" width="0" style="142" hidden="1" customWidth="1"/>
    <col min="11804" max="12032" width="9.140625" style="142"/>
    <col min="12033" max="12033" width="3" style="142" customWidth="1"/>
    <col min="12034" max="12034" width="18.7109375" style="142" customWidth="1"/>
    <col min="12035" max="12054" width="2.85546875" style="142" customWidth="1"/>
    <col min="12055" max="12055" width="3" style="142" bestFit="1" customWidth="1"/>
    <col min="12056" max="12056" width="10.5703125" style="142" bestFit="1" customWidth="1"/>
    <col min="12057" max="12059" width="0" style="142" hidden="1" customWidth="1"/>
    <col min="12060" max="12288" width="9.140625" style="142"/>
    <col min="12289" max="12289" width="3" style="142" customWidth="1"/>
    <col min="12290" max="12290" width="18.7109375" style="142" customWidth="1"/>
    <col min="12291" max="12310" width="2.85546875" style="142" customWidth="1"/>
    <col min="12311" max="12311" width="3" style="142" bestFit="1" customWidth="1"/>
    <col min="12312" max="12312" width="10.5703125" style="142" bestFit="1" customWidth="1"/>
    <col min="12313" max="12315" width="0" style="142" hidden="1" customWidth="1"/>
    <col min="12316" max="12544" width="9.140625" style="142"/>
    <col min="12545" max="12545" width="3" style="142" customWidth="1"/>
    <col min="12546" max="12546" width="18.7109375" style="142" customWidth="1"/>
    <col min="12547" max="12566" width="2.85546875" style="142" customWidth="1"/>
    <col min="12567" max="12567" width="3" style="142" bestFit="1" customWidth="1"/>
    <col min="12568" max="12568" width="10.5703125" style="142" bestFit="1" customWidth="1"/>
    <col min="12569" max="12571" width="0" style="142" hidden="1" customWidth="1"/>
    <col min="12572" max="12800" width="9.140625" style="142"/>
    <col min="12801" max="12801" width="3" style="142" customWidth="1"/>
    <col min="12802" max="12802" width="18.7109375" style="142" customWidth="1"/>
    <col min="12803" max="12822" width="2.85546875" style="142" customWidth="1"/>
    <col min="12823" max="12823" width="3" style="142" bestFit="1" customWidth="1"/>
    <col min="12824" max="12824" width="10.5703125" style="142" bestFit="1" customWidth="1"/>
    <col min="12825" max="12827" width="0" style="142" hidden="1" customWidth="1"/>
    <col min="12828" max="13056" width="9.140625" style="142"/>
    <col min="13057" max="13057" width="3" style="142" customWidth="1"/>
    <col min="13058" max="13058" width="18.7109375" style="142" customWidth="1"/>
    <col min="13059" max="13078" width="2.85546875" style="142" customWidth="1"/>
    <col min="13079" max="13079" width="3" style="142" bestFit="1" customWidth="1"/>
    <col min="13080" max="13080" width="10.5703125" style="142" bestFit="1" customWidth="1"/>
    <col min="13081" max="13083" width="0" style="142" hidden="1" customWidth="1"/>
    <col min="13084" max="13312" width="9.140625" style="142"/>
    <col min="13313" max="13313" width="3" style="142" customWidth="1"/>
    <col min="13314" max="13314" width="18.7109375" style="142" customWidth="1"/>
    <col min="13315" max="13334" width="2.85546875" style="142" customWidth="1"/>
    <col min="13335" max="13335" width="3" style="142" bestFit="1" customWidth="1"/>
    <col min="13336" max="13336" width="10.5703125" style="142" bestFit="1" customWidth="1"/>
    <col min="13337" max="13339" width="0" style="142" hidden="1" customWidth="1"/>
    <col min="13340" max="13568" width="9.140625" style="142"/>
    <col min="13569" max="13569" width="3" style="142" customWidth="1"/>
    <col min="13570" max="13570" width="18.7109375" style="142" customWidth="1"/>
    <col min="13571" max="13590" width="2.85546875" style="142" customWidth="1"/>
    <col min="13591" max="13591" width="3" style="142" bestFit="1" customWidth="1"/>
    <col min="13592" max="13592" width="10.5703125" style="142" bestFit="1" customWidth="1"/>
    <col min="13593" max="13595" width="0" style="142" hidden="1" customWidth="1"/>
    <col min="13596" max="13824" width="9.140625" style="142"/>
    <col min="13825" max="13825" width="3" style="142" customWidth="1"/>
    <col min="13826" max="13826" width="18.7109375" style="142" customWidth="1"/>
    <col min="13827" max="13846" width="2.85546875" style="142" customWidth="1"/>
    <col min="13847" max="13847" width="3" style="142" bestFit="1" customWidth="1"/>
    <col min="13848" max="13848" width="10.5703125" style="142" bestFit="1" customWidth="1"/>
    <col min="13849" max="13851" width="0" style="142" hidden="1" customWidth="1"/>
    <col min="13852" max="14080" width="9.140625" style="142"/>
    <col min="14081" max="14081" width="3" style="142" customWidth="1"/>
    <col min="14082" max="14082" width="18.7109375" style="142" customWidth="1"/>
    <col min="14083" max="14102" width="2.85546875" style="142" customWidth="1"/>
    <col min="14103" max="14103" width="3" style="142" bestFit="1" customWidth="1"/>
    <col min="14104" max="14104" width="10.5703125" style="142" bestFit="1" customWidth="1"/>
    <col min="14105" max="14107" width="0" style="142" hidden="1" customWidth="1"/>
    <col min="14108" max="14336" width="9.140625" style="142"/>
    <col min="14337" max="14337" width="3" style="142" customWidth="1"/>
    <col min="14338" max="14338" width="18.7109375" style="142" customWidth="1"/>
    <col min="14339" max="14358" width="2.85546875" style="142" customWidth="1"/>
    <col min="14359" max="14359" width="3" style="142" bestFit="1" customWidth="1"/>
    <col min="14360" max="14360" width="10.5703125" style="142" bestFit="1" customWidth="1"/>
    <col min="14361" max="14363" width="0" style="142" hidden="1" customWidth="1"/>
    <col min="14364" max="14592" width="9.140625" style="142"/>
    <col min="14593" max="14593" width="3" style="142" customWidth="1"/>
    <col min="14594" max="14594" width="18.7109375" style="142" customWidth="1"/>
    <col min="14595" max="14614" width="2.85546875" style="142" customWidth="1"/>
    <col min="14615" max="14615" width="3" style="142" bestFit="1" customWidth="1"/>
    <col min="14616" max="14616" width="10.5703125" style="142" bestFit="1" customWidth="1"/>
    <col min="14617" max="14619" width="0" style="142" hidden="1" customWidth="1"/>
    <col min="14620" max="14848" width="9.140625" style="142"/>
    <col min="14849" max="14849" width="3" style="142" customWidth="1"/>
    <col min="14850" max="14850" width="18.7109375" style="142" customWidth="1"/>
    <col min="14851" max="14870" width="2.85546875" style="142" customWidth="1"/>
    <col min="14871" max="14871" width="3" style="142" bestFit="1" customWidth="1"/>
    <col min="14872" max="14872" width="10.5703125" style="142" bestFit="1" customWidth="1"/>
    <col min="14873" max="14875" width="0" style="142" hidden="1" customWidth="1"/>
    <col min="14876" max="15104" width="9.140625" style="142"/>
    <col min="15105" max="15105" width="3" style="142" customWidth="1"/>
    <col min="15106" max="15106" width="18.7109375" style="142" customWidth="1"/>
    <col min="15107" max="15126" width="2.85546875" style="142" customWidth="1"/>
    <col min="15127" max="15127" width="3" style="142" bestFit="1" customWidth="1"/>
    <col min="15128" max="15128" width="10.5703125" style="142" bestFit="1" customWidth="1"/>
    <col min="15129" max="15131" width="0" style="142" hidden="1" customWidth="1"/>
    <col min="15132" max="15360" width="9.140625" style="142"/>
    <col min="15361" max="15361" width="3" style="142" customWidth="1"/>
    <col min="15362" max="15362" width="18.7109375" style="142" customWidth="1"/>
    <col min="15363" max="15382" width="2.85546875" style="142" customWidth="1"/>
    <col min="15383" max="15383" width="3" style="142" bestFit="1" customWidth="1"/>
    <col min="15384" max="15384" width="10.5703125" style="142" bestFit="1" customWidth="1"/>
    <col min="15385" max="15387" width="0" style="142" hidden="1" customWidth="1"/>
    <col min="15388" max="15616" width="9.140625" style="142"/>
    <col min="15617" max="15617" width="3" style="142" customWidth="1"/>
    <col min="15618" max="15618" width="18.7109375" style="142" customWidth="1"/>
    <col min="15619" max="15638" width="2.85546875" style="142" customWidth="1"/>
    <col min="15639" max="15639" width="3" style="142" bestFit="1" customWidth="1"/>
    <col min="15640" max="15640" width="10.5703125" style="142" bestFit="1" customWidth="1"/>
    <col min="15641" max="15643" width="0" style="142" hidden="1" customWidth="1"/>
    <col min="15644" max="15872" width="9.140625" style="142"/>
    <col min="15873" max="15873" width="3" style="142" customWidth="1"/>
    <col min="15874" max="15874" width="18.7109375" style="142" customWidth="1"/>
    <col min="15875" max="15894" width="2.85546875" style="142" customWidth="1"/>
    <col min="15895" max="15895" width="3" style="142" bestFit="1" customWidth="1"/>
    <col min="15896" max="15896" width="10.5703125" style="142" bestFit="1" customWidth="1"/>
    <col min="15897" max="15899" width="0" style="142" hidden="1" customWidth="1"/>
    <col min="15900" max="16128" width="9.140625" style="142"/>
    <col min="16129" max="16129" width="3" style="142" customWidth="1"/>
    <col min="16130" max="16130" width="18.7109375" style="142" customWidth="1"/>
    <col min="16131" max="16150" width="2.85546875" style="142" customWidth="1"/>
    <col min="16151" max="16151" width="3" style="142" bestFit="1" customWidth="1"/>
    <col min="16152" max="16152" width="10.5703125" style="142" bestFit="1" customWidth="1"/>
    <col min="16153" max="16155" width="0" style="142" hidden="1" customWidth="1"/>
    <col min="16156" max="16384" width="9.140625" style="142"/>
  </cols>
  <sheetData>
    <row r="1" spans="1:24" s="135" customFormat="1" x14ac:dyDescent="0.2">
      <c r="A1" s="117" t="str">
        <f>UPPER((Kalend!E13)&amp;" - "&amp;(Kalend!C13)&amp;" - "&amp;(Kalend!D13))</f>
        <v>5M - 17. EESTI MV - TULISTAMINE</v>
      </c>
      <c r="B1" s="206"/>
      <c r="C1" s="206"/>
      <c r="D1" s="206"/>
      <c r="E1" s="206"/>
      <c r="I1" s="299" t="s">
        <v>170</v>
      </c>
      <c r="J1" s="300"/>
      <c r="K1" s="300"/>
      <c r="L1" s="300"/>
      <c r="Q1" s="85" t="str">
        <f>HYPERLINK("#Üldreiting!I1","Reiting")</f>
        <v>Reiting</v>
      </c>
      <c r="R1" s="206"/>
      <c r="S1" s="206"/>
      <c r="T1" s="206"/>
      <c r="U1" s="206"/>
      <c r="V1" s="206"/>
    </row>
    <row r="2" spans="1:24" s="135" customFormat="1" x14ac:dyDescent="0.2">
      <c r="A2" s="116" t="str">
        <f>"Toimumisaeg: "&amp;(Kalend!A13)&amp;" kell "&amp;(Kalend!B13)</f>
        <v>Toimumisaeg: P, 11.06.2017 kell 10:00</v>
      </c>
      <c r="B2" s="206"/>
      <c r="C2" s="206"/>
      <c r="D2" s="206"/>
      <c r="E2" s="206"/>
      <c r="O2" s="206"/>
      <c r="P2" s="206"/>
      <c r="Q2" s="206"/>
      <c r="R2" s="206"/>
      <c r="S2" s="206"/>
      <c r="T2" s="206"/>
    </row>
    <row r="3" spans="1:24" s="135" customFormat="1" x14ac:dyDescent="0.2">
      <c r="A3" s="116" t="str">
        <f>"Toimumiskoht: "&amp;(Kalend!H13)</f>
        <v>Toimumiskoht: Kohtla-Järve, Järveküla tee 44</v>
      </c>
      <c r="B3" s="206"/>
      <c r="C3" s="206"/>
      <c r="D3" s="206"/>
      <c r="E3" s="206"/>
      <c r="O3" s="206"/>
      <c r="P3" s="206"/>
      <c r="Q3" s="206"/>
      <c r="R3" s="206"/>
      <c r="S3" s="206"/>
      <c r="T3" s="206"/>
    </row>
    <row r="4" spans="1:24" s="135" customFormat="1" x14ac:dyDescent="0.2">
      <c r="A4" s="116" t="str">
        <f>"Korraldaja: "&amp;(Kalend!I13)</f>
        <v>Korraldaja: Kohtla-Järve SHK, Ivar Viljaste</v>
      </c>
      <c r="B4" s="206"/>
      <c r="C4" s="206"/>
      <c r="D4" s="206"/>
      <c r="E4" s="206"/>
      <c r="O4" s="206"/>
      <c r="P4" s="206"/>
      <c r="Q4" s="206"/>
      <c r="R4" s="206"/>
      <c r="S4" s="206"/>
      <c r="T4" s="206"/>
    </row>
    <row r="5" spans="1:24" s="135" customFormat="1" ht="13.5" thickBot="1" x14ac:dyDescent="0.25">
      <c r="A5" s="206"/>
      <c r="B5" s="206"/>
      <c r="C5" s="206"/>
      <c r="D5" s="206"/>
      <c r="E5" s="206"/>
      <c r="F5" s="206"/>
      <c r="G5" s="206"/>
      <c r="H5" s="206"/>
      <c r="I5" s="206"/>
      <c r="J5" s="206"/>
      <c r="K5" s="206"/>
    </row>
    <row r="6" spans="1:24" ht="63.75" customHeight="1" thickBot="1" x14ac:dyDescent="0.25">
      <c r="A6" s="232"/>
      <c r="B6" s="233"/>
      <c r="C6" s="234"/>
      <c r="D6" s="234"/>
      <c r="E6" s="234"/>
      <c r="F6" s="234"/>
      <c r="G6" s="235"/>
      <c r="H6" s="234"/>
      <c r="I6" s="234"/>
      <c r="J6" s="236"/>
      <c r="K6" s="234"/>
      <c r="L6" s="234"/>
      <c r="M6" s="234"/>
      <c r="N6" s="234"/>
      <c r="O6" s="235"/>
      <c r="P6" s="234"/>
      <c r="Q6" s="234"/>
      <c r="R6" s="236"/>
      <c r="S6" s="234"/>
      <c r="T6" s="234"/>
      <c r="U6" s="234"/>
      <c r="V6" s="234"/>
      <c r="W6" s="237"/>
      <c r="X6" s="237"/>
    </row>
    <row r="7" spans="1:24" s="143" customFormat="1" ht="13.5" thickBot="1" x14ac:dyDescent="0.25">
      <c r="A7" s="238"/>
      <c r="B7" s="239"/>
      <c r="C7" s="240">
        <v>6</v>
      </c>
      <c r="D7" s="241">
        <v>7</v>
      </c>
      <c r="E7" s="241">
        <v>8</v>
      </c>
      <c r="F7" s="242">
        <v>9</v>
      </c>
      <c r="G7" s="240">
        <v>6</v>
      </c>
      <c r="H7" s="241">
        <v>7</v>
      </c>
      <c r="I7" s="241">
        <v>8</v>
      </c>
      <c r="J7" s="242">
        <v>9</v>
      </c>
      <c r="K7" s="240">
        <v>6</v>
      </c>
      <c r="L7" s="241">
        <v>7</v>
      </c>
      <c r="M7" s="241">
        <v>8</v>
      </c>
      <c r="N7" s="242">
        <v>9</v>
      </c>
      <c r="O7" s="240">
        <v>6</v>
      </c>
      <c r="P7" s="241">
        <v>7</v>
      </c>
      <c r="Q7" s="241">
        <v>8</v>
      </c>
      <c r="R7" s="242">
        <v>9</v>
      </c>
      <c r="S7" s="240">
        <v>6</v>
      </c>
      <c r="T7" s="241">
        <v>7</v>
      </c>
      <c r="U7" s="241">
        <v>8</v>
      </c>
      <c r="V7" s="242">
        <v>9</v>
      </c>
      <c r="W7" s="243" t="s">
        <v>155</v>
      </c>
      <c r="X7" s="244" t="s">
        <v>222</v>
      </c>
    </row>
    <row r="8" spans="1:24" x14ac:dyDescent="0.2">
      <c r="A8" s="245"/>
      <c r="B8" s="246" t="s">
        <v>221</v>
      </c>
      <c r="C8" s="247"/>
      <c r="D8" s="248"/>
      <c r="E8" s="248"/>
      <c r="F8" s="249"/>
      <c r="G8" s="247"/>
      <c r="H8" s="248"/>
      <c r="I8" s="248"/>
      <c r="J8" s="249"/>
      <c r="K8" s="247"/>
      <c r="L8" s="248"/>
      <c r="M8" s="248"/>
      <c r="N8" s="249"/>
      <c r="O8" s="247"/>
      <c r="P8" s="248"/>
      <c r="Q8" s="248"/>
      <c r="R8" s="249"/>
      <c r="S8" s="247"/>
      <c r="T8" s="248"/>
      <c r="U8" s="248"/>
      <c r="V8" s="249"/>
      <c r="W8" s="245"/>
      <c r="X8" s="250"/>
    </row>
    <row r="9" spans="1:24" x14ac:dyDescent="0.2">
      <c r="A9" s="171">
        <v>1</v>
      </c>
      <c r="B9" s="200"/>
      <c r="C9" s="162"/>
      <c r="D9" s="163"/>
      <c r="E9" s="163"/>
      <c r="F9" s="164"/>
      <c r="G9" s="162"/>
      <c r="H9" s="163"/>
      <c r="I9" s="163"/>
      <c r="J9" s="164"/>
      <c r="K9" s="162"/>
      <c r="L9" s="163"/>
      <c r="M9" s="163"/>
      <c r="N9" s="164"/>
      <c r="O9" s="162"/>
      <c r="P9" s="163"/>
      <c r="Q9" s="163"/>
      <c r="R9" s="164"/>
      <c r="S9" s="162"/>
      <c r="T9" s="163"/>
      <c r="U9" s="163"/>
      <c r="V9" s="164"/>
      <c r="W9" s="165" t="str">
        <f>IF(COUNTA(C9:V9)=0,"",SUM(C9:V9)+COUNTIF(C9:V9,5)/100+COUNTIF(C9:V9,3)/10000)</f>
        <v/>
      </c>
      <c r="X9" s="165" t="str">
        <f>IF(COUNTA(C9:V9)=0,"",IF(RANK(W9,$W$9:$W$15)&lt;3,"edasi "&amp;RANK(W9,$W$9:$W$15),IF(RANK(W9,$W$9:$W$15)&lt;7,"vahevooru "&amp;RANK(W9,$W$9:$W$15),RANK(W9,$W$9:$W$15))))</f>
        <v/>
      </c>
    </row>
    <row r="10" spans="1:24" x14ac:dyDescent="0.2">
      <c r="A10" s="171">
        <v>2</v>
      </c>
      <c r="B10" s="197"/>
      <c r="C10" s="162"/>
      <c r="D10" s="163"/>
      <c r="E10" s="163"/>
      <c r="F10" s="164"/>
      <c r="G10" s="162"/>
      <c r="H10" s="163"/>
      <c r="I10" s="163"/>
      <c r="J10" s="164"/>
      <c r="K10" s="162"/>
      <c r="L10" s="163"/>
      <c r="M10" s="163"/>
      <c r="N10" s="164"/>
      <c r="O10" s="162"/>
      <c r="P10" s="163"/>
      <c r="Q10" s="163"/>
      <c r="R10" s="164"/>
      <c r="S10" s="162"/>
      <c r="T10" s="163"/>
      <c r="U10" s="163"/>
      <c r="V10" s="164"/>
      <c r="W10" s="165" t="str">
        <f t="shared" ref="W10:W15" si="0">IF(COUNTA(C10:V10)=0,"",SUM(C10:V10)+COUNTIF(C10:V10,5)/100+COUNTIF(C10:V10,3)/10000)</f>
        <v/>
      </c>
      <c r="X10" s="165" t="str">
        <f t="shared" ref="X10:X15" si="1">IF(COUNTA(C10:V10)=0,"",IF(RANK(W10,$W$9:$W$15)&lt;3,"edasi "&amp;RANK(W10,$W$9:$W$15),IF(RANK(W10,$W$9:$W$15)&lt;7,"vahevooru "&amp;RANK(W10,$W$9:$W$15),RANK(W10,$W$9:$W$15))))</f>
        <v/>
      </c>
    </row>
    <row r="11" spans="1:24" x14ac:dyDescent="0.2">
      <c r="A11" s="169">
        <v>3</v>
      </c>
      <c r="B11" s="195"/>
      <c r="C11" s="166"/>
      <c r="D11" s="167"/>
      <c r="E11" s="167"/>
      <c r="F11" s="168"/>
      <c r="G11" s="166"/>
      <c r="H11" s="167"/>
      <c r="I11" s="167"/>
      <c r="J11" s="168"/>
      <c r="K11" s="166"/>
      <c r="L11" s="167"/>
      <c r="M11" s="167"/>
      <c r="N11" s="168"/>
      <c r="O11" s="166"/>
      <c r="P11" s="167"/>
      <c r="Q11" s="167"/>
      <c r="R11" s="168"/>
      <c r="S11" s="166"/>
      <c r="T11" s="167"/>
      <c r="U11" s="167"/>
      <c r="V11" s="168"/>
      <c r="W11" s="150" t="str">
        <f t="shared" si="0"/>
        <v/>
      </c>
      <c r="X11" s="150" t="str">
        <f t="shared" si="1"/>
        <v/>
      </c>
    </row>
    <row r="12" spans="1:24" x14ac:dyDescent="0.2">
      <c r="A12" s="169">
        <v>4</v>
      </c>
      <c r="B12" s="201"/>
      <c r="C12" s="166"/>
      <c r="D12" s="167"/>
      <c r="E12" s="167"/>
      <c r="F12" s="168"/>
      <c r="G12" s="166"/>
      <c r="H12" s="167"/>
      <c r="I12" s="167"/>
      <c r="J12" s="168"/>
      <c r="K12" s="166"/>
      <c r="L12" s="167"/>
      <c r="M12" s="167"/>
      <c r="N12" s="168"/>
      <c r="O12" s="166"/>
      <c r="P12" s="167"/>
      <c r="Q12" s="167"/>
      <c r="R12" s="168"/>
      <c r="S12" s="166"/>
      <c r="T12" s="167"/>
      <c r="U12" s="167"/>
      <c r="V12" s="168"/>
      <c r="W12" s="150" t="str">
        <f t="shared" si="0"/>
        <v/>
      </c>
      <c r="X12" s="150" t="str">
        <f t="shared" si="1"/>
        <v/>
      </c>
    </row>
    <row r="13" spans="1:24" x14ac:dyDescent="0.2">
      <c r="A13" s="171">
        <v>5</v>
      </c>
      <c r="B13" s="197"/>
      <c r="C13" s="162"/>
      <c r="D13" s="163"/>
      <c r="E13" s="163"/>
      <c r="F13" s="164"/>
      <c r="G13" s="162"/>
      <c r="H13" s="163"/>
      <c r="I13" s="163"/>
      <c r="J13" s="164"/>
      <c r="K13" s="162"/>
      <c r="L13" s="163"/>
      <c r="M13" s="163"/>
      <c r="N13" s="164"/>
      <c r="O13" s="162"/>
      <c r="P13" s="163"/>
      <c r="Q13" s="163"/>
      <c r="R13" s="164"/>
      <c r="S13" s="162"/>
      <c r="T13" s="163"/>
      <c r="U13" s="163"/>
      <c r="V13" s="164"/>
      <c r="W13" s="165" t="str">
        <f t="shared" si="0"/>
        <v/>
      </c>
      <c r="X13" s="165" t="str">
        <f t="shared" si="1"/>
        <v/>
      </c>
    </row>
    <row r="14" spans="1:24" x14ac:dyDescent="0.2">
      <c r="A14" s="171">
        <v>6</v>
      </c>
      <c r="B14" s="200"/>
      <c r="C14" s="162"/>
      <c r="D14" s="163"/>
      <c r="E14" s="163"/>
      <c r="F14" s="164"/>
      <c r="G14" s="162"/>
      <c r="H14" s="163"/>
      <c r="I14" s="163"/>
      <c r="J14" s="164"/>
      <c r="K14" s="162"/>
      <c r="L14" s="163"/>
      <c r="M14" s="163"/>
      <c r="N14" s="164"/>
      <c r="O14" s="162"/>
      <c r="P14" s="163"/>
      <c r="Q14" s="163"/>
      <c r="R14" s="164"/>
      <c r="S14" s="162"/>
      <c r="T14" s="163"/>
      <c r="U14" s="163"/>
      <c r="V14" s="164"/>
      <c r="W14" s="165" t="str">
        <f t="shared" si="0"/>
        <v/>
      </c>
      <c r="X14" s="165" t="str">
        <f t="shared" si="1"/>
        <v/>
      </c>
    </row>
    <row r="15" spans="1:24" x14ac:dyDescent="0.2">
      <c r="A15" s="169">
        <v>7</v>
      </c>
      <c r="B15" s="199"/>
      <c r="C15" s="166"/>
      <c r="D15" s="167"/>
      <c r="E15" s="167"/>
      <c r="F15" s="168"/>
      <c r="G15" s="166"/>
      <c r="H15" s="167"/>
      <c r="I15" s="167"/>
      <c r="J15" s="168"/>
      <c r="K15" s="166"/>
      <c r="L15" s="167"/>
      <c r="M15" s="167"/>
      <c r="N15" s="168"/>
      <c r="O15" s="166"/>
      <c r="P15" s="167"/>
      <c r="Q15" s="167"/>
      <c r="R15" s="168"/>
      <c r="S15" s="166"/>
      <c r="T15" s="167"/>
      <c r="U15" s="167"/>
      <c r="V15" s="168"/>
      <c r="W15" s="150" t="str">
        <f t="shared" si="0"/>
        <v/>
      </c>
      <c r="X15" s="150" t="str">
        <f t="shared" si="1"/>
        <v/>
      </c>
    </row>
    <row r="16" spans="1:24" x14ac:dyDescent="0.2">
      <c r="A16" s="169"/>
      <c r="B16" s="174" t="s">
        <v>220</v>
      </c>
      <c r="C16" s="144"/>
      <c r="D16" s="145"/>
      <c r="E16" s="145"/>
      <c r="F16" s="146"/>
      <c r="G16" s="144"/>
      <c r="H16" s="145"/>
      <c r="I16" s="145"/>
      <c r="J16" s="146"/>
      <c r="K16" s="144"/>
      <c r="L16" s="145"/>
      <c r="M16" s="145"/>
      <c r="N16" s="146"/>
      <c r="O16" s="144"/>
      <c r="P16" s="145"/>
      <c r="Q16" s="145"/>
      <c r="R16" s="146"/>
      <c r="S16" s="144"/>
      <c r="T16" s="145"/>
      <c r="U16" s="145"/>
      <c r="V16" s="146"/>
      <c r="W16" s="169"/>
      <c r="X16" s="147"/>
    </row>
    <row r="17" spans="1:24" x14ac:dyDescent="0.2">
      <c r="A17" s="171">
        <v>1</v>
      </c>
      <c r="B17" s="200"/>
      <c r="C17" s="162"/>
      <c r="D17" s="163"/>
      <c r="E17" s="163"/>
      <c r="F17" s="164"/>
      <c r="G17" s="162"/>
      <c r="H17" s="163"/>
      <c r="I17" s="163"/>
      <c r="J17" s="164"/>
      <c r="K17" s="162"/>
      <c r="L17" s="163"/>
      <c r="M17" s="163"/>
      <c r="N17" s="164"/>
      <c r="O17" s="162"/>
      <c r="P17" s="163"/>
      <c r="Q17" s="163"/>
      <c r="R17" s="164"/>
      <c r="S17" s="162"/>
      <c r="T17" s="163"/>
      <c r="U17" s="163"/>
      <c r="V17" s="164"/>
      <c r="W17" s="165" t="str">
        <f>IF(COUNTA(C17:V17)=0,"",SUM(C17:V17)+COUNTIF(C17:V17,5)/100+COUNTIF(C17:V17,3)/10000)</f>
        <v/>
      </c>
      <c r="X17" s="165" t="str">
        <f>IF(COUNTA(C17:V17)=0,"",IF(RANK(W17,$W$17:$W$20)&lt;3,"edasi "&amp;RANK(W17,$W$17:$W$20),RANK(W17,$W$17:$W$20)+2))</f>
        <v/>
      </c>
    </row>
    <row r="18" spans="1:24" x14ac:dyDescent="0.2">
      <c r="A18" s="171">
        <v>2</v>
      </c>
      <c r="B18" s="197"/>
      <c r="C18" s="162"/>
      <c r="D18" s="163"/>
      <c r="E18" s="163"/>
      <c r="F18" s="164"/>
      <c r="G18" s="162"/>
      <c r="H18" s="163"/>
      <c r="I18" s="163"/>
      <c r="J18" s="164"/>
      <c r="K18" s="162"/>
      <c r="L18" s="163"/>
      <c r="M18" s="163"/>
      <c r="N18" s="164"/>
      <c r="O18" s="162"/>
      <c r="P18" s="163"/>
      <c r="Q18" s="163"/>
      <c r="R18" s="164"/>
      <c r="S18" s="162"/>
      <c r="T18" s="163"/>
      <c r="U18" s="163"/>
      <c r="V18" s="164"/>
      <c r="W18" s="165" t="str">
        <f>IF(COUNTA(C18:V18)=0,"",SUM(C18:V18)+COUNTIF(C18:V18,5)/100+COUNTIF(C18:V18,3)/10000)</f>
        <v/>
      </c>
      <c r="X18" s="165" t="str">
        <f>IF(COUNTA(C18:V18)=0,"",IF(RANK(W18,$W$17:$W$20)&lt;3,"edasi "&amp;RANK(W18,$W$17:$W$20),RANK(W18,$W$17:$W$20)+2))</f>
        <v/>
      </c>
    </row>
    <row r="19" spans="1:24" x14ac:dyDescent="0.2">
      <c r="A19" s="169">
        <v>3</v>
      </c>
      <c r="B19" s="195"/>
      <c r="C19" s="166"/>
      <c r="D19" s="167"/>
      <c r="E19" s="167"/>
      <c r="F19" s="168"/>
      <c r="G19" s="166"/>
      <c r="H19" s="167"/>
      <c r="I19" s="167"/>
      <c r="J19" s="168"/>
      <c r="K19" s="166"/>
      <c r="L19" s="167"/>
      <c r="M19" s="167"/>
      <c r="N19" s="168"/>
      <c r="O19" s="166"/>
      <c r="P19" s="167"/>
      <c r="Q19" s="167"/>
      <c r="R19" s="168"/>
      <c r="S19" s="166"/>
      <c r="T19" s="167"/>
      <c r="U19" s="167"/>
      <c r="V19" s="168"/>
      <c r="W19" s="150" t="str">
        <f>IF(COUNTA(C19:V19)=0,"",SUM(C19:V19)+COUNTIF(C19:V19,5)/100+COUNTIF(C19:V19,3)/10000)</f>
        <v/>
      </c>
      <c r="X19" s="150" t="str">
        <f>IF(COUNTA(C19:V19)=0,"",IF(RANK(W19,$W$17:$W$20)&lt;3,"edasi "&amp;RANK(W19,$W$17:$W$20),RANK(W19,$W$17:$W$20)+2))</f>
        <v/>
      </c>
    </row>
    <row r="20" spans="1:24" x14ac:dyDescent="0.2">
      <c r="A20" s="169">
        <v>4</v>
      </c>
      <c r="B20" s="201"/>
      <c r="C20" s="166"/>
      <c r="D20" s="167"/>
      <c r="E20" s="167"/>
      <c r="F20" s="168"/>
      <c r="G20" s="166"/>
      <c r="H20" s="167"/>
      <c r="I20" s="167"/>
      <c r="J20" s="168"/>
      <c r="K20" s="166"/>
      <c r="L20" s="167"/>
      <c r="M20" s="167"/>
      <c r="N20" s="168"/>
      <c r="O20" s="166"/>
      <c r="P20" s="167"/>
      <c r="Q20" s="167"/>
      <c r="R20" s="168"/>
      <c r="S20" s="166"/>
      <c r="T20" s="167"/>
      <c r="U20" s="167"/>
      <c r="V20" s="168"/>
      <c r="W20" s="150" t="str">
        <f>IF(COUNTA(C20:V20)=0,"",SUM(C20:V20)+COUNTIF(C20:V20,5)/100+COUNTIF(C20:V20,3)/10000)</f>
        <v/>
      </c>
      <c r="X20" s="150" t="str">
        <f>IF(COUNTA(C20:V20)=0,"",IF(RANK(W20,$W$17:$W$20)&lt;3,"edasi "&amp;RANK(W20,$W$17:$W$20),RANK(W20,$W$17:$W$20)+2))</f>
        <v/>
      </c>
    </row>
    <row r="21" spans="1:24" x14ac:dyDescent="0.2">
      <c r="A21" s="173"/>
      <c r="B21" s="174" t="s">
        <v>217</v>
      </c>
      <c r="C21" s="144"/>
      <c r="D21" s="145"/>
      <c r="E21" s="145"/>
      <c r="F21" s="146"/>
      <c r="G21" s="144"/>
      <c r="H21" s="145"/>
      <c r="I21" s="145"/>
      <c r="J21" s="146"/>
      <c r="K21" s="144"/>
      <c r="L21" s="145"/>
      <c r="M21" s="145"/>
      <c r="N21" s="146"/>
      <c r="O21" s="144"/>
      <c r="P21" s="145"/>
      <c r="Q21" s="145"/>
      <c r="R21" s="146"/>
      <c r="S21" s="144"/>
      <c r="T21" s="145"/>
      <c r="U21" s="145"/>
      <c r="V21" s="146"/>
      <c r="W21" s="147"/>
      <c r="X21" s="147"/>
    </row>
    <row r="22" spans="1:24" x14ac:dyDescent="0.2">
      <c r="A22" s="251">
        <v>1</v>
      </c>
      <c r="B22" s="257"/>
      <c r="C22" s="253"/>
      <c r="D22" s="254"/>
      <c r="E22" s="254"/>
      <c r="F22" s="255"/>
      <c r="G22" s="253"/>
      <c r="H22" s="254"/>
      <c r="I22" s="254"/>
      <c r="J22" s="255"/>
      <c r="K22" s="253"/>
      <c r="L22" s="254"/>
      <c r="M22" s="254"/>
      <c r="N22" s="255"/>
      <c r="O22" s="253"/>
      <c r="P22" s="254"/>
      <c r="Q22" s="254"/>
      <c r="R22" s="255"/>
      <c r="S22" s="253"/>
      <c r="T22" s="254"/>
      <c r="U22" s="254"/>
      <c r="V22" s="255"/>
      <c r="W22" s="165">
        <f>SUM(C22:V22)</f>
        <v>0</v>
      </c>
      <c r="X22" s="256" t="str">
        <f>IF(COUNTA(C22:V22)=0,"",IF(W22=W23,"ümbervisk",IF(W22&gt;W23,"finaali "&amp;(IF(W22&lt;MAX(W24:W25),2,IF(W22=MAX(W24:W25),"",1))),"pronksi "&amp;(IF(W22&lt;MIN(W24:W25),2,IF(W22=MIN(W24:W25),"",1))))))</f>
        <v/>
      </c>
    </row>
    <row r="23" spans="1:24" x14ac:dyDescent="0.2">
      <c r="A23" s="251">
        <v>4</v>
      </c>
      <c r="B23" s="200"/>
      <c r="C23" s="253"/>
      <c r="D23" s="254"/>
      <c r="E23" s="254"/>
      <c r="F23" s="255"/>
      <c r="G23" s="253"/>
      <c r="H23" s="254"/>
      <c r="I23" s="254"/>
      <c r="J23" s="255"/>
      <c r="K23" s="253"/>
      <c r="L23" s="254"/>
      <c r="M23" s="254"/>
      <c r="N23" s="255"/>
      <c r="O23" s="253"/>
      <c r="P23" s="254"/>
      <c r="Q23" s="254"/>
      <c r="R23" s="255"/>
      <c r="S23" s="253"/>
      <c r="T23" s="254"/>
      <c r="U23" s="254"/>
      <c r="V23" s="255"/>
      <c r="W23" s="165">
        <f>SUM(C23:V23)</f>
        <v>0</v>
      </c>
      <c r="X23" s="256" t="str">
        <f>IF(COUNTA(C23:V23)=0,"",IF(W22=W23,"ümbervisk",IF(W23&gt;W22,"finaali "&amp;(IF(W23&lt;MAX(W24:W25),2,IF(W23=MAX(W24:W25),"",1))),"pronksi "&amp;(IF(W23&lt;MIN(W24:W25),2,IF(W23=MIN(W24:W25),"",1))))))</f>
        <v/>
      </c>
    </row>
    <row r="24" spans="1:24" x14ac:dyDescent="0.2">
      <c r="A24" s="173">
        <v>2</v>
      </c>
      <c r="B24" s="193"/>
      <c r="C24" s="144"/>
      <c r="D24" s="145"/>
      <c r="E24" s="145"/>
      <c r="F24" s="146"/>
      <c r="G24" s="144"/>
      <c r="H24" s="145"/>
      <c r="I24" s="145"/>
      <c r="J24" s="146"/>
      <c r="K24" s="144"/>
      <c r="L24" s="145"/>
      <c r="M24" s="145"/>
      <c r="N24" s="146"/>
      <c r="O24" s="144"/>
      <c r="P24" s="145"/>
      <c r="Q24" s="145"/>
      <c r="R24" s="146"/>
      <c r="S24" s="144"/>
      <c r="T24" s="145"/>
      <c r="U24" s="145"/>
      <c r="V24" s="146"/>
      <c r="W24" s="150">
        <f>SUM(C24:V24)</f>
        <v>0</v>
      </c>
      <c r="X24" s="147" t="str">
        <f>IF(COUNTA(C24:V24)=0,"",IF(W24=W25,"ümbervisk",IF(W24&gt;W25,"finaali "&amp;(IF(W24&lt;MAX(W22:W23),2,IF(W24=MAX(W22:W23),"",1))),"pronksi "&amp;(IF(W24&lt;MIN(W22:W23),2,IF(W24=MIN(W22:W23),"",1))))))</f>
        <v/>
      </c>
    </row>
    <row r="25" spans="1:24" x14ac:dyDescent="0.2">
      <c r="A25" s="173">
        <v>3</v>
      </c>
      <c r="B25" s="193"/>
      <c r="C25" s="144"/>
      <c r="D25" s="145"/>
      <c r="E25" s="145"/>
      <c r="F25" s="146"/>
      <c r="G25" s="144"/>
      <c r="H25" s="145"/>
      <c r="I25" s="145"/>
      <c r="J25" s="146"/>
      <c r="K25" s="144"/>
      <c r="L25" s="145"/>
      <c r="M25" s="145"/>
      <c r="N25" s="146"/>
      <c r="O25" s="144"/>
      <c r="P25" s="145"/>
      <c r="Q25" s="145"/>
      <c r="R25" s="146"/>
      <c r="S25" s="144"/>
      <c r="T25" s="145"/>
      <c r="U25" s="145"/>
      <c r="V25" s="146"/>
      <c r="W25" s="150">
        <f>SUM(C25:V25)</f>
        <v>0</v>
      </c>
      <c r="X25" s="147" t="str">
        <f>IF(COUNTA(C25:V25)=0,"",IF(W24=W25,"ümbervisk",IF(W25&gt;W24,"finaali "&amp;(IF(W25&lt;MAX(W22:W23),2,IF(W25=MAX(W22:W23),"",1))),"pronksi "&amp;(IF(W25&lt;MIN(W22:W23),2,IF(W25=MIN(W22:W23),"",1))))))</f>
        <v/>
      </c>
    </row>
    <row r="26" spans="1:24" x14ac:dyDescent="0.2">
      <c r="A26" s="173"/>
      <c r="B26" s="175" t="s">
        <v>218</v>
      </c>
      <c r="C26" s="144"/>
      <c r="D26" s="145"/>
      <c r="E26" s="145"/>
      <c r="F26" s="146"/>
      <c r="G26" s="144"/>
      <c r="H26" s="145"/>
      <c r="I26" s="145"/>
      <c r="J26" s="146"/>
      <c r="K26" s="144"/>
      <c r="L26" s="145"/>
      <c r="M26" s="145"/>
      <c r="N26" s="146"/>
      <c r="O26" s="144"/>
      <c r="P26" s="145"/>
      <c r="Q26" s="145"/>
      <c r="R26" s="146"/>
      <c r="S26" s="144"/>
      <c r="T26" s="145"/>
      <c r="U26" s="145"/>
      <c r="V26" s="146"/>
      <c r="W26" s="150"/>
      <c r="X26" s="147"/>
    </row>
    <row r="27" spans="1:24" x14ac:dyDescent="0.2">
      <c r="A27" s="173"/>
      <c r="B27" s="195"/>
      <c r="C27" s="144"/>
      <c r="D27" s="145"/>
      <c r="E27" s="145"/>
      <c r="F27" s="146"/>
      <c r="G27" s="144"/>
      <c r="H27" s="145"/>
      <c r="I27" s="145"/>
      <c r="J27" s="146"/>
      <c r="K27" s="144"/>
      <c r="L27" s="145"/>
      <c r="M27" s="145"/>
      <c r="N27" s="146"/>
      <c r="O27" s="144"/>
      <c r="P27" s="145"/>
      <c r="Q27" s="145"/>
      <c r="R27" s="146"/>
      <c r="S27" s="144"/>
      <c r="T27" s="145"/>
      <c r="U27" s="145"/>
      <c r="V27" s="146"/>
      <c r="W27" s="150">
        <f>SUM(C27:V27)</f>
        <v>0</v>
      </c>
      <c r="X27" s="155">
        <f ca="1">IF( INDIRECT("RC[-1]",0)=MAX(( INDIRECT("R[-1]C[-1]",0)):( INDIRECT("R[1]C[-1]",0))),3,4)</f>
        <v>3</v>
      </c>
    </row>
    <row r="28" spans="1:24" x14ac:dyDescent="0.2">
      <c r="A28" s="173"/>
      <c r="B28" s="193"/>
      <c r="C28" s="144"/>
      <c r="D28" s="145"/>
      <c r="E28" s="145"/>
      <c r="F28" s="146"/>
      <c r="G28" s="144"/>
      <c r="H28" s="145"/>
      <c r="I28" s="145"/>
      <c r="J28" s="176"/>
      <c r="K28" s="144"/>
      <c r="L28" s="145"/>
      <c r="M28" s="145"/>
      <c r="N28" s="146"/>
      <c r="O28" s="144"/>
      <c r="P28" s="145"/>
      <c r="Q28" s="145"/>
      <c r="R28" s="146"/>
      <c r="S28" s="144"/>
      <c r="T28" s="145"/>
      <c r="U28" s="145"/>
      <c r="V28" s="146"/>
      <c r="W28" s="150">
        <f>SUM(C28:V28)</f>
        <v>0</v>
      </c>
      <c r="X28" s="155">
        <f ca="1">IF( INDIRECT("RC[-1]",0)=MAX(( INDIRECT("R[-1]C[-1]",0)):( INDIRECT("R[1]C[-1]",0))),3,4)</f>
        <v>3</v>
      </c>
    </row>
    <row r="29" spans="1:24" x14ac:dyDescent="0.2">
      <c r="A29" s="173"/>
      <c r="B29" s="175" t="s">
        <v>219</v>
      </c>
      <c r="C29" s="144"/>
      <c r="D29" s="145"/>
      <c r="E29" s="145"/>
      <c r="F29" s="146"/>
      <c r="G29" s="144"/>
      <c r="H29" s="145"/>
      <c r="I29" s="145"/>
      <c r="J29" s="146"/>
      <c r="K29" s="144"/>
      <c r="L29" s="145"/>
      <c r="M29" s="145"/>
      <c r="N29" s="146"/>
      <c r="O29" s="144"/>
      <c r="P29" s="145"/>
      <c r="Q29" s="145"/>
      <c r="R29" s="146"/>
      <c r="S29" s="144"/>
      <c r="T29" s="145"/>
      <c r="U29" s="145"/>
      <c r="V29" s="146"/>
      <c r="W29" s="150"/>
      <c r="X29" s="147"/>
    </row>
    <row r="30" spans="1:24" x14ac:dyDescent="0.2">
      <c r="A30" s="173"/>
      <c r="B30" s="193"/>
      <c r="C30" s="144"/>
      <c r="D30" s="145"/>
      <c r="E30" s="145"/>
      <c r="F30" s="146"/>
      <c r="G30" s="144"/>
      <c r="H30" s="145"/>
      <c r="I30" s="145"/>
      <c r="J30" s="146"/>
      <c r="K30" s="144"/>
      <c r="L30" s="145"/>
      <c r="M30" s="145"/>
      <c r="N30" s="146"/>
      <c r="O30" s="144"/>
      <c r="P30" s="145"/>
      <c r="Q30" s="145"/>
      <c r="R30" s="146"/>
      <c r="S30" s="144"/>
      <c r="T30" s="145"/>
      <c r="U30" s="145"/>
      <c r="V30" s="146"/>
      <c r="W30" s="150">
        <f>SUM(C30:V30)</f>
        <v>0</v>
      </c>
      <c r="X30" s="155">
        <f ca="1">IF( INDIRECT("RC[-1]",0)=MAX(( INDIRECT("R[-1]C[-1]",0)):( INDIRECT("R[1]C[-1]",0))),1,2)</f>
        <v>1</v>
      </c>
    </row>
    <row r="31" spans="1:24" ht="13.5" thickBot="1" x14ac:dyDescent="0.25">
      <c r="A31" s="177"/>
      <c r="B31" s="194"/>
      <c r="C31" s="156"/>
      <c r="D31" s="157"/>
      <c r="E31" s="157"/>
      <c r="F31" s="158"/>
      <c r="G31" s="156"/>
      <c r="H31" s="157"/>
      <c r="I31" s="157"/>
      <c r="J31" s="158"/>
      <c r="K31" s="156"/>
      <c r="L31" s="157"/>
      <c r="M31" s="157"/>
      <c r="N31" s="158"/>
      <c r="O31" s="156"/>
      <c r="P31" s="157"/>
      <c r="Q31" s="157"/>
      <c r="R31" s="158"/>
      <c r="S31" s="156"/>
      <c r="T31" s="157"/>
      <c r="U31" s="157"/>
      <c r="V31" s="158"/>
      <c r="W31" s="159">
        <f>SUM(C31:V31)</f>
        <v>0</v>
      </c>
      <c r="X31" s="160">
        <f ca="1">IF( INDIRECT("RC[-1]",0)=MAX(( INDIRECT("R[-1]C[-1]",0)):( INDIRECT("R[1]C[-1]",0))),1,2)</f>
        <v>1</v>
      </c>
    </row>
    <row r="32" spans="1:24" x14ac:dyDescent="0.2">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row>
    <row r="33" spans="1:24" x14ac:dyDescent="0.2">
      <c r="A33" s="178">
        <v>1</v>
      </c>
      <c r="B33" s="203"/>
      <c r="C33" s="172"/>
      <c r="D33" s="172"/>
      <c r="E33" s="172"/>
      <c r="F33" s="172"/>
      <c r="G33" s="172"/>
      <c r="H33" s="172"/>
      <c r="I33" s="172"/>
      <c r="J33" s="172"/>
      <c r="K33" s="172"/>
      <c r="L33" s="172"/>
      <c r="M33" s="172"/>
      <c r="N33" s="172"/>
      <c r="O33" s="172"/>
      <c r="P33" s="172"/>
      <c r="Q33" s="172"/>
      <c r="R33" s="172"/>
      <c r="S33" s="172"/>
      <c r="T33" s="172"/>
      <c r="U33" s="172"/>
      <c r="V33" s="172"/>
      <c r="W33" s="172"/>
      <c r="X33" s="172"/>
    </row>
    <row r="34" spans="1:24" x14ac:dyDescent="0.2">
      <c r="A34" s="178">
        <v>2</v>
      </c>
      <c r="B34" s="179"/>
      <c r="C34" s="172"/>
      <c r="D34" s="172"/>
      <c r="E34" s="172"/>
      <c r="F34" s="172"/>
      <c r="G34" s="172"/>
      <c r="H34" s="172"/>
      <c r="I34" s="172"/>
      <c r="J34" s="172"/>
      <c r="K34" s="172"/>
      <c r="L34" s="172"/>
      <c r="M34" s="172"/>
      <c r="N34" s="172"/>
      <c r="O34" s="172"/>
      <c r="P34" s="172"/>
      <c r="Q34" s="172"/>
      <c r="R34" s="172"/>
      <c r="S34" s="172"/>
      <c r="T34" s="172"/>
      <c r="U34" s="172"/>
      <c r="V34" s="172"/>
      <c r="W34" s="172"/>
      <c r="X34" s="172"/>
    </row>
    <row r="35" spans="1:24" x14ac:dyDescent="0.2">
      <c r="A35" s="178">
        <v>3</v>
      </c>
      <c r="B35" s="180"/>
      <c r="C35" s="172"/>
      <c r="D35" s="172"/>
      <c r="E35" s="172"/>
      <c r="F35" s="172"/>
      <c r="G35" s="172"/>
      <c r="H35" s="172"/>
      <c r="I35" s="172"/>
      <c r="J35" s="172"/>
      <c r="K35" s="172"/>
      <c r="L35" s="172"/>
      <c r="M35" s="172"/>
      <c r="N35" s="172"/>
      <c r="O35" s="172"/>
      <c r="P35" s="172"/>
      <c r="Q35" s="172"/>
      <c r="R35" s="172"/>
      <c r="S35" s="172"/>
      <c r="T35" s="172"/>
      <c r="U35" s="172"/>
      <c r="V35" s="172"/>
      <c r="W35" s="172"/>
      <c r="X35" s="172"/>
    </row>
    <row r="36" spans="1:24" x14ac:dyDescent="0.2">
      <c r="A36" s="178">
        <v>4</v>
      </c>
      <c r="B36" s="181"/>
      <c r="C36" s="172"/>
      <c r="D36" s="172"/>
      <c r="E36" s="172"/>
      <c r="F36" s="172"/>
      <c r="G36" s="172"/>
      <c r="H36" s="172"/>
      <c r="I36" s="172"/>
      <c r="J36" s="172"/>
      <c r="K36" s="172"/>
      <c r="L36" s="172"/>
      <c r="M36" s="172"/>
      <c r="N36" s="172"/>
      <c r="O36" s="172"/>
      <c r="P36" s="172"/>
      <c r="Q36" s="172"/>
      <c r="R36" s="172"/>
      <c r="S36" s="172"/>
      <c r="T36" s="172"/>
      <c r="U36" s="172"/>
      <c r="V36" s="172"/>
      <c r="W36" s="172"/>
      <c r="X36" s="172"/>
    </row>
    <row r="37" spans="1:24" x14ac:dyDescent="0.2">
      <c r="A37" s="178">
        <v>5</v>
      </c>
      <c r="B37" s="182"/>
      <c r="C37" s="172"/>
      <c r="D37" s="172"/>
      <c r="E37" s="172"/>
      <c r="F37" s="172"/>
      <c r="G37" s="172"/>
      <c r="H37" s="172"/>
      <c r="I37" s="172"/>
      <c r="J37" s="172"/>
      <c r="K37" s="172"/>
      <c r="L37" s="172"/>
      <c r="M37" s="172"/>
      <c r="N37" s="172"/>
      <c r="O37" s="172"/>
      <c r="P37" s="172"/>
      <c r="Q37" s="172"/>
      <c r="R37" s="172"/>
      <c r="S37" s="172"/>
      <c r="T37" s="172"/>
      <c r="U37" s="172"/>
      <c r="V37" s="172"/>
      <c r="W37" s="172"/>
      <c r="X37" s="172"/>
    </row>
    <row r="38" spans="1:24" x14ac:dyDescent="0.2">
      <c r="A38" s="178">
        <v>6</v>
      </c>
      <c r="B38" s="161"/>
      <c r="C38" s="172"/>
      <c r="D38" s="172"/>
      <c r="E38" s="172"/>
      <c r="F38" s="172"/>
      <c r="G38" s="172"/>
      <c r="H38" s="172"/>
      <c r="I38" s="172"/>
      <c r="J38" s="172"/>
      <c r="K38" s="172"/>
      <c r="L38" s="172"/>
      <c r="M38" s="172"/>
      <c r="N38" s="172"/>
      <c r="O38" s="172"/>
      <c r="P38" s="172"/>
      <c r="Q38" s="172"/>
      <c r="R38" s="172"/>
      <c r="S38" s="172"/>
      <c r="T38" s="172"/>
      <c r="U38" s="172"/>
      <c r="V38" s="172"/>
      <c r="W38" s="172"/>
      <c r="X38" s="172"/>
    </row>
    <row r="39" spans="1:24" x14ac:dyDescent="0.2">
      <c r="A39" s="178">
        <v>7</v>
      </c>
      <c r="B39" s="181"/>
      <c r="C39" s="172"/>
      <c r="D39" s="172"/>
      <c r="E39" s="172"/>
      <c r="F39" s="172"/>
      <c r="G39" s="172"/>
      <c r="H39" s="172"/>
      <c r="I39" s="172"/>
      <c r="J39" s="172"/>
      <c r="K39" s="172"/>
      <c r="L39" s="172"/>
      <c r="M39" s="172"/>
      <c r="N39" s="172"/>
      <c r="O39" s="172"/>
      <c r="P39" s="172"/>
      <c r="Q39" s="172"/>
      <c r="R39" s="172"/>
      <c r="S39" s="172"/>
      <c r="T39" s="172"/>
      <c r="U39" s="172"/>
      <c r="V39" s="172"/>
      <c r="W39" s="172"/>
      <c r="X39" s="172"/>
    </row>
  </sheetData>
  <conditionalFormatting sqref="W30:W31">
    <cfRule type="top10" dxfId="146" priority="7" rank="1"/>
  </conditionalFormatting>
  <conditionalFormatting sqref="W22:W23">
    <cfRule type="top10" dxfId="145" priority="10" rank="1"/>
  </conditionalFormatting>
  <conditionalFormatting sqref="W24:W25">
    <cfRule type="top10" dxfId="144" priority="9" rank="1"/>
  </conditionalFormatting>
  <conditionalFormatting sqref="W27:W28">
    <cfRule type="top10" dxfId="143" priority="8" rank="1"/>
  </conditionalFormatting>
  <conditionalFormatting sqref="X24:X25">
    <cfRule type="duplicateValues" dxfId="142" priority="5"/>
  </conditionalFormatting>
  <conditionalFormatting sqref="X22:X23">
    <cfRule type="duplicateValues" dxfId="141" priority="6"/>
  </conditionalFormatting>
  <conditionalFormatting sqref="X9:X15">
    <cfRule type="duplicateValues" dxfId="140" priority="4"/>
  </conditionalFormatting>
  <conditionalFormatting sqref="X17:X20">
    <cfRule type="duplicateValues" dxfId="139" priority="3"/>
  </conditionalFormatting>
  <conditionalFormatting sqref="B9:B15">
    <cfRule type="duplicateValues" dxfId="138" priority="2" stopIfTrue="1"/>
  </conditionalFormatting>
  <conditionalFormatting sqref="B33:B39">
    <cfRule type="duplicateValues" dxfId="137" priority="1" stopIfTrue="1"/>
  </conditionalFormatting>
  <conditionalFormatting sqref="B20">
    <cfRule type="duplicateValues" dxfId="136" priority="11" stopIfTrue="1"/>
  </conditionalFormatting>
  <conditionalFormatting sqref="X17:X20">
    <cfRule type="top10" dxfId="135" priority="12" stopIfTrue="1" rank="100"/>
  </conditionalFormatting>
  <conditionalFormatting sqref="X9:X15">
    <cfRule type="top10" dxfId="134" priority="13" stopIfTrue="1" rank="100"/>
  </conditionalFormatting>
  <conditionalFormatting sqref="W9:W31">
    <cfRule type="top10" dxfId="133" priority="14" stopIfTrue="1" rank="1"/>
  </conditionalFormatting>
  <pageMargins left="0.78740157480314965" right="0.39370078740157483" top="0.59055118110236227" bottom="0.39370078740157483" header="0.39370078740157483" footer="0"/>
  <pageSetup paperSize="9" fitToHeight="0" orientation="portrait" r:id="rId1"/>
  <headerFooter alignWithMargins="0">
    <oddHeader>&amp;R&amp;"Arial,Regular"&amp;9Page &amp;P of &amp;N</oddHead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3"/>
  <sheetViews>
    <sheetView showGridLines="0" showRowColHeaders="0" zoomScaleNormal="100" workbookViewId="0">
      <pane ySplit="2" topLeftCell="A3" activePane="bottomLeft" state="frozen"/>
      <selection activeCell="H1" sqref="H1"/>
      <selection pane="bottomLeft" activeCell="H1" sqref="H1"/>
    </sheetView>
  </sheetViews>
  <sheetFormatPr defaultRowHeight="12.75" x14ac:dyDescent="0.2"/>
  <cols>
    <col min="1" max="1" width="3.28515625" style="206" customWidth="1"/>
    <col min="2" max="2" width="34.85546875" style="206" customWidth="1"/>
    <col min="3" max="6" width="4.7109375" style="206" customWidth="1"/>
    <col min="7" max="7" width="2.7109375" style="206" customWidth="1"/>
    <col min="8" max="9" width="7.7109375" style="206" bestFit="1" customWidth="1"/>
    <col min="10" max="10" width="2.7109375" style="206" bestFit="1" customWidth="1"/>
    <col min="11" max="11" width="6.5703125" style="206" bestFit="1" customWidth="1"/>
    <col min="12" max="12" width="7" style="206" bestFit="1" customWidth="1"/>
    <col min="13" max="16384" width="9.140625" style="206"/>
  </cols>
  <sheetData>
    <row r="1" spans="1:12" x14ac:dyDescent="0.2">
      <c r="A1" s="117" t="str">
        <f>UPPER((Kalend!E14)&amp;" - "&amp;(Kalend!C14)&amp;" - "&amp;(Kalend!D14))</f>
        <v>KV-2 - EM, MM KATSEVÕISTLUS - 2. ETAPP - TRIO</v>
      </c>
      <c r="F1" s="85" t="str">
        <f>HYPERLINK("#Üldreiting!I1","Reiting")</f>
        <v>Reiting</v>
      </c>
    </row>
    <row r="2" spans="1:12" x14ac:dyDescent="0.2">
      <c r="A2" s="116" t="str">
        <f>"Toimumisaeg: "&amp;(Kalend!A14)&amp;" kell "&amp;(Kalend!B14)</f>
        <v xml:space="preserve">Toimumisaeg: L, 17.06.2017 kell </v>
      </c>
    </row>
    <row r="3" spans="1:12" x14ac:dyDescent="0.2">
      <c r="A3" s="116" t="str">
        <f>"Toimumiskoht: "&amp;(Kalend!H14)</f>
        <v>Toimumiskoht: Tallinn, Linnu tee 11</v>
      </c>
    </row>
    <row r="4" spans="1:12" x14ac:dyDescent="0.2">
      <c r="A4" s="116" t="str">
        <f>"Korraldaja: "&amp;(Kalend!I14)</f>
        <v>Korraldaja: EPKL</v>
      </c>
    </row>
    <row r="5" spans="1:12" s="135" customFormat="1" x14ac:dyDescent="0.2"/>
    <row r="6" spans="1:12" x14ac:dyDescent="0.2">
      <c r="A6" s="227" t="s">
        <v>168</v>
      </c>
    </row>
    <row r="7" spans="1:12" x14ac:dyDescent="0.2">
      <c r="H7" s="400" t="s">
        <v>986</v>
      </c>
      <c r="I7" s="400" t="s">
        <v>985</v>
      </c>
      <c r="K7" s="401" t="s">
        <v>28</v>
      </c>
    </row>
    <row r="8" spans="1:12" x14ac:dyDescent="0.2">
      <c r="A8" s="98"/>
      <c r="B8" s="98"/>
      <c r="C8" s="395">
        <v>1</v>
      </c>
      <c r="D8" s="395">
        <v>2</v>
      </c>
      <c r="E8" s="395">
        <v>3</v>
      </c>
      <c r="F8" s="395">
        <v>4</v>
      </c>
      <c r="G8" s="395">
        <v>5</v>
      </c>
      <c r="H8" s="396" t="s">
        <v>591</v>
      </c>
      <c r="I8" s="894"/>
      <c r="K8" s="207"/>
    </row>
    <row r="9" spans="1:12" ht="25.5" x14ac:dyDescent="0.2">
      <c r="A9" s="411">
        <v>1</v>
      </c>
      <c r="B9" s="987" t="s">
        <v>980</v>
      </c>
      <c r="C9" s="406"/>
      <c r="D9" s="888">
        <v>13</v>
      </c>
      <c r="E9" s="888">
        <v>13</v>
      </c>
      <c r="F9" s="888">
        <v>13</v>
      </c>
      <c r="G9" s="888">
        <v>13</v>
      </c>
      <c r="H9" s="889" t="s">
        <v>614</v>
      </c>
      <c r="I9" s="895" t="s">
        <v>614</v>
      </c>
      <c r="K9" s="898" t="s">
        <v>995</v>
      </c>
      <c r="L9" s="901" t="s">
        <v>998</v>
      </c>
    </row>
    <row r="10" spans="1:12" ht="25.5" x14ac:dyDescent="0.2">
      <c r="A10" s="411">
        <v>2</v>
      </c>
      <c r="B10" s="404" t="s">
        <v>981</v>
      </c>
      <c r="C10" s="888">
        <v>1</v>
      </c>
      <c r="D10" s="406"/>
      <c r="E10" s="888">
        <v>12</v>
      </c>
      <c r="F10" s="888">
        <v>11</v>
      </c>
      <c r="G10" s="888">
        <v>13</v>
      </c>
      <c r="H10" s="890" t="s">
        <v>633</v>
      </c>
      <c r="I10" s="895" t="s">
        <v>606</v>
      </c>
      <c r="K10" s="897" t="s">
        <v>990</v>
      </c>
    </row>
    <row r="11" spans="1:12" ht="25.5" x14ac:dyDescent="0.2">
      <c r="A11" s="411">
        <v>3</v>
      </c>
      <c r="B11" s="404" t="s">
        <v>982</v>
      </c>
      <c r="C11" s="888">
        <v>4</v>
      </c>
      <c r="D11" s="408">
        <v>13</v>
      </c>
      <c r="E11" s="406"/>
      <c r="F11" s="408">
        <v>10</v>
      </c>
      <c r="G11" s="408">
        <v>13</v>
      </c>
      <c r="H11" s="889" t="s">
        <v>606</v>
      </c>
      <c r="I11" s="895" t="s">
        <v>606</v>
      </c>
      <c r="K11" s="897" t="s">
        <v>989</v>
      </c>
    </row>
    <row r="12" spans="1:12" ht="25.5" x14ac:dyDescent="0.2">
      <c r="A12" s="411">
        <v>4</v>
      </c>
      <c r="B12" s="987" t="s">
        <v>983</v>
      </c>
      <c r="C12" s="888">
        <v>6</v>
      </c>
      <c r="D12" s="888">
        <v>13</v>
      </c>
      <c r="E12" s="408">
        <v>13</v>
      </c>
      <c r="F12" s="406"/>
      <c r="G12" s="408">
        <v>13</v>
      </c>
      <c r="H12" s="890" t="s">
        <v>634</v>
      </c>
      <c r="I12" s="895" t="s">
        <v>606</v>
      </c>
      <c r="K12" s="903" t="s">
        <v>996</v>
      </c>
      <c r="L12" s="901" t="s">
        <v>998</v>
      </c>
    </row>
    <row r="13" spans="1:12" ht="25.5" customHeight="1" x14ac:dyDescent="0.2">
      <c r="A13" s="412">
        <v>5</v>
      </c>
      <c r="B13" s="899" t="s">
        <v>997</v>
      </c>
      <c r="C13" s="408">
        <v>1</v>
      </c>
      <c r="D13" s="408">
        <v>1</v>
      </c>
      <c r="E13" s="408">
        <v>2</v>
      </c>
      <c r="F13" s="408">
        <v>5</v>
      </c>
      <c r="G13" s="406"/>
      <c r="H13" s="889" t="s">
        <v>610</v>
      </c>
      <c r="I13" s="895" t="s">
        <v>610</v>
      </c>
      <c r="K13" s="896" t="s">
        <v>999</v>
      </c>
    </row>
    <row r="14" spans="1:12" x14ac:dyDescent="0.2">
      <c r="B14" s="100"/>
    </row>
    <row r="15" spans="1:12" x14ac:dyDescent="0.2">
      <c r="B15" s="405" t="s">
        <v>616</v>
      </c>
      <c r="C15" s="892" t="s">
        <v>629</v>
      </c>
      <c r="D15" s="892" t="s">
        <v>621</v>
      </c>
      <c r="E15" s="400"/>
    </row>
    <row r="16" spans="1:12" x14ac:dyDescent="0.2">
      <c r="B16" s="405" t="s">
        <v>619</v>
      </c>
      <c r="C16" s="892" t="s">
        <v>630</v>
      </c>
      <c r="D16" s="892" t="s">
        <v>627</v>
      </c>
      <c r="E16" s="400"/>
    </row>
    <row r="17" spans="1:12" x14ac:dyDescent="0.2">
      <c r="B17" s="405" t="s">
        <v>622</v>
      </c>
      <c r="C17" s="892" t="s">
        <v>623</v>
      </c>
      <c r="D17" s="892" t="s">
        <v>624</v>
      </c>
      <c r="E17" s="400"/>
    </row>
    <row r="18" spans="1:12" x14ac:dyDescent="0.2">
      <c r="B18" s="405" t="s">
        <v>625</v>
      </c>
      <c r="C18" s="892" t="s">
        <v>620</v>
      </c>
      <c r="D18" s="892" t="s">
        <v>617</v>
      </c>
      <c r="E18" s="400"/>
    </row>
    <row r="19" spans="1:12" x14ac:dyDescent="0.2">
      <c r="B19" s="405" t="s">
        <v>628</v>
      </c>
      <c r="C19" s="892" t="s">
        <v>635</v>
      </c>
      <c r="D19" s="892" t="s">
        <v>618</v>
      </c>
      <c r="E19" s="400"/>
    </row>
    <row r="20" spans="1:12" x14ac:dyDescent="0.2">
      <c r="B20" s="100"/>
      <c r="C20" s="891"/>
      <c r="D20" s="891"/>
    </row>
    <row r="21" spans="1:12" x14ac:dyDescent="0.2">
      <c r="A21" s="82" t="s">
        <v>169</v>
      </c>
      <c r="B21" s="100"/>
    </row>
    <row r="22" spans="1:12" x14ac:dyDescent="0.2">
      <c r="B22" s="100"/>
    </row>
    <row r="23" spans="1:12" x14ac:dyDescent="0.2">
      <c r="A23" s="98"/>
      <c r="B23" s="404"/>
      <c r="C23" s="395">
        <v>1</v>
      </c>
      <c r="D23" s="395">
        <v>2</v>
      </c>
      <c r="E23" s="395">
        <v>3</v>
      </c>
      <c r="F23" s="396" t="s">
        <v>591</v>
      </c>
    </row>
    <row r="24" spans="1:12" ht="25.5" customHeight="1" x14ac:dyDescent="0.2">
      <c r="A24" s="394">
        <v>1</v>
      </c>
      <c r="B24" s="899" t="s">
        <v>632</v>
      </c>
      <c r="C24" s="406"/>
      <c r="D24" s="408">
        <v>13</v>
      </c>
      <c r="E24" s="408">
        <v>9</v>
      </c>
      <c r="F24" s="410" t="s">
        <v>594</v>
      </c>
    </row>
    <row r="25" spans="1:12" ht="25.5" customHeight="1" x14ac:dyDescent="0.2">
      <c r="A25" s="394">
        <v>2</v>
      </c>
      <c r="B25" s="899" t="s">
        <v>984</v>
      </c>
      <c r="C25" s="408">
        <v>0</v>
      </c>
      <c r="D25" s="406"/>
      <c r="E25" s="408">
        <v>12</v>
      </c>
      <c r="F25" s="410" t="s">
        <v>593</v>
      </c>
    </row>
    <row r="26" spans="1:12" ht="25.5" customHeight="1" x14ac:dyDescent="0.2">
      <c r="A26" s="394">
        <v>3</v>
      </c>
      <c r="B26" s="899" t="s">
        <v>631</v>
      </c>
      <c r="C26" s="408">
        <v>13</v>
      </c>
      <c r="D26" s="408">
        <v>13</v>
      </c>
      <c r="E26" s="406"/>
      <c r="F26" s="410" t="s">
        <v>592</v>
      </c>
    </row>
    <row r="27" spans="1:12" x14ac:dyDescent="0.2">
      <c r="B27" s="100"/>
    </row>
    <row r="28" spans="1:12" x14ac:dyDescent="0.2">
      <c r="B28" s="100"/>
    </row>
    <row r="29" spans="1:12" x14ac:dyDescent="0.2">
      <c r="A29" s="98"/>
      <c r="B29" s="404"/>
      <c r="C29" s="395">
        <v>1</v>
      </c>
      <c r="D29" s="395">
        <v>2</v>
      </c>
      <c r="E29" s="395">
        <v>3</v>
      </c>
      <c r="F29" s="396" t="s">
        <v>591</v>
      </c>
      <c r="H29" s="400" t="s">
        <v>986</v>
      </c>
      <c r="I29" s="400" t="s">
        <v>985</v>
      </c>
      <c r="K29" s="401" t="s">
        <v>28</v>
      </c>
    </row>
    <row r="30" spans="1:12" ht="25.5" customHeight="1" x14ac:dyDescent="0.2">
      <c r="A30" s="394">
        <v>1</v>
      </c>
      <c r="B30" s="976" t="s">
        <v>632</v>
      </c>
      <c r="C30" s="406"/>
      <c r="D30" s="408">
        <v>13</v>
      </c>
      <c r="E30" s="408">
        <v>13</v>
      </c>
      <c r="F30" s="410" t="s">
        <v>592</v>
      </c>
      <c r="H30" s="900" t="s">
        <v>634</v>
      </c>
      <c r="I30" s="900" t="s">
        <v>634</v>
      </c>
      <c r="J30" s="973" t="s">
        <v>586</v>
      </c>
      <c r="K30" s="904" t="s">
        <v>987</v>
      </c>
      <c r="L30" s="971" t="s">
        <v>1005</v>
      </c>
    </row>
    <row r="31" spans="1:12" ht="25.5" customHeight="1" x14ac:dyDescent="0.2">
      <c r="A31" s="394">
        <v>2</v>
      </c>
      <c r="B31" s="899" t="s">
        <v>984</v>
      </c>
      <c r="C31" s="408">
        <v>3</v>
      </c>
      <c r="D31" s="406"/>
      <c r="E31" s="408">
        <v>13</v>
      </c>
      <c r="F31" s="410" t="s">
        <v>594</v>
      </c>
      <c r="H31" s="900" t="s">
        <v>633</v>
      </c>
      <c r="I31" s="900" t="s">
        <v>606</v>
      </c>
      <c r="J31" s="973" t="s">
        <v>587</v>
      </c>
      <c r="K31" s="905" t="s">
        <v>990</v>
      </c>
      <c r="L31" s="901"/>
    </row>
    <row r="32" spans="1:12" ht="25.5" customHeight="1" x14ac:dyDescent="0.2">
      <c r="A32" s="394">
        <v>3</v>
      </c>
      <c r="B32" s="899" t="s">
        <v>631</v>
      </c>
      <c r="C32" s="408">
        <v>2</v>
      </c>
      <c r="D32" s="408">
        <v>7</v>
      </c>
      <c r="E32" s="406"/>
      <c r="F32" s="410" t="s">
        <v>593</v>
      </c>
      <c r="H32" s="900" t="s">
        <v>606</v>
      </c>
      <c r="I32" s="900" t="s">
        <v>633</v>
      </c>
      <c r="J32" s="973" t="s">
        <v>588</v>
      </c>
      <c r="K32" s="902" t="s">
        <v>990</v>
      </c>
      <c r="L32" s="901"/>
    </row>
    <row r="33" spans="1:12" x14ac:dyDescent="0.2">
      <c r="B33" s="100"/>
    </row>
    <row r="34" spans="1:12" x14ac:dyDescent="0.2">
      <c r="B34" s="405" t="s">
        <v>616</v>
      </c>
      <c r="C34" s="400" t="s">
        <v>629</v>
      </c>
    </row>
    <row r="35" spans="1:12" x14ac:dyDescent="0.2">
      <c r="B35" s="405" t="s">
        <v>619</v>
      </c>
      <c r="C35" s="400" t="s">
        <v>620</v>
      </c>
    </row>
    <row r="36" spans="1:12" x14ac:dyDescent="0.2">
      <c r="B36" s="405" t="s">
        <v>622</v>
      </c>
      <c r="C36" s="400" t="s">
        <v>635</v>
      </c>
    </row>
    <row r="37" spans="1:12" x14ac:dyDescent="0.2">
      <c r="B37" s="100"/>
    </row>
    <row r="38" spans="1:12" x14ac:dyDescent="0.2">
      <c r="A38" s="41" t="s">
        <v>636</v>
      </c>
      <c r="B38" s="100"/>
    </row>
    <row r="39" spans="1:12" x14ac:dyDescent="0.2">
      <c r="B39" s="100"/>
    </row>
    <row r="40" spans="1:12" x14ac:dyDescent="0.2">
      <c r="A40" s="98"/>
      <c r="B40" s="413"/>
      <c r="C40" s="395">
        <v>1</v>
      </c>
      <c r="D40" s="395">
        <v>2</v>
      </c>
      <c r="E40" s="395">
        <v>3</v>
      </c>
      <c r="F40" s="396" t="s">
        <v>591</v>
      </c>
    </row>
    <row r="41" spans="1:12" ht="25.5" customHeight="1" x14ac:dyDescent="0.2">
      <c r="A41" s="411">
        <v>1</v>
      </c>
      <c r="B41" s="899" t="s">
        <v>991</v>
      </c>
      <c r="C41" s="406"/>
      <c r="D41" s="408">
        <v>13</v>
      </c>
      <c r="E41" s="408">
        <v>13</v>
      </c>
      <c r="F41" s="410" t="s">
        <v>592</v>
      </c>
    </row>
    <row r="42" spans="1:12" ht="25.5" customHeight="1" x14ac:dyDescent="0.2">
      <c r="A42" s="411">
        <v>2</v>
      </c>
      <c r="B42" s="899" t="s">
        <v>992</v>
      </c>
      <c r="C42" s="408">
        <v>2</v>
      </c>
      <c r="D42" s="406"/>
      <c r="E42" s="888">
        <v>9</v>
      </c>
      <c r="F42" s="410" t="s">
        <v>593</v>
      </c>
    </row>
    <row r="43" spans="1:12" ht="25.5" customHeight="1" x14ac:dyDescent="0.2">
      <c r="A43" s="411">
        <v>3</v>
      </c>
      <c r="B43" s="899" t="s">
        <v>993</v>
      </c>
      <c r="C43" s="408">
        <v>3</v>
      </c>
      <c r="D43" s="408">
        <v>13</v>
      </c>
      <c r="E43" s="406"/>
      <c r="F43" s="410" t="s">
        <v>594</v>
      </c>
    </row>
    <row r="44" spans="1:12" x14ac:dyDescent="0.2">
      <c r="B44" s="301"/>
    </row>
    <row r="45" spans="1:12" x14ac:dyDescent="0.2">
      <c r="B45" s="301"/>
    </row>
    <row r="46" spans="1:12" x14ac:dyDescent="0.2">
      <c r="A46" s="98"/>
      <c r="B46" s="413"/>
      <c r="C46" s="395">
        <v>1</v>
      </c>
      <c r="D46" s="395">
        <v>2</v>
      </c>
      <c r="E46" s="395">
        <v>3</v>
      </c>
      <c r="F46" s="396" t="s">
        <v>591</v>
      </c>
      <c r="H46" s="400" t="s">
        <v>986</v>
      </c>
      <c r="I46" s="400" t="s">
        <v>985</v>
      </c>
      <c r="K46" s="401" t="s">
        <v>28</v>
      </c>
    </row>
    <row r="47" spans="1:12" ht="25.5" customHeight="1" x14ac:dyDescent="0.2">
      <c r="A47" s="411">
        <v>1</v>
      </c>
      <c r="B47" s="976" t="s">
        <v>991</v>
      </c>
      <c r="C47" s="406"/>
      <c r="D47" s="408">
        <v>13</v>
      </c>
      <c r="E47" s="408">
        <v>13</v>
      </c>
      <c r="F47" s="410" t="s">
        <v>592</v>
      </c>
      <c r="H47" s="906" t="s">
        <v>614</v>
      </c>
      <c r="I47" s="906" t="s">
        <v>634</v>
      </c>
      <c r="K47" s="904" t="s">
        <v>994</v>
      </c>
      <c r="L47" s="970" t="s">
        <v>1005</v>
      </c>
    </row>
    <row r="48" spans="1:12" ht="25.5" customHeight="1" x14ac:dyDescent="0.2">
      <c r="A48" s="411">
        <v>2</v>
      </c>
      <c r="B48" s="899" t="s">
        <v>992</v>
      </c>
      <c r="C48" s="408">
        <v>10</v>
      </c>
      <c r="D48" s="406"/>
      <c r="E48" s="408">
        <v>13</v>
      </c>
      <c r="F48" s="410" t="s">
        <v>594</v>
      </c>
      <c r="H48" s="900" t="s">
        <v>633</v>
      </c>
      <c r="I48" s="906" t="s">
        <v>606</v>
      </c>
      <c r="K48" s="902" t="s">
        <v>990</v>
      </c>
    </row>
    <row r="49" spans="1:11" ht="25.5" customHeight="1" x14ac:dyDescent="0.2">
      <c r="A49" s="411">
        <v>3</v>
      </c>
      <c r="B49" s="899" t="s">
        <v>993</v>
      </c>
      <c r="C49" s="408">
        <v>2</v>
      </c>
      <c r="D49" s="408">
        <v>12</v>
      </c>
      <c r="E49" s="406"/>
      <c r="F49" s="410" t="s">
        <v>593</v>
      </c>
      <c r="H49" s="900" t="s">
        <v>633</v>
      </c>
      <c r="I49" s="906" t="s">
        <v>633</v>
      </c>
      <c r="K49" s="902" t="s">
        <v>988</v>
      </c>
    </row>
    <row r="51" spans="1:11" x14ac:dyDescent="0.2">
      <c r="B51" s="208" t="s">
        <v>616</v>
      </c>
      <c r="C51" s="400" t="s">
        <v>629</v>
      </c>
    </row>
    <row r="52" spans="1:11" x14ac:dyDescent="0.2">
      <c r="B52" s="208" t="s">
        <v>619</v>
      </c>
      <c r="C52" s="400" t="s">
        <v>620</v>
      </c>
    </row>
    <row r="53" spans="1:11" x14ac:dyDescent="0.2">
      <c r="B53" s="208" t="s">
        <v>622</v>
      </c>
      <c r="C53" s="400" t="s">
        <v>635</v>
      </c>
    </row>
  </sheetData>
  <conditionalFormatting sqref="C9:G49">
    <cfRule type="cellIs" dxfId="132" priority="2"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rowBreaks count="1" manualBreakCount="1">
    <brk id="36"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GridLines="0" showRowColHeaders="0" zoomScaleNormal="100" workbookViewId="0">
      <pane ySplit="2" topLeftCell="A3" activePane="bottomLeft" state="frozen"/>
      <selection activeCell="H1" sqref="H1"/>
      <selection pane="bottomLeft" activeCell="H1" sqref="H1"/>
    </sheetView>
  </sheetViews>
  <sheetFormatPr defaultRowHeight="12.75" x14ac:dyDescent="0.2"/>
  <cols>
    <col min="1" max="1" width="3.28515625" style="206" customWidth="1"/>
    <col min="2" max="2" width="41.5703125" style="206" bestFit="1" customWidth="1"/>
    <col min="3" max="8" width="6.5703125" style="206" customWidth="1"/>
    <col min="9" max="9" width="6.5703125" style="206" bestFit="1" customWidth="1"/>
    <col min="10" max="16384" width="9.140625" style="206"/>
  </cols>
  <sheetData>
    <row r="1" spans="1:10" x14ac:dyDescent="0.2">
      <c r="A1" s="117" t="str">
        <f>UPPER((Kalend!E15)&amp;" - "&amp;(Kalend!C15)&amp;" - "&amp;(Kalend!D15))</f>
        <v>KV-F - EM, MM KATSEVÕISTLUS - FINAAL - TRIO</v>
      </c>
      <c r="F1" s="85" t="str">
        <f>HYPERLINK("#Üldreiting!I1","Reiting")</f>
        <v>Reiting</v>
      </c>
    </row>
    <row r="2" spans="1:10" x14ac:dyDescent="0.2">
      <c r="A2" s="116" t="str">
        <f>"Toimumisaeg: "&amp;(Kalend!A15)&amp;" kell "&amp;(Kalend!B15)</f>
        <v xml:space="preserve">Toimumisaeg: P, 18.06.2017 kell </v>
      </c>
    </row>
    <row r="3" spans="1:10" x14ac:dyDescent="0.2">
      <c r="A3" s="116" t="str">
        <f>"Toimumiskoht: "&amp;(Kalend!H15)</f>
        <v>Toimumiskoht: Tallinn, Linnu tee 11</v>
      </c>
    </row>
    <row r="4" spans="1:10" x14ac:dyDescent="0.2">
      <c r="A4" s="116" t="str">
        <f>"Korraldaja: "&amp;(Kalend!I15)</f>
        <v>Korraldaja: EPKL</v>
      </c>
    </row>
    <row r="5" spans="1:10" s="135" customFormat="1" x14ac:dyDescent="0.2">
      <c r="H5" s="907" t="s">
        <v>1000</v>
      </c>
    </row>
    <row r="6" spans="1:10" s="135" customFormat="1" x14ac:dyDescent="0.2">
      <c r="A6" s="507" t="s">
        <v>168</v>
      </c>
    </row>
    <row r="8" spans="1:10" x14ac:dyDescent="0.2">
      <c r="A8" s="98"/>
      <c r="B8" s="98"/>
      <c r="C8" s="395">
        <v>1</v>
      </c>
      <c r="D8" s="395">
        <v>2</v>
      </c>
      <c r="E8" s="395">
        <v>3</v>
      </c>
      <c r="F8" s="395">
        <v>4</v>
      </c>
      <c r="G8" s="395">
        <v>5</v>
      </c>
      <c r="H8" s="396" t="s">
        <v>591</v>
      </c>
    </row>
    <row r="9" spans="1:10" ht="25.5" x14ac:dyDescent="0.2">
      <c r="A9" s="411"/>
      <c r="B9" s="977" t="s">
        <v>980</v>
      </c>
      <c r="C9" s="889">
        <v>13</v>
      </c>
      <c r="D9" s="888">
        <v>13</v>
      </c>
      <c r="E9" s="888">
        <v>13</v>
      </c>
      <c r="F9" s="888" t="s">
        <v>729</v>
      </c>
      <c r="G9" s="888" t="s">
        <v>729</v>
      </c>
      <c r="H9" s="908" t="s">
        <v>757</v>
      </c>
      <c r="I9" s="972" t="s">
        <v>1006</v>
      </c>
      <c r="J9" s="207"/>
    </row>
    <row r="10" spans="1:10" ht="25.5" x14ac:dyDescent="0.2">
      <c r="A10" s="411"/>
      <c r="B10" s="404" t="s">
        <v>983</v>
      </c>
      <c r="C10" s="888">
        <v>4</v>
      </c>
      <c r="D10" s="888">
        <v>4</v>
      </c>
      <c r="E10" s="888">
        <v>9</v>
      </c>
      <c r="F10" s="889" t="s">
        <v>729</v>
      </c>
      <c r="G10" s="888" t="s">
        <v>729</v>
      </c>
      <c r="H10" s="890" t="s">
        <v>760</v>
      </c>
    </row>
    <row r="12" spans="1:10" x14ac:dyDescent="0.2">
      <c r="A12" s="82" t="s">
        <v>169</v>
      </c>
    </row>
    <row r="14" spans="1:10" x14ac:dyDescent="0.2">
      <c r="A14" s="206" t="s">
        <v>1009</v>
      </c>
    </row>
    <row r="16" spans="1:10" x14ac:dyDescent="0.2">
      <c r="A16" s="41" t="s">
        <v>636</v>
      </c>
    </row>
    <row r="18" spans="1:1" x14ac:dyDescent="0.2">
      <c r="A18" s="206" t="s">
        <v>1010</v>
      </c>
    </row>
    <row r="21" spans="1:1" x14ac:dyDescent="0.2">
      <c r="A21" s="74" t="s">
        <v>1011</v>
      </c>
    </row>
    <row r="22" spans="1:1" x14ac:dyDescent="0.2">
      <c r="A22" s="41" t="s">
        <v>264</v>
      </c>
    </row>
    <row r="23" spans="1:1" x14ac:dyDescent="0.2">
      <c r="A23" s="206" t="s">
        <v>265</v>
      </c>
    </row>
    <row r="24" spans="1:1" x14ac:dyDescent="0.2">
      <c r="A24" s="206" t="s">
        <v>1007</v>
      </c>
    </row>
    <row r="25" spans="1:1" x14ac:dyDescent="0.2">
      <c r="A25" s="206" t="s">
        <v>1008</v>
      </c>
    </row>
    <row r="27" spans="1:1" x14ac:dyDescent="0.2">
      <c r="A27" s="975" t="s">
        <v>1012</v>
      </c>
    </row>
  </sheetData>
  <conditionalFormatting sqref="C9:G10 I9">
    <cfRule type="cellIs" dxfId="131" priority="1"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7"/>
  <sheetViews>
    <sheetView showGridLines="0" showRowColHeaders="0" zoomScaleNormal="100" workbookViewId="0">
      <pane ySplit="2" topLeftCell="A3" activePane="bottomLeft" state="frozen"/>
      <selection pane="bottomLeft" activeCell="J1" sqref="J1"/>
    </sheetView>
  </sheetViews>
  <sheetFormatPr defaultRowHeight="12.75" x14ac:dyDescent="0.2"/>
  <cols>
    <col min="1" max="1" width="3.28515625" style="97" customWidth="1"/>
    <col min="2" max="2" width="36.7109375" style="97" bestFit="1" customWidth="1"/>
    <col min="3" max="3" width="3" style="97" customWidth="1"/>
    <col min="4" max="4" width="3.5703125" style="97" customWidth="1"/>
    <col min="5" max="5" width="1.5703125" style="97" customWidth="1"/>
    <col min="6" max="6" width="3.5703125" style="97" bestFit="1" customWidth="1"/>
    <col min="7" max="7" width="3" style="97" customWidth="1"/>
    <col min="8" max="8" width="36.7109375" style="97" bestFit="1" customWidth="1"/>
    <col min="9" max="9" width="4.7109375" style="97" customWidth="1"/>
    <col min="10" max="16384" width="9.140625" style="97"/>
  </cols>
  <sheetData>
    <row r="1" spans="1:11" x14ac:dyDescent="0.2">
      <c r="A1" s="117" t="str">
        <f>UPPER((Kalend!E17)&amp;" - "&amp;(Kalend!C17)&amp;" - "&amp;(Kalend!D17))</f>
        <v>6 - EESTI REITINGUVÕISTLUS - DUO</v>
      </c>
      <c r="G1" s="506" t="str">
        <f>HYPERLINK("#Üldreiting!I1","Reiting")</f>
        <v>Reiting</v>
      </c>
      <c r="H1" s="208" t="s">
        <v>715</v>
      </c>
    </row>
    <row r="2" spans="1:11" x14ac:dyDescent="0.2">
      <c r="A2" s="116" t="str">
        <f>"Toimumisaeg: "&amp;(Kalend!A17)&amp;" kell "&amp;(Kalend!B17)</f>
        <v xml:space="preserve">Toimumisaeg: P, 02.07.2017 kell </v>
      </c>
      <c r="H2" s="208" t="s">
        <v>699</v>
      </c>
    </row>
    <row r="3" spans="1:11" x14ac:dyDescent="0.2">
      <c r="A3" s="116" t="str">
        <f>"Toimumiskoht: "&amp;(Kalend!H17)</f>
        <v>Toimumiskoht: Valga, Metsa</v>
      </c>
      <c r="B3" s="775"/>
      <c r="C3" s="775"/>
      <c r="D3" s="775"/>
      <c r="E3" s="775"/>
      <c r="F3" s="775"/>
      <c r="G3" s="775"/>
      <c r="H3" s="775"/>
      <c r="I3" s="775"/>
      <c r="J3" s="775"/>
      <c r="K3" s="775"/>
    </row>
    <row r="4" spans="1:11" x14ac:dyDescent="0.2">
      <c r="A4" s="116" t="str">
        <f>"Korraldaja: "&amp;(Kalend!I17)</f>
        <v>Korraldaja: Valga PK, Tiit Kattai</v>
      </c>
      <c r="B4" s="775"/>
      <c r="C4" s="775"/>
      <c r="D4" s="775"/>
      <c r="E4" s="775"/>
      <c r="F4" s="775"/>
      <c r="G4" s="775"/>
      <c r="H4" s="775"/>
      <c r="I4" s="775"/>
      <c r="J4" s="775"/>
      <c r="K4" s="775"/>
    </row>
    <row r="5" spans="1:11" s="206" customFormat="1" x14ac:dyDescent="0.2">
      <c r="A5" s="116"/>
      <c r="B5" s="775"/>
      <c r="C5" s="775"/>
      <c r="D5" s="775"/>
      <c r="E5" s="775"/>
      <c r="F5" s="775"/>
      <c r="G5" s="775"/>
      <c r="H5" s="775"/>
      <c r="I5" s="775"/>
      <c r="J5" s="775"/>
      <c r="K5" s="775"/>
    </row>
    <row r="6" spans="1:11" s="206" customFormat="1" x14ac:dyDescent="0.2">
      <c r="A6" s="465" t="s">
        <v>616</v>
      </c>
      <c r="B6" s="774"/>
      <c r="C6" s="798" t="s">
        <v>199</v>
      </c>
      <c r="D6" s="774"/>
      <c r="E6" s="799" t="s">
        <v>700</v>
      </c>
      <c r="F6" s="799"/>
      <c r="G6" s="798" t="s">
        <v>199</v>
      </c>
      <c r="H6" s="121"/>
      <c r="I6" s="775"/>
      <c r="J6" s="775"/>
      <c r="K6" s="775"/>
    </row>
    <row r="7" spans="1:11" s="206" customFormat="1" x14ac:dyDescent="0.2">
      <c r="A7" s="468" t="s">
        <v>701</v>
      </c>
      <c r="B7" s="501" t="s">
        <v>663</v>
      </c>
      <c r="C7" s="500">
        <f>IF(D7&gt;F7,1,"")</f>
        <v>1</v>
      </c>
      <c r="D7" s="757">
        <v>13</v>
      </c>
      <c r="E7" s="777" t="s">
        <v>787</v>
      </c>
      <c r="F7" s="758">
        <v>10</v>
      </c>
      <c r="G7" s="500" t="str">
        <f>IF(F7&gt;D7,1,"")</f>
        <v/>
      </c>
      <c r="H7" s="417" t="s">
        <v>798</v>
      </c>
      <c r="I7" s="41" t="s">
        <v>702</v>
      </c>
      <c r="J7" s="775"/>
      <c r="K7" s="775"/>
    </row>
    <row r="8" spans="1:11" s="206" customFormat="1" x14ac:dyDescent="0.2">
      <c r="A8" s="468" t="s">
        <v>703</v>
      </c>
      <c r="B8" s="501" t="s">
        <v>788</v>
      </c>
      <c r="C8" s="500">
        <f t="shared" ref="C8:C18" si="0">IF(D8&gt;F8,1,"")</f>
        <v>1</v>
      </c>
      <c r="D8" s="757">
        <v>13</v>
      </c>
      <c r="E8" s="777" t="s">
        <v>787</v>
      </c>
      <c r="F8" s="758">
        <v>7</v>
      </c>
      <c r="G8" s="500" t="str">
        <f t="shared" ref="G8:G18" si="1">IF(F8&gt;D8,1,"")</f>
        <v/>
      </c>
      <c r="H8" s="123" t="s">
        <v>803</v>
      </c>
      <c r="I8" s="41" t="s">
        <v>704</v>
      </c>
      <c r="J8" s="775"/>
      <c r="K8" s="775"/>
    </row>
    <row r="9" spans="1:11" s="206" customFormat="1" x14ac:dyDescent="0.2">
      <c r="A9" s="468" t="s">
        <v>705</v>
      </c>
      <c r="B9" s="501" t="s">
        <v>789</v>
      </c>
      <c r="C9" s="500">
        <f t="shared" si="0"/>
        <v>1</v>
      </c>
      <c r="D9" s="757">
        <v>13</v>
      </c>
      <c r="E9" s="777" t="s">
        <v>787</v>
      </c>
      <c r="F9" s="758">
        <v>7</v>
      </c>
      <c r="G9" s="500" t="str">
        <f t="shared" si="1"/>
        <v/>
      </c>
      <c r="H9" s="136" t="s">
        <v>799</v>
      </c>
      <c r="I9" s="41" t="s">
        <v>706</v>
      </c>
      <c r="J9" s="775"/>
      <c r="K9" s="775"/>
    </row>
    <row r="10" spans="1:11" s="206" customFormat="1" x14ac:dyDescent="0.2">
      <c r="A10" s="468" t="s">
        <v>707</v>
      </c>
      <c r="B10" s="501" t="s">
        <v>790</v>
      </c>
      <c r="C10" s="500" t="str">
        <f t="shared" si="0"/>
        <v/>
      </c>
      <c r="D10" s="757">
        <v>4</v>
      </c>
      <c r="E10" s="777" t="s">
        <v>787</v>
      </c>
      <c r="F10" s="758">
        <v>13</v>
      </c>
      <c r="G10" s="500">
        <f t="shared" si="1"/>
        <v>1</v>
      </c>
      <c r="H10" s="501" t="s">
        <v>800</v>
      </c>
      <c r="I10" s="130" t="s">
        <v>708</v>
      </c>
      <c r="J10" s="775"/>
      <c r="K10" s="775"/>
    </row>
    <row r="11" spans="1:11" s="206" customFormat="1" x14ac:dyDescent="0.2">
      <c r="A11" s="468" t="s">
        <v>586</v>
      </c>
      <c r="B11" s="501" t="s">
        <v>791</v>
      </c>
      <c r="C11" s="500">
        <f t="shared" si="0"/>
        <v>1</v>
      </c>
      <c r="D11" s="757">
        <v>13</v>
      </c>
      <c r="E11" s="777" t="s">
        <v>787</v>
      </c>
      <c r="F11" s="758">
        <v>2</v>
      </c>
      <c r="G11" s="500" t="str">
        <f t="shared" si="1"/>
        <v/>
      </c>
      <c r="H11" s="501" t="s">
        <v>802</v>
      </c>
      <c r="I11" s="130" t="s">
        <v>30</v>
      </c>
      <c r="J11" s="775"/>
      <c r="K11" s="775"/>
    </row>
    <row r="12" spans="1:11" s="206" customFormat="1" x14ac:dyDescent="0.2">
      <c r="A12" s="468" t="s">
        <v>155</v>
      </c>
      <c r="B12" s="501" t="s">
        <v>792</v>
      </c>
      <c r="C12" s="500">
        <f t="shared" si="0"/>
        <v>1</v>
      </c>
      <c r="D12" s="757">
        <v>13</v>
      </c>
      <c r="E12" s="777" t="s">
        <v>787</v>
      </c>
      <c r="F12" s="758">
        <v>1</v>
      </c>
      <c r="G12" s="500" t="str">
        <f t="shared" si="1"/>
        <v/>
      </c>
      <c r="H12" s="417" t="s">
        <v>801</v>
      </c>
      <c r="I12" s="130" t="s">
        <v>710</v>
      </c>
      <c r="J12" s="775"/>
      <c r="K12" s="775"/>
    </row>
    <row r="13" spans="1:11" s="206" customFormat="1" x14ac:dyDescent="0.2">
      <c r="A13" s="468" t="s">
        <v>150</v>
      </c>
      <c r="B13" s="501" t="s">
        <v>816</v>
      </c>
      <c r="C13" s="500">
        <f t="shared" si="0"/>
        <v>1</v>
      </c>
      <c r="D13" s="749">
        <v>12</v>
      </c>
      <c r="E13" s="777" t="s">
        <v>787</v>
      </c>
      <c r="F13" s="758">
        <v>11</v>
      </c>
      <c r="G13" s="500" t="str">
        <f t="shared" si="1"/>
        <v/>
      </c>
      <c r="H13" s="501" t="s">
        <v>804</v>
      </c>
      <c r="I13" s="130" t="s">
        <v>29</v>
      </c>
      <c r="J13" s="775"/>
      <c r="K13" s="775"/>
    </row>
    <row r="14" spans="1:11" s="206" customFormat="1" x14ac:dyDescent="0.2">
      <c r="A14" s="468" t="s">
        <v>199</v>
      </c>
      <c r="B14" s="501" t="s">
        <v>793</v>
      </c>
      <c r="C14" s="500" t="str">
        <f t="shared" si="0"/>
        <v/>
      </c>
      <c r="D14" s="757">
        <v>10</v>
      </c>
      <c r="E14" s="777" t="s">
        <v>787</v>
      </c>
      <c r="F14" s="751">
        <v>11</v>
      </c>
      <c r="G14" s="500">
        <f t="shared" si="1"/>
        <v>1</v>
      </c>
      <c r="H14" s="417" t="s">
        <v>805</v>
      </c>
      <c r="I14" s="130" t="s">
        <v>187</v>
      </c>
      <c r="J14" s="775"/>
      <c r="K14" s="775"/>
    </row>
    <row r="15" spans="1:11" s="206" customFormat="1" x14ac:dyDescent="0.2">
      <c r="A15" s="468" t="s">
        <v>709</v>
      </c>
      <c r="B15" s="501" t="s">
        <v>794</v>
      </c>
      <c r="C15" s="500">
        <f t="shared" si="0"/>
        <v>1</v>
      </c>
      <c r="D15" s="749">
        <v>12</v>
      </c>
      <c r="E15" s="777" t="s">
        <v>787</v>
      </c>
      <c r="F15" s="758">
        <v>8</v>
      </c>
      <c r="G15" s="500" t="str">
        <f t="shared" si="1"/>
        <v/>
      </c>
      <c r="H15" s="501" t="s">
        <v>807</v>
      </c>
      <c r="I15" s="41" t="s">
        <v>806</v>
      </c>
      <c r="J15" s="775"/>
      <c r="K15" s="775"/>
    </row>
    <row r="16" spans="1:11" s="206" customFormat="1" x14ac:dyDescent="0.2">
      <c r="A16" s="468" t="s">
        <v>809</v>
      </c>
      <c r="B16" s="501" t="s">
        <v>795</v>
      </c>
      <c r="C16" s="500" t="str">
        <f t="shared" si="0"/>
        <v/>
      </c>
      <c r="D16" s="757">
        <v>3</v>
      </c>
      <c r="E16" s="777" t="s">
        <v>787</v>
      </c>
      <c r="F16" s="758">
        <v>13</v>
      </c>
      <c r="G16" s="500">
        <f t="shared" si="1"/>
        <v>1</v>
      </c>
      <c r="H16" s="123" t="s">
        <v>808</v>
      </c>
      <c r="I16" s="41" t="s">
        <v>611</v>
      </c>
      <c r="J16" s="775"/>
      <c r="K16" s="775"/>
    </row>
    <row r="17" spans="1:11" s="206" customFormat="1" x14ac:dyDescent="0.2">
      <c r="A17" s="468" t="s">
        <v>810</v>
      </c>
      <c r="B17" s="501" t="s">
        <v>796</v>
      </c>
      <c r="C17" s="500">
        <f t="shared" si="0"/>
        <v>1</v>
      </c>
      <c r="D17" s="757">
        <v>13</v>
      </c>
      <c r="E17" s="777" t="s">
        <v>787</v>
      </c>
      <c r="F17" s="758">
        <v>4</v>
      </c>
      <c r="G17" s="500" t="str">
        <f t="shared" si="1"/>
        <v/>
      </c>
      <c r="H17" s="136" t="s">
        <v>812</v>
      </c>
      <c r="I17" s="41" t="s">
        <v>811</v>
      </c>
      <c r="J17" s="775"/>
      <c r="K17" s="775"/>
    </row>
    <row r="18" spans="1:11" s="206" customFormat="1" x14ac:dyDescent="0.2">
      <c r="A18" s="468" t="s">
        <v>813</v>
      </c>
      <c r="B18" s="501" t="s">
        <v>797</v>
      </c>
      <c r="C18" s="500" t="str">
        <f t="shared" si="0"/>
        <v/>
      </c>
      <c r="D18" s="757">
        <v>4</v>
      </c>
      <c r="E18" s="777" t="s">
        <v>787</v>
      </c>
      <c r="F18" s="758">
        <v>13</v>
      </c>
      <c r="G18" s="500">
        <f t="shared" si="1"/>
        <v>1</v>
      </c>
      <c r="H18" s="501" t="s">
        <v>815</v>
      </c>
      <c r="I18" s="130" t="s">
        <v>814</v>
      </c>
      <c r="J18" s="775"/>
      <c r="K18" s="775"/>
    </row>
    <row r="19" spans="1:11" s="206" customFormat="1" x14ac:dyDescent="0.2">
      <c r="A19" s="468"/>
      <c r="B19" s="752"/>
      <c r="C19" s="474"/>
      <c r="D19" s="778"/>
      <c r="E19" s="779"/>
      <c r="F19" s="778"/>
      <c r="G19" s="474"/>
      <c r="H19" s="775"/>
      <c r="I19" s="130"/>
      <c r="J19" s="775"/>
      <c r="K19" s="775"/>
    </row>
    <row r="20" spans="1:11" s="206" customFormat="1" x14ac:dyDescent="0.2">
      <c r="A20" s="477" t="s">
        <v>619</v>
      </c>
      <c r="B20" s="774"/>
      <c r="C20" s="798" t="s">
        <v>199</v>
      </c>
      <c r="D20" s="774"/>
      <c r="E20" s="799" t="s">
        <v>700</v>
      </c>
      <c r="F20" s="799"/>
      <c r="G20" s="798" t="s">
        <v>199</v>
      </c>
      <c r="H20" s="775"/>
      <c r="I20" s="41"/>
      <c r="J20" s="775"/>
      <c r="K20" s="775"/>
    </row>
    <row r="21" spans="1:11" s="206" customFormat="1" x14ac:dyDescent="0.2">
      <c r="A21" s="468" t="s">
        <v>155</v>
      </c>
      <c r="B21" s="417" t="s">
        <v>792</v>
      </c>
      <c r="C21" s="469">
        <f t="shared" ref="C21:C29" si="2">IF(D21&gt;F21,1,"")</f>
        <v>1</v>
      </c>
      <c r="D21" s="776">
        <v>13</v>
      </c>
      <c r="E21" s="777" t="s">
        <v>787</v>
      </c>
      <c r="F21" s="773">
        <v>10</v>
      </c>
      <c r="G21" s="469" t="str">
        <f t="shared" ref="G21:G29" si="3">IF(F21&gt;D21,1,"")</f>
        <v/>
      </c>
      <c r="H21" s="501" t="s">
        <v>791</v>
      </c>
      <c r="I21" s="41" t="s">
        <v>586</v>
      </c>
      <c r="J21" s="775"/>
      <c r="K21" s="775"/>
    </row>
    <row r="22" spans="1:11" s="206" customFormat="1" x14ac:dyDescent="0.2">
      <c r="A22" s="468" t="s">
        <v>611</v>
      </c>
      <c r="B22" s="123" t="s">
        <v>808</v>
      </c>
      <c r="C22" s="469" t="str">
        <f t="shared" si="2"/>
        <v/>
      </c>
      <c r="D22" s="757">
        <v>7</v>
      </c>
      <c r="E22" s="777" t="s">
        <v>787</v>
      </c>
      <c r="F22" s="751">
        <v>12</v>
      </c>
      <c r="G22" s="469">
        <f t="shared" si="3"/>
        <v>1</v>
      </c>
      <c r="H22" s="501" t="s">
        <v>796</v>
      </c>
      <c r="I22" s="41" t="s">
        <v>810</v>
      </c>
      <c r="J22" s="775"/>
      <c r="K22" s="775"/>
    </row>
    <row r="23" spans="1:11" s="206" customFormat="1" x14ac:dyDescent="0.2">
      <c r="A23" s="478" t="s">
        <v>708</v>
      </c>
      <c r="B23" s="501" t="s">
        <v>800</v>
      </c>
      <c r="C23" s="469" t="str">
        <f t="shared" si="2"/>
        <v/>
      </c>
      <c r="D23" s="776">
        <v>7</v>
      </c>
      <c r="E23" s="777" t="s">
        <v>787</v>
      </c>
      <c r="F23" s="801">
        <v>8</v>
      </c>
      <c r="G23" s="469">
        <f t="shared" si="3"/>
        <v>1</v>
      </c>
      <c r="H23" s="501" t="s">
        <v>815</v>
      </c>
      <c r="I23" s="130" t="s">
        <v>814</v>
      </c>
      <c r="J23" s="775"/>
      <c r="K23" s="775"/>
    </row>
    <row r="24" spans="1:11" s="206" customFormat="1" x14ac:dyDescent="0.2">
      <c r="A24" s="468" t="s">
        <v>703</v>
      </c>
      <c r="B24" s="501" t="s">
        <v>788</v>
      </c>
      <c r="C24" s="469" t="str">
        <f t="shared" si="2"/>
        <v/>
      </c>
      <c r="D24" s="776">
        <v>9</v>
      </c>
      <c r="E24" s="777" t="s">
        <v>787</v>
      </c>
      <c r="F24" s="773">
        <v>13</v>
      </c>
      <c r="G24" s="469">
        <f t="shared" si="3"/>
        <v>1</v>
      </c>
      <c r="H24" s="501" t="s">
        <v>789</v>
      </c>
      <c r="I24" s="41" t="s">
        <v>705</v>
      </c>
      <c r="J24" s="775"/>
      <c r="K24" s="775"/>
    </row>
    <row r="25" spans="1:11" s="206" customFormat="1" x14ac:dyDescent="0.2">
      <c r="A25" s="468" t="s">
        <v>701</v>
      </c>
      <c r="B25" s="501" t="s">
        <v>663</v>
      </c>
      <c r="C25" s="469" t="str">
        <f t="shared" si="2"/>
        <v/>
      </c>
      <c r="D25" s="776">
        <v>5</v>
      </c>
      <c r="E25" s="777" t="s">
        <v>787</v>
      </c>
      <c r="F25" s="773">
        <v>13</v>
      </c>
      <c r="G25" s="469">
        <f t="shared" si="3"/>
        <v>1</v>
      </c>
      <c r="H25" s="501" t="s">
        <v>794</v>
      </c>
      <c r="I25" s="41" t="s">
        <v>709</v>
      </c>
      <c r="J25" s="775"/>
      <c r="K25" s="775"/>
    </row>
    <row r="26" spans="1:11" s="206" customFormat="1" x14ac:dyDescent="0.2">
      <c r="A26" s="468" t="s">
        <v>150</v>
      </c>
      <c r="B26" s="501" t="s">
        <v>816</v>
      </c>
      <c r="C26" s="469">
        <f t="shared" si="2"/>
        <v>1</v>
      </c>
      <c r="D26" s="776">
        <v>13</v>
      </c>
      <c r="E26" s="777" t="s">
        <v>787</v>
      </c>
      <c r="F26" s="773">
        <v>0</v>
      </c>
      <c r="G26" s="469" t="str">
        <f t="shared" si="3"/>
        <v/>
      </c>
      <c r="H26" s="417" t="s">
        <v>805</v>
      </c>
      <c r="I26" s="130" t="s">
        <v>187</v>
      </c>
      <c r="J26" s="775"/>
      <c r="K26" s="775"/>
    </row>
    <row r="27" spans="1:11" s="206" customFormat="1" x14ac:dyDescent="0.2">
      <c r="A27" s="468" t="s">
        <v>29</v>
      </c>
      <c r="B27" s="501" t="s">
        <v>804</v>
      </c>
      <c r="C27" s="469">
        <f t="shared" si="2"/>
        <v>1</v>
      </c>
      <c r="D27" s="750">
        <v>12</v>
      </c>
      <c r="E27" s="777" t="s">
        <v>787</v>
      </c>
      <c r="F27" s="773">
        <v>8</v>
      </c>
      <c r="G27" s="469" t="str">
        <f t="shared" si="3"/>
        <v/>
      </c>
      <c r="H27" s="501" t="s">
        <v>793</v>
      </c>
      <c r="I27" s="130" t="s">
        <v>199</v>
      </c>
      <c r="J27" s="775"/>
      <c r="K27" s="775"/>
    </row>
    <row r="28" spans="1:11" s="206" customFormat="1" x14ac:dyDescent="0.2">
      <c r="A28" s="468" t="s">
        <v>702</v>
      </c>
      <c r="B28" s="417" t="s">
        <v>798</v>
      </c>
      <c r="C28" s="469" t="str">
        <f t="shared" si="2"/>
        <v/>
      </c>
      <c r="D28" s="776">
        <v>5</v>
      </c>
      <c r="E28" s="777" t="s">
        <v>787</v>
      </c>
      <c r="F28" s="773">
        <v>13</v>
      </c>
      <c r="G28" s="469">
        <f t="shared" si="3"/>
        <v>1</v>
      </c>
      <c r="H28" s="501" t="s">
        <v>807</v>
      </c>
      <c r="I28" s="41" t="s">
        <v>806</v>
      </c>
      <c r="J28" s="775"/>
      <c r="K28" s="775"/>
    </row>
    <row r="29" spans="1:11" s="206" customFormat="1" x14ac:dyDescent="0.2">
      <c r="A29" s="478" t="s">
        <v>704</v>
      </c>
      <c r="B29" s="123" t="s">
        <v>803</v>
      </c>
      <c r="C29" s="469">
        <f t="shared" si="2"/>
        <v>1</v>
      </c>
      <c r="D29" s="776">
        <v>13</v>
      </c>
      <c r="E29" s="777" t="s">
        <v>787</v>
      </c>
      <c r="F29" s="773">
        <v>2</v>
      </c>
      <c r="G29" s="469" t="str">
        <f t="shared" si="3"/>
        <v/>
      </c>
      <c r="H29" s="136" t="s">
        <v>799</v>
      </c>
      <c r="I29" s="41" t="s">
        <v>706</v>
      </c>
      <c r="J29" s="775"/>
      <c r="K29" s="775"/>
    </row>
    <row r="30" spans="1:11" s="206" customFormat="1" x14ac:dyDescent="0.2">
      <c r="A30" s="468" t="s">
        <v>707</v>
      </c>
      <c r="B30" s="501" t="s">
        <v>790</v>
      </c>
      <c r="C30" s="469">
        <f t="shared" ref="C30:C32" si="4">IF(D30&gt;F30,1,"")</f>
        <v>1</v>
      </c>
      <c r="D30" s="776">
        <v>13</v>
      </c>
      <c r="E30" s="777" t="s">
        <v>787</v>
      </c>
      <c r="F30" s="773">
        <v>9</v>
      </c>
      <c r="G30" s="469" t="str">
        <f t="shared" ref="G30:G32" si="5">IF(F30&gt;D30,1,"")</f>
        <v/>
      </c>
      <c r="H30" s="348" t="s">
        <v>812</v>
      </c>
      <c r="I30" s="41" t="s">
        <v>811</v>
      </c>
      <c r="J30" s="775"/>
      <c r="K30" s="775"/>
    </row>
    <row r="31" spans="1:11" s="206" customFormat="1" x14ac:dyDescent="0.2">
      <c r="A31" s="468" t="s">
        <v>813</v>
      </c>
      <c r="B31" s="501" t="s">
        <v>797</v>
      </c>
      <c r="C31" s="469" t="str">
        <f t="shared" si="4"/>
        <v/>
      </c>
      <c r="D31" s="757">
        <v>3</v>
      </c>
      <c r="E31" s="777" t="s">
        <v>787</v>
      </c>
      <c r="F31" s="758">
        <v>13</v>
      </c>
      <c r="G31" s="469">
        <f t="shared" si="5"/>
        <v>1</v>
      </c>
      <c r="H31" s="501" t="s">
        <v>795</v>
      </c>
      <c r="I31" s="41" t="s">
        <v>809</v>
      </c>
      <c r="J31" s="775"/>
      <c r="K31" s="775"/>
    </row>
    <row r="32" spans="1:11" s="206" customFormat="1" x14ac:dyDescent="0.2">
      <c r="A32" s="478" t="s">
        <v>30</v>
      </c>
      <c r="B32" s="501" t="s">
        <v>802</v>
      </c>
      <c r="C32" s="469">
        <f t="shared" si="4"/>
        <v>1</v>
      </c>
      <c r="D32" s="776">
        <v>13</v>
      </c>
      <c r="E32" s="777" t="s">
        <v>787</v>
      </c>
      <c r="F32" s="773">
        <v>7</v>
      </c>
      <c r="G32" s="469" t="str">
        <f t="shared" si="5"/>
        <v/>
      </c>
      <c r="H32" s="417" t="s">
        <v>801</v>
      </c>
      <c r="I32" s="130" t="s">
        <v>710</v>
      </c>
      <c r="J32" s="775"/>
      <c r="K32" s="775"/>
    </row>
    <row r="33" spans="1:11" s="206" customFormat="1" x14ac:dyDescent="0.2">
      <c r="A33" s="478"/>
      <c r="B33" s="752"/>
      <c r="C33" s="474"/>
      <c r="D33" s="778"/>
      <c r="E33" s="779"/>
      <c r="F33" s="778"/>
      <c r="G33" s="474"/>
      <c r="I33" s="130"/>
      <c r="J33" s="775"/>
      <c r="K33" s="775"/>
    </row>
    <row r="34" spans="1:11" s="206" customFormat="1" x14ac:dyDescent="0.2">
      <c r="A34" s="465" t="s">
        <v>622</v>
      </c>
      <c r="B34" s="774"/>
      <c r="C34" s="798" t="s">
        <v>199</v>
      </c>
      <c r="D34" s="774"/>
      <c r="E34" s="799" t="s">
        <v>700</v>
      </c>
      <c r="F34" s="799"/>
      <c r="G34" s="798" t="s">
        <v>199</v>
      </c>
      <c r="I34" s="41"/>
      <c r="J34" s="775"/>
      <c r="K34" s="775"/>
    </row>
    <row r="35" spans="1:11" s="206" customFormat="1" x14ac:dyDescent="0.2">
      <c r="A35" s="468" t="s">
        <v>150</v>
      </c>
      <c r="B35" s="501" t="s">
        <v>816</v>
      </c>
      <c r="C35" s="500">
        <f>IF(D35&gt;F35,1,"")</f>
        <v>1</v>
      </c>
      <c r="D35" s="757">
        <v>13</v>
      </c>
      <c r="E35" s="777" t="s">
        <v>787</v>
      </c>
      <c r="F35" s="758">
        <v>3</v>
      </c>
      <c r="G35" s="500" t="str">
        <f>IF(F35&gt;D35,1,"")</f>
        <v/>
      </c>
      <c r="H35" s="501" t="s">
        <v>794</v>
      </c>
      <c r="I35" s="41" t="s">
        <v>709</v>
      </c>
      <c r="J35" s="775"/>
      <c r="K35" s="775"/>
    </row>
    <row r="36" spans="1:11" s="206" customFormat="1" x14ac:dyDescent="0.2">
      <c r="A36" s="468" t="s">
        <v>155</v>
      </c>
      <c r="B36" s="501" t="s">
        <v>792</v>
      </c>
      <c r="C36" s="500">
        <f>IF(D36&gt;F36,1,"")</f>
        <v>1</v>
      </c>
      <c r="D36" s="749">
        <v>12</v>
      </c>
      <c r="E36" s="777" t="s">
        <v>787</v>
      </c>
      <c r="F36" s="758">
        <v>11</v>
      </c>
      <c r="G36" s="500" t="str">
        <f>IF(F36&gt;D36,1,"")</f>
        <v/>
      </c>
      <c r="H36" s="501" t="s">
        <v>796</v>
      </c>
      <c r="I36" s="41" t="s">
        <v>810</v>
      </c>
      <c r="J36" s="775"/>
      <c r="K36" s="775"/>
    </row>
    <row r="37" spans="1:11" s="206" customFormat="1" x14ac:dyDescent="0.2">
      <c r="A37" s="468" t="s">
        <v>705</v>
      </c>
      <c r="B37" s="501" t="s">
        <v>789</v>
      </c>
      <c r="C37" s="500" t="str">
        <f>IF(D37&gt;F37,1,"")</f>
        <v/>
      </c>
      <c r="D37" s="757">
        <v>11</v>
      </c>
      <c r="E37" s="777" t="s">
        <v>787</v>
      </c>
      <c r="F37" s="758">
        <v>13</v>
      </c>
      <c r="G37" s="500">
        <f>IF(F37&gt;D37,1,"")</f>
        <v>1</v>
      </c>
      <c r="H37" s="501" t="s">
        <v>815</v>
      </c>
      <c r="I37" s="130" t="s">
        <v>814</v>
      </c>
      <c r="J37" s="775"/>
      <c r="K37" s="775"/>
    </row>
    <row r="38" spans="1:11" s="206" customFormat="1" x14ac:dyDescent="0.2">
      <c r="A38" s="468" t="s">
        <v>586</v>
      </c>
      <c r="B38" s="501" t="s">
        <v>791</v>
      </c>
      <c r="C38" s="500" t="str">
        <f>IF(D38&gt;F38,1,"")</f>
        <v/>
      </c>
      <c r="D38" s="757">
        <v>8</v>
      </c>
      <c r="E38" s="777" t="s">
        <v>787</v>
      </c>
      <c r="F38" s="758">
        <v>13</v>
      </c>
      <c r="G38" s="500">
        <f>IF(F38&gt;D38,1,"")</f>
        <v>1</v>
      </c>
      <c r="H38" s="501" t="s">
        <v>800</v>
      </c>
      <c r="I38" s="41" t="s">
        <v>708</v>
      </c>
      <c r="J38" s="775"/>
      <c r="K38" s="775"/>
    </row>
    <row r="39" spans="1:11" s="206" customFormat="1" x14ac:dyDescent="0.2">
      <c r="A39" s="478" t="s">
        <v>611</v>
      </c>
      <c r="B39" s="123" t="s">
        <v>808</v>
      </c>
      <c r="C39" s="500">
        <f>IF(D39&gt;F39,1,"")</f>
        <v>1</v>
      </c>
      <c r="D39" s="757">
        <v>13</v>
      </c>
      <c r="E39" s="777" t="s">
        <v>787</v>
      </c>
      <c r="F39" s="758">
        <v>7</v>
      </c>
      <c r="G39" s="500" t="str">
        <f>IF(F39&gt;D39,1,"")</f>
        <v/>
      </c>
      <c r="H39" s="501" t="s">
        <v>807</v>
      </c>
      <c r="I39" s="41" t="s">
        <v>806</v>
      </c>
      <c r="J39" s="775"/>
      <c r="K39" s="775"/>
    </row>
    <row r="40" spans="1:11" s="206" customFormat="1" x14ac:dyDescent="0.2">
      <c r="A40" s="468" t="s">
        <v>29</v>
      </c>
      <c r="B40" s="501" t="s">
        <v>804</v>
      </c>
      <c r="C40" s="500" t="str">
        <f t="shared" ref="C40:C45" si="6">IF(D40&gt;F40,1,"")</f>
        <v/>
      </c>
      <c r="D40" s="757">
        <v>1</v>
      </c>
      <c r="E40" s="777" t="s">
        <v>787</v>
      </c>
      <c r="F40" s="758">
        <v>13</v>
      </c>
      <c r="G40" s="500">
        <f t="shared" ref="G40:G45" si="7">IF(F40&gt;D40,1,"")</f>
        <v>1</v>
      </c>
      <c r="H40" s="501" t="s">
        <v>788</v>
      </c>
      <c r="I40" s="130" t="s">
        <v>703</v>
      </c>
      <c r="J40" s="775"/>
      <c r="K40" s="775"/>
    </row>
    <row r="41" spans="1:11" s="206" customFormat="1" x14ac:dyDescent="0.2">
      <c r="A41" s="468" t="s">
        <v>701</v>
      </c>
      <c r="B41" s="501" t="s">
        <v>663</v>
      </c>
      <c r="C41" s="500">
        <f>IF(D41&gt;F41,1,"")</f>
        <v>1</v>
      </c>
      <c r="D41" s="757">
        <v>13</v>
      </c>
      <c r="E41" s="777" t="s">
        <v>787</v>
      </c>
      <c r="F41" s="758">
        <v>3</v>
      </c>
      <c r="G41" s="500" t="str">
        <f>IF(F41&gt;D41,1,"")</f>
        <v/>
      </c>
      <c r="H41" s="417" t="s">
        <v>805</v>
      </c>
      <c r="I41" s="130" t="s">
        <v>187</v>
      </c>
      <c r="J41" s="775"/>
      <c r="K41" s="775"/>
    </row>
    <row r="42" spans="1:11" s="206" customFormat="1" x14ac:dyDescent="0.2">
      <c r="A42" s="468" t="s">
        <v>707</v>
      </c>
      <c r="B42" s="501" t="s">
        <v>790</v>
      </c>
      <c r="C42" s="500" t="str">
        <f t="shared" si="6"/>
        <v/>
      </c>
      <c r="D42" s="757">
        <v>8</v>
      </c>
      <c r="E42" s="777" t="s">
        <v>787</v>
      </c>
      <c r="F42" s="758">
        <v>13</v>
      </c>
      <c r="G42" s="500">
        <f t="shared" si="7"/>
        <v>1</v>
      </c>
      <c r="H42" s="501" t="s">
        <v>802</v>
      </c>
      <c r="I42" s="479" t="s">
        <v>30</v>
      </c>
      <c r="J42" s="775"/>
      <c r="K42" s="775"/>
    </row>
    <row r="43" spans="1:11" s="206" customFormat="1" x14ac:dyDescent="0.2">
      <c r="A43" s="468" t="s">
        <v>704</v>
      </c>
      <c r="B43" s="123" t="s">
        <v>803</v>
      </c>
      <c r="C43" s="500">
        <f>IF(D43&gt;F43,1,"")</f>
        <v>1</v>
      </c>
      <c r="D43" s="757">
        <v>13</v>
      </c>
      <c r="E43" s="777" t="s">
        <v>787</v>
      </c>
      <c r="F43" s="758">
        <v>4</v>
      </c>
      <c r="G43" s="500" t="str">
        <f>IF(F43&gt;D43,1,"")</f>
        <v/>
      </c>
      <c r="H43" s="501" t="s">
        <v>795</v>
      </c>
      <c r="I43" s="41" t="s">
        <v>809</v>
      </c>
      <c r="J43" s="775"/>
      <c r="K43" s="775"/>
    </row>
    <row r="44" spans="1:11" s="206" customFormat="1" x14ac:dyDescent="0.2">
      <c r="A44" s="468" t="s">
        <v>199</v>
      </c>
      <c r="B44" s="501" t="s">
        <v>793</v>
      </c>
      <c r="C44" s="500" t="str">
        <f t="shared" si="6"/>
        <v/>
      </c>
      <c r="D44" s="757">
        <v>8</v>
      </c>
      <c r="E44" s="777" t="s">
        <v>787</v>
      </c>
      <c r="F44" s="751">
        <v>11</v>
      </c>
      <c r="G44" s="500">
        <f t="shared" si="7"/>
        <v>1</v>
      </c>
      <c r="H44" s="499" t="s">
        <v>798</v>
      </c>
      <c r="I44" s="41" t="s">
        <v>702</v>
      </c>
      <c r="J44" s="775"/>
      <c r="K44" s="775"/>
    </row>
    <row r="45" spans="1:11" s="206" customFormat="1" x14ac:dyDescent="0.2">
      <c r="A45" s="468" t="s">
        <v>813</v>
      </c>
      <c r="B45" s="748" t="s">
        <v>797</v>
      </c>
      <c r="C45" s="500" t="str">
        <f t="shared" si="6"/>
        <v/>
      </c>
      <c r="D45" s="757">
        <v>6</v>
      </c>
      <c r="E45" s="777" t="s">
        <v>787</v>
      </c>
      <c r="F45" s="758">
        <v>13</v>
      </c>
      <c r="G45" s="500">
        <f t="shared" si="7"/>
        <v>1</v>
      </c>
      <c r="H45" s="417" t="s">
        <v>801</v>
      </c>
      <c r="I45" s="130" t="s">
        <v>710</v>
      </c>
      <c r="J45" s="775"/>
      <c r="K45" s="775"/>
    </row>
    <row r="46" spans="1:11" s="206" customFormat="1" x14ac:dyDescent="0.2">
      <c r="A46" s="468" t="s">
        <v>706</v>
      </c>
      <c r="B46" s="136" t="s">
        <v>799</v>
      </c>
      <c r="C46" s="500">
        <f>IF(D46&gt;F46,1,"")</f>
        <v>1</v>
      </c>
      <c r="D46" s="757">
        <v>13</v>
      </c>
      <c r="E46" s="777" t="s">
        <v>787</v>
      </c>
      <c r="F46" s="758">
        <v>2</v>
      </c>
      <c r="G46" s="500" t="str">
        <f>IF(F46&gt;D46,1,"")</f>
        <v/>
      </c>
      <c r="H46" s="136" t="s">
        <v>812</v>
      </c>
      <c r="I46" s="41" t="s">
        <v>811</v>
      </c>
      <c r="J46" s="775"/>
      <c r="K46" s="775"/>
    </row>
    <row r="47" spans="1:11" s="206" customFormat="1" x14ac:dyDescent="0.2">
      <c r="A47" s="468"/>
      <c r="B47" s="752"/>
      <c r="C47" s="474"/>
      <c r="D47" s="778"/>
      <c r="E47" s="779"/>
      <c r="F47" s="778"/>
      <c r="G47" s="474"/>
      <c r="H47" s="752"/>
      <c r="I47" s="130"/>
      <c r="J47" s="775"/>
      <c r="K47" s="775"/>
    </row>
    <row r="48" spans="1:11" s="206" customFormat="1" x14ac:dyDescent="0.2">
      <c r="A48" s="465" t="s">
        <v>625</v>
      </c>
      <c r="B48" s="774"/>
      <c r="C48" s="798" t="s">
        <v>199</v>
      </c>
      <c r="D48" s="774"/>
      <c r="E48" s="799" t="s">
        <v>700</v>
      </c>
      <c r="F48" s="799"/>
      <c r="G48" s="798" t="s">
        <v>199</v>
      </c>
      <c r="I48" s="41"/>
      <c r="J48" s="775"/>
      <c r="K48" s="775"/>
    </row>
    <row r="49" spans="1:11" s="206" customFormat="1" x14ac:dyDescent="0.2">
      <c r="A49" s="468" t="s">
        <v>150</v>
      </c>
      <c r="B49" s="501" t="s">
        <v>816</v>
      </c>
      <c r="C49" s="500">
        <f t="shared" ref="C49:C57" si="8">IF(D49&gt;F49,1,"")</f>
        <v>1</v>
      </c>
      <c r="D49" s="757">
        <v>13</v>
      </c>
      <c r="E49" s="777" t="s">
        <v>787</v>
      </c>
      <c r="F49" s="758">
        <v>10</v>
      </c>
      <c r="G49" s="500" t="str">
        <f t="shared" ref="G49:G57" si="9">IF(F49&gt;D49,1,"")</f>
        <v/>
      </c>
      <c r="H49" s="501" t="s">
        <v>792</v>
      </c>
      <c r="I49" s="41" t="s">
        <v>155</v>
      </c>
      <c r="J49" s="775"/>
      <c r="K49" s="775"/>
    </row>
    <row r="50" spans="1:11" s="206" customFormat="1" x14ac:dyDescent="0.2">
      <c r="A50" s="468" t="s">
        <v>814</v>
      </c>
      <c r="B50" s="501" t="s">
        <v>815</v>
      </c>
      <c r="C50" s="500" t="str">
        <f t="shared" si="8"/>
        <v/>
      </c>
      <c r="D50" s="757">
        <v>7</v>
      </c>
      <c r="E50" s="777" t="s">
        <v>787</v>
      </c>
      <c r="F50" s="758">
        <v>13</v>
      </c>
      <c r="G50" s="500">
        <f t="shared" si="9"/>
        <v>1</v>
      </c>
      <c r="H50" s="501" t="s">
        <v>794</v>
      </c>
      <c r="I50" s="130" t="s">
        <v>709</v>
      </c>
      <c r="J50" s="775"/>
      <c r="K50" s="775"/>
    </row>
    <row r="51" spans="1:11" s="206" customFormat="1" x14ac:dyDescent="0.2">
      <c r="A51" s="468" t="s">
        <v>705</v>
      </c>
      <c r="B51" s="501" t="s">
        <v>789</v>
      </c>
      <c r="C51" s="500" t="str">
        <f t="shared" si="8"/>
        <v/>
      </c>
      <c r="D51" s="757">
        <v>5</v>
      </c>
      <c r="E51" s="777" t="s">
        <v>787</v>
      </c>
      <c r="F51" s="758">
        <v>13</v>
      </c>
      <c r="G51" s="500">
        <f t="shared" si="9"/>
        <v>1</v>
      </c>
      <c r="H51" s="501" t="s">
        <v>796</v>
      </c>
      <c r="I51" s="41" t="s">
        <v>810</v>
      </c>
      <c r="J51" s="775"/>
      <c r="K51" s="775"/>
    </row>
    <row r="52" spans="1:11" s="206" customFormat="1" x14ac:dyDescent="0.2">
      <c r="A52" s="468" t="s">
        <v>708</v>
      </c>
      <c r="B52" s="501" t="s">
        <v>800</v>
      </c>
      <c r="C52" s="500" t="str">
        <f t="shared" si="8"/>
        <v/>
      </c>
      <c r="D52" s="757">
        <v>4</v>
      </c>
      <c r="E52" s="777" t="s">
        <v>787</v>
      </c>
      <c r="F52" s="758">
        <v>13</v>
      </c>
      <c r="G52" s="500">
        <f t="shared" si="9"/>
        <v>1</v>
      </c>
      <c r="H52" s="501" t="s">
        <v>788</v>
      </c>
      <c r="I52" s="41" t="s">
        <v>703</v>
      </c>
      <c r="J52" s="775"/>
      <c r="K52" s="775"/>
    </row>
    <row r="53" spans="1:11" s="206" customFormat="1" x14ac:dyDescent="0.2">
      <c r="A53" s="478" t="s">
        <v>704</v>
      </c>
      <c r="B53" s="123" t="s">
        <v>803</v>
      </c>
      <c r="C53" s="500">
        <f t="shared" si="8"/>
        <v>1</v>
      </c>
      <c r="D53" s="757">
        <v>13</v>
      </c>
      <c r="E53" s="777" t="s">
        <v>787</v>
      </c>
      <c r="F53" s="758">
        <v>8</v>
      </c>
      <c r="G53" s="500" t="str">
        <f t="shared" si="9"/>
        <v/>
      </c>
      <c r="H53" s="123" t="s">
        <v>808</v>
      </c>
      <c r="I53" s="41" t="s">
        <v>611</v>
      </c>
      <c r="J53" s="775"/>
      <c r="K53" s="775"/>
    </row>
    <row r="54" spans="1:11" s="206" customFormat="1" x14ac:dyDescent="0.2">
      <c r="A54" s="468" t="s">
        <v>701</v>
      </c>
      <c r="B54" s="501" t="s">
        <v>663</v>
      </c>
      <c r="C54" s="500" t="str">
        <f t="shared" si="8"/>
        <v/>
      </c>
      <c r="D54" s="757">
        <v>3</v>
      </c>
      <c r="E54" s="777" t="s">
        <v>787</v>
      </c>
      <c r="F54" s="758">
        <v>13</v>
      </c>
      <c r="G54" s="500">
        <f t="shared" si="9"/>
        <v>1</v>
      </c>
      <c r="H54" s="501" t="s">
        <v>802</v>
      </c>
      <c r="I54" s="479" t="s">
        <v>30</v>
      </c>
      <c r="J54" s="775"/>
      <c r="K54" s="775"/>
    </row>
    <row r="55" spans="1:11" s="206" customFormat="1" x14ac:dyDescent="0.2">
      <c r="A55" s="468" t="s">
        <v>586</v>
      </c>
      <c r="B55" s="501" t="s">
        <v>791</v>
      </c>
      <c r="C55" s="500" t="str">
        <f t="shared" si="8"/>
        <v/>
      </c>
      <c r="D55" s="757">
        <v>10</v>
      </c>
      <c r="E55" s="777" t="s">
        <v>787</v>
      </c>
      <c r="F55" s="751">
        <v>11</v>
      </c>
      <c r="G55" s="500">
        <f t="shared" si="9"/>
        <v>1</v>
      </c>
      <c r="H55" s="501" t="s">
        <v>807</v>
      </c>
      <c r="I55" s="41" t="s">
        <v>806</v>
      </c>
      <c r="J55" s="775"/>
      <c r="K55" s="775"/>
    </row>
    <row r="56" spans="1:11" s="206" customFormat="1" x14ac:dyDescent="0.2">
      <c r="A56" s="478" t="s">
        <v>29</v>
      </c>
      <c r="B56" s="501" t="s">
        <v>804</v>
      </c>
      <c r="C56" s="500" t="str">
        <f t="shared" si="8"/>
        <v/>
      </c>
      <c r="D56" s="757">
        <v>1</v>
      </c>
      <c r="E56" s="777" t="s">
        <v>787</v>
      </c>
      <c r="F56" s="758">
        <v>13</v>
      </c>
      <c r="G56" s="500">
        <f t="shared" si="9"/>
        <v>1</v>
      </c>
      <c r="H56" s="417" t="s">
        <v>801</v>
      </c>
      <c r="I56" s="130" t="s">
        <v>710</v>
      </c>
      <c r="J56" s="775"/>
      <c r="K56" s="775"/>
    </row>
    <row r="57" spans="1:11" s="206" customFormat="1" x14ac:dyDescent="0.2">
      <c r="A57" s="468" t="s">
        <v>187</v>
      </c>
      <c r="B57" s="417" t="s">
        <v>805</v>
      </c>
      <c r="C57" s="500">
        <f t="shared" si="8"/>
        <v>1</v>
      </c>
      <c r="D57" s="757">
        <v>13</v>
      </c>
      <c r="E57" s="777" t="s">
        <v>787</v>
      </c>
      <c r="F57" s="758">
        <v>5</v>
      </c>
      <c r="G57" s="500" t="str">
        <f t="shared" si="9"/>
        <v/>
      </c>
      <c r="H57" s="136" t="s">
        <v>799</v>
      </c>
      <c r="I57" s="130" t="s">
        <v>706</v>
      </c>
      <c r="J57" s="775"/>
      <c r="K57" s="775"/>
    </row>
    <row r="58" spans="1:11" s="206" customFormat="1" x14ac:dyDescent="0.2">
      <c r="A58" s="468" t="s">
        <v>707</v>
      </c>
      <c r="B58" s="501" t="s">
        <v>790</v>
      </c>
      <c r="C58" s="500">
        <f t="shared" ref="C58:C60" si="10">IF(D58&gt;F58,1,"")</f>
        <v>1</v>
      </c>
      <c r="D58" s="757">
        <v>13</v>
      </c>
      <c r="E58" s="777" t="s">
        <v>787</v>
      </c>
      <c r="F58" s="758">
        <v>0</v>
      </c>
      <c r="G58" s="500" t="str">
        <f t="shared" ref="G58:G60" si="11">IF(F58&gt;D58,1,"")</f>
        <v/>
      </c>
      <c r="H58" s="501" t="s">
        <v>795</v>
      </c>
      <c r="I58" s="41" t="s">
        <v>809</v>
      </c>
      <c r="J58" s="775"/>
      <c r="K58" s="775"/>
    </row>
    <row r="59" spans="1:11" s="206" customFormat="1" x14ac:dyDescent="0.2">
      <c r="A59" s="468" t="s">
        <v>702</v>
      </c>
      <c r="B59" s="417" t="s">
        <v>798</v>
      </c>
      <c r="C59" s="500">
        <f>IF(D59&gt;F59,1,"")</f>
        <v>1</v>
      </c>
      <c r="D59" s="757">
        <v>13</v>
      </c>
      <c r="E59" s="777" t="s">
        <v>787</v>
      </c>
      <c r="F59" s="758">
        <v>11</v>
      </c>
      <c r="G59" s="500" t="str">
        <f>IF(F59&gt;D59,1,"")</f>
        <v/>
      </c>
      <c r="H59" s="501" t="s">
        <v>797</v>
      </c>
      <c r="I59" s="41" t="s">
        <v>813</v>
      </c>
      <c r="J59" s="775"/>
      <c r="K59" s="775"/>
    </row>
    <row r="60" spans="1:11" s="206" customFormat="1" x14ac:dyDescent="0.2">
      <c r="A60" s="468" t="s">
        <v>811</v>
      </c>
      <c r="B60" s="136" t="s">
        <v>812</v>
      </c>
      <c r="C60" s="500" t="str">
        <f t="shared" si="10"/>
        <v/>
      </c>
      <c r="D60" s="757">
        <v>7</v>
      </c>
      <c r="E60" s="777" t="s">
        <v>787</v>
      </c>
      <c r="F60" s="758">
        <v>13</v>
      </c>
      <c r="G60" s="500">
        <f t="shared" si="11"/>
        <v>1</v>
      </c>
      <c r="H60" s="501" t="s">
        <v>793</v>
      </c>
      <c r="I60" s="41" t="s">
        <v>199</v>
      </c>
      <c r="J60" s="775"/>
      <c r="K60" s="775"/>
    </row>
    <row r="61" spans="1:11" s="206" customFormat="1" x14ac:dyDescent="0.2">
      <c r="A61" s="468"/>
      <c r="B61" s="476"/>
      <c r="C61" s="474"/>
      <c r="D61" s="475"/>
      <c r="E61" s="474"/>
      <c r="F61" s="781"/>
      <c r="G61" s="41"/>
      <c r="I61" s="468"/>
      <c r="J61" s="775"/>
      <c r="K61" s="775"/>
    </row>
    <row r="62" spans="1:11" s="206" customFormat="1" x14ac:dyDescent="0.2">
      <c r="A62" s="480" t="s">
        <v>712</v>
      </c>
      <c r="B62" s="476"/>
      <c r="C62" s="474"/>
      <c r="D62" s="475"/>
      <c r="E62" s="474"/>
      <c r="F62" s="781"/>
      <c r="G62" s="41"/>
      <c r="H62" s="775"/>
      <c r="I62" s="468"/>
      <c r="J62" s="775"/>
      <c r="K62" s="775"/>
    </row>
    <row r="63" spans="1:11" s="206" customFormat="1" x14ac:dyDescent="0.2">
      <c r="A63" s="480"/>
      <c r="B63" s="476"/>
      <c r="C63" s="474"/>
      <c r="D63" s="475"/>
      <c r="E63" s="474"/>
      <c r="F63" s="781"/>
      <c r="G63" s="41"/>
      <c r="H63" s="775"/>
      <c r="I63" s="468"/>
      <c r="J63" s="775"/>
      <c r="K63" s="775"/>
    </row>
    <row r="64" spans="1:11" s="206" customFormat="1" x14ac:dyDescent="0.2">
      <c r="A64" s="468"/>
      <c r="B64" s="476"/>
      <c r="C64" s="743" t="s">
        <v>586</v>
      </c>
      <c r="D64" s="1018" t="s">
        <v>587</v>
      </c>
      <c r="E64" s="1018"/>
      <c r="F64" s="767" t="s">
        <v>588</v>
      </c>
      <c r="G64" s="768"/>
      <c r="H64" s="775"/>
      <c r="I64" s="468"/>
      <c r="J64" s="775"/>
      <c r="K64" s="775"/>
    </row>
    <row r="65" spans="1:11" s="206" customFormat="1" x14ac:dyDescent="0.2">
      <c r="A65" s="468"/>
      <c r="B65" s="800"/>
      <c r="C65" s="802" t="s">
        <v>223</v>
      </c>
      <c r="D65" s="1004" t="s">
        <v>855</v>
      </c>
      <c r="E65" s="1005"/>
      <c r="F65" s="800" t="s">
        <v>700</v>
      </c>
      <c r="G65" s="781"/>
      <c r="H65" s="775"/>
      <c r="I65" s="468"/>
      <c r="J65" s="775"/>
      <c r="K65" s="775"/>
    </row>
    <row r="66" spans="1:11" s="206" customFormat="1" ht="13.5" thickBot="1" x14ac:dyDescent="0.25">
      <c r="A66" s="468">
        <v>1</v>
      </c>
      <c r="B66" s="501" t="s">
        <v>816</v>
      </c>
      <c r="C66" s="744">
        <v>4</v>
      </c>
      <c r="D66" s="1014">
        <v>9</v>
      </c>
      <c r="E66" s="1015"/>
      <c r="F66" s="782">
        <v>27</v>
      </c>
      <c r="G66" s="745" t="s">
        <v>817</v>
      </c>
      <c r="H66" s="775"/>
      <c r="I66" s="468"/>
      <c r="J66" s="775"/>
      <c r="K66" s="775"/>
    </row>
    <row r="67" spans="1:11" s="206" customFormat="1" x14ac:dyDescent="0.2">
      <c r="A67" s="468">
        <v>2</v>
      </c>
      <c r="B67" s="501" t="s">
        <v>794</v>
      </c>
      <c r="C67" s="759">
        <v>3</v>
      </c>
      <c r="D67" s="1012">
        <v>11</v>
      </c>
      <c r="E67" s="1013"/>
      <c r="F67" s="783">
        <v>8</v>
      </c>
      <c r="G67" s="745" t="s">
        <v>818</v>
      </c>
      <c r="H67" s="775"/>
      <c r="I67" s="468"/>
      <c r="J67" s="775"/>
      <c r="K67" s="775"/>
    </row>
    <row r="68" spans="1:11" s="206" customFormat="1" x14ac:dyDescent="0.2">
      <c r="A68" s="468">
        <v>3</v>
      </c>
      <c r="B68" s="780" t="s">
        <v>792</v>
      </c>
      <c r="C68" s="756">
        <v>3</v>
      </c>
      <c r="D68" s="1006">
        <v>10</v>
      </c>
      <c r="E68" s="1007"/>
      <c r="F68" s="780">
        <v>13</v>
      </c>
      <c r="G68" s="745" t="s">
        <v>819</v>
      </c>
      <c r="H68" s="775"/>
      <c r="I68" s="468"/>
      <c r="J68" s="775"/>
      <c r="K68" s="775"/>
    </row>
    <row r="69" spans="1:11" s="206" customFormat="1" ht="13.5" thickBot="1" x14ac:dyDescent="0.25">
      <c r="A69" s="468">
        <v>4</v>
      </c>
      <c r="B69" s="122" t="s">
        <v>788</v>
      </c>
      <c r="C69" s="756">
        <v>3</v>
      </c>
      <c r="D69" s="1014">
        <v>8</v>
      </c>
      <c r="E69" s="1015"/>
      <c r="F69" s="784">
        <v>23</v>
      </c>
      <c r="G69" s="745" t="s">
        <v>820</v>
      </c>
      <c r="H69" s="775"/>
      <c r="I69" s="468"/>
      <c r="J69" s="775"/>
      <c r="K69" s="775"/>
    </row>
    <row r="70" spans="1:11" s="206" customFormat="1" x14ac:dyDescent="0.2">
      <c r="A70" s="468">
        <v>5</v>
      </c>
      <c r="B70" s="122" t="s">
        <v>796</v>
      </c>
      <c r="C70" s="756">
        <v>3</v>
      </c>
      <c r="D70" s="1027">
        <v>7</v>
      </c>
      <c r="E70" s="1028"/>
      <c r="F70" s="785">
        <v>21</v>
      </c>
      <c r="G70" s="745" t="s">
        <v>821</v>
      </c>
      <c r="H70" s="775"/>
      <c r="I70" s="468"/>
      <c r="J70" s="775"/>
      <c r="K70" s="775"/>
    </row>
    <row r="71" spans="1:11" s="206" customFormat="1" x14ac:dyDescent="0.2">
      <c r="A71" s="468">
        <v>6</v>
      </c>
      <c r="B71" s="123" t="s">
        <v>803</v>
      </c>
      <c r="C71" s="756">
        <v>3</v>
      </c>
      <c r="D71" s="1002">
        <v>7</v>
      </c>
      <c r="E71" s="1003"/>
      <c r="F71" s="417">
        <v>19</v>
      </c>
      <c r="G71" s="745" t="s">
        <v>822</v>
      </c>
      <c r="H71" s="775"/>
      <c r="I71" s="468"/>
      <c r="J71" s="775"/>
      <c r="K71" s="775"/>
    </row>
    <row r="72" spans="1:11" s="206" customFormat="1" x14ac:dyDescent="0.2">
      <c r="A72" s="468">
        <v>7</v>
      </c>
      <c r="B72" s="501" t="s">
        <v>802</v>
      </c>
      <c r="C72" s="756">
        <v>3</v>
      </c>
      <c r="D72" s="1002">
        <v>7</v>
      </c>
      <c r="E72" s="1003"/>
      <c r="F72" s="417">
        <v>10</v>
      </c>
      <c r="G72" s="745" t="s">
        <v>823</v>
      </c>
      <c r="H72" s="775"/>
      <c r="I72" s="468"/>
      <c r="J72" s="775"/>
      <c r="K72" s="775"/>
    </row>
    <row r="73" spans="1:11" s="206" customFormat="1" ht="13.5" thickBot="1" x14ac:dyDescent="0.25">
      <c r="A73" s="468">
        <v>8</v>
      </c>
      <c r="B73" s="501" t="s">
        <v>815</v>
      </c>
      <c r="C73" s="763">
        <v>3</v>
      </c>
      <c r="D73" s="1019">
        <v>7</v>
      </c>
      <c r="E73" s="1020"/>
      <c r="F73" s="786">
        <v>6</v>
      </c>
      <c r="G73" s="745" t="s">
        <v>824</v>
      </c>
      <c r="H73" s="775"/>
      <c r="I73" s="468"/>
      <c r="J73" s="775"/>
      <c r="K73" s="775"/>
    </row>
    <row r="74" spans="1:11" s="206" customFormat="1" ht="13.5" thickBot="1" x14ac:dyDescent="0.25">
      <c r="A74" s="484"/>
      <c r="B74" s="787"/>
      <c r="C74" s="765"/>
      <c r="D74" s="766"/>
      <c r="E74" s="765"/>
      <c r="F74" s="788"/>
      <c r="G74" s="781"/>
      <c r="H74" s="775"/>
      <c r="I74" s="468"/>
      <c r="J74" s="775"/>
      <c r="K74" s="775"/>
    </row>
    <row r="75" spans="1:11" s="206" customFormat="1" x14ac:dyDescent="0.2">
      <c r="A75" s="468">
        <v>9</v>
      </c>
      <c r="B75" s="501" t="s">
        <v>789</v>
      </c>
      <c r="C75" s="764">
        <v>2</v>
      </c>
      <c r="D75" s="1008">
        <v>10</v>
      </c>
      <c r="E75" s="1009"/>
      <c r="F75" s="789">
        <v>0</v>
      </c>
      <c r="G75" s="790" t="s">
        <v>825</v>
      </c>
      <c r="H75" s="791"/>
      <c r="I75" s="468"/>
      <c r="J75" s="775"/>
      <c r="K75" s="775"/>
    </row>
    <row r="76" spans="1:11" s="206" customFormat="1" ht="13.5" thickBot="1" x14ac:dyDescent="0.25">
      <c r="A76" s="468">
        <v>10</v>
      </c>
      <c r="B76" s="122" t="s">
        <v>663</v>
      </c>
      <c r="C76" s="746">
        <v>2</v>
      </c>
      <c r="D76" s="1010">
        <v>10</v>
      </c>
      <c r="E76" s="1011"/>
      <c r="F76" s="786">
        <v>-5</v>
      </c>
      <c r="G76" s="790" t="s">
        <v>826</v>
      </c>
      <c r="H76" s="791"/>
      <c r="I76" s="468"/>
      <c r="J76" s="775"/>
      <c r="K76" s="775"/>
    </row>
    <row r="77" spans="1:11" s="206" customFormat="1" x14ac:dyDescent="0.2">
      <c r="A77" s="468">
        <v>11</v>
      </c>
      <c r="B77" s="123" t="s">
        <v>808</v>
      </c>
      <c r="C77" s="746">
        <v>2</v>
      </c>
      <c r="D77" s="1027">
        <v>9</v>
      </c>
      <c r="E77" s="1028"/>
      <c r="F77" s="785">
        <v>6</v>
      </c>
      <c r="G77" s="790" t="s">
        <v>824</v>
      </c>
      <c r="H77" s="791"/>
      <c r="I77" s="468"/>
      <c r="J77" s="775"/>
      <c r="K77" s="775"/>
    </row>
    <row r="78" spans="1:11" s="206" customFormat="1" ht="13.5" thickBot="1" x14ac:dyDescent="0.25">
      <c r="A78" s="468">
        <v>12</v>
      </c>
      <c r="B78" s="501" t="s">
        <v>800</v>
      </c>
      <c r="C78" s="746">
        <v>2</v>
      </c>
      <c r="D78" s="1029">
        <v>9</v>
      </c>
      <c r="E78" s="1030"/>
      <c r="F78" s="784">
        <v>4</v>
      </c>
      <c r="G78" s="790" t="s">
        <v>827</v>
      </c>
      <c r="H78" s="791"/>
      <c r="I78" s="468"/>
      <c r="J78" s="775"/>
      <c r="K78" s="775"/>
    </row>
    <row r="79" spans="1:11" s="206" customFormat="1" x14ac:dyDescent="0.2">
      <c r="A79" s="468">
        <v>13</v>
      </c>
      <c r="B79" s="122" t="s">
        <v>807</v>
      </c>
      <c r="C79" s="746">
        <v>2</v>
      </c>
      <c r="D79" s="1008">
        <v>8</v>
      </c>
      <c r="E79" s="1009"/>
      <c r="F79" s="789">
        <v>-1</v>
      </c>
      <c r="G79" s="790" t="s">
        <v>828</v>
      </c>
      <c r="H79" s="791"/>
      <c r="I79" s="468"/>
      <c r="J79" s="775"/>
      <c r="K79" s="775"/>
    </row>
    <row r="80" spans="1:11" s="206" customFormat="1" ht="13.5" thickBot="1" x14ac:dyDescent="0.25">
      <c r="A80" s="468">
        <v>14</v>
      </c>
      <c r="B80" s="417" t="s">
        <v>805</v>
      </c>
      <c r="C80" s="746">
        <v>2</v>
      </c>
      <c r="D80" s="1010">
        <v>8</v>
      </c>
      <c r="E80" s="1011"/>
      <c r="F80" s="786">
        <v>-14</v>
      </c>
      <c r="G80" s="790" t="s">
        <v>829</v>
      </c>
      <c r="H80" s="791"/>
      <c r="I80" s="468"/>
      <c r="J80" s="775"/>
      <c r="K80" s="775"/>
    </row>
    <row r="81" spans="1:11" s="206" customFormat="1" x14ac:dyDescent="0.2">
      <c r="A81" s="468">
        <v>15</v>
      </c>
      <c r="B81" s="417" t="s">
        <v>801</v>
      </c>
      <c r="C81" s="746">
        <v>2</v>
      </c>
      <c r="D81" s="1012">
        <v>7</v>
      </c>
      <c r="E81" s="1013"/>
      <c r="F81" s="785">
        <v>1</v>
      </c>
      <c r="G81" s="790" t="s">
        <v>830</v>
      </c>
      <c r="H81" s="791"/>
      <c r="I81" s="468"/>
      <c r="J81" s="775"/>
      <c r="K81" s="775"/>
    </row>
    <row r="82" spans="1:11" s="206" customFormat="1" x14ac:dyDescent="0.2">
      <c r="A82" s="468">
        <v>16</v>
      </c>
      <c r="B82" s="501" t="s">
        <v>790</v>
      </c>
      <c r="C82" s="746">
        <v>2</v>
      </c>
      <c r="D82" s="1006">
        <v>6</v>
      </c>
      <c r="E82" s="1007"/>
      <c r="F82" s="417">
        <v>3</v>
      </c>
      <c r="G82" s="790" t="s">
        <v>831</v>
      </c>
      <c r="H82" s="791"/>
      <c r="I82" s="468"/>
      <c r="J82" s="775"/>
      <c r="K82" s="775"/>
    </row>
    <row r="83" spans="1:11" s="206" customFormat="1" x14ac:dyDescent="0.2">
      <c r="A83" s="468"/>
      <c r="B83" s="473"/>
      <c r="C83" s="753"/>
      <c r="D83" s="754"/>
      <c r="E83" s="753"/>
      <c r="F83" s="755"/>
      <c r="G83" s="772"/>
      <c r="H83" s="775"/>
      <c r="I83" s="468"/>
      <c r="J83" s="775"/>
      <c r="K83" s="775"/>
    </row>
    <row r="84" spans="1:11" s="206" customFormat="1" ht="13.5" thickBot="1" x14ac:dyDescent="0.25">
      <c r="A84" s="468">
        <v>17</v>
      </c>
      <c r="B84" s="780" t="s">
        <v>798</v>
      </c>
      <c r="C84" s="760">
        <v>2</v>
      </c>
      <c r="D84" s="1014">
        <v>5</v>
      </c>
      <c r="E84" s="1015"/>
      <c r="F84" s="784">
        <v>-6</v>
      </c>
      <c r="G84" s="790" t="s">
        <v>832</v>
      </c>
      <c r="H84" s="791"/>
      <c r="I84" s="468"/>
      <c r="J84" s="775"/>
      <c r="K84" s="775"/>
    </row>
    <row r="85" spans="1:11" s="206" customFormat="1" x14ac:dyDescent="0.2">
      <c r="A85" s="468">
        <v>18</v>
      </c>
      <c r="B85" s="122" t="s">
        <v>791</v>
      </c>
      <c r="C85" s="759">
        <v>1</v>
      </c>
      <c r="D85" s="1016">
        <v>10</v>
      </c>
      <c r="E85" s="1017"/>
      <c r="F85" s="789">
        <v>2</v>
      </c>
      <c r="G85" s="790" t="s">
        <v>833</v>
      </c>
      <c r="H85" s="791"/>
      <c r="I85" s="468"/>
      <c r="J85" s="775"/>
      <c r="K85" s="775"/>
    </row>
    <row r="86" spans="1:11" s="206" customFormat="1" ht="13.5" thickBot="1" x14ac:dyDescent="0.25">
      <c r="A86" s="468">
        <v>19</v>
      </c>
      <c r="B86" s="501" t="s">
        <v>804</v>
      </c>
      <c r="C86" s="756">
        <v>1</v>
      </c>
      <c r="D86" s="1019">
        <v>10</v>
      </c>
      <c r="E86" s="1020"/>
      <c r="F86" s="786">
        <v>-21</v>
      </c>
      <c r="G86" s="790" t="s">
        <v>834</v>
      </c>
      <c r="H86" s="791"/>
      <c r="I86" s="468"/>
      <c r="J86" s="775"/>
      <c r="K86" s="775"/>
    </row>
    <row r="87" spans="1:11" s="206" customFormat="1" x14ac:dyDescent="0.2">
      <c r="A87" s="468">
        <v>20</v>
      </c>
      <c r="B87" s="124" t="s">
        <v>799</v>
      </c>
      <c r="C87" s="756">
        <v>1</v>
      </c>
      <c r="D87" s="1021">
        <v>7</v>
      </c>
      <c r="E87" s="1022"/>
      <c r="F87" s="785">
        <v>-14</v>
      </c>
      <c r="G87" s="790" t="s">
        <v>829</v>
      </c>
      <c r="H87" s="791"/>
      <c r="I87" s="468"/>
      <c r="J87" s="775"/>
      <c r="K87" s="775"/>
    </row>
    <row r="88" spans="1:11" s="206" customFormat="1" ht="13.5" thickBot="1" x14ac:dyDescent="0.25">
      <c r="A88" s="468">
        <v>21</v>
      </c>
      <c r="B88" s="122" t="s">
        <v>795</v>
      </c>
      <c r="C88" s="756">
        <v>1</v>
      </c>
      <c r="D88" s="1023">
        <v>7</v>
      </c>
      <c r="E88" s="1024"/>
      <c r="F88" s="784">
        <v>-22</v>
      </c>
      <c r="G88" s="790" t="s">
        <v>835</v>
      </c>
      <c r="H88" s="791"/>
      <c r="I88" s="468"/>
      <c r="J88" s="775"/>
      <c r="K88" s="775"/>
    </row>
    <row r="89" spans="1:11" s="206" customFormat="1" ht="13.5" thickBot="1" x14ac:dyDescent="0.25">
      <c r="A89" s="468">
        <v>22</v>
      </c>
      <c r="B89" s="122" t="s">
        <v>793</v>
      </c>
      <c r="C89" s="762">
        <v>1</v>
      </c>
      <c r="D89" s="1025">
        <v>5</v>
      </c>
      <c r="E89" s="1026"/>
      <c r="F89" s="789">
        <v>-2</v>
      </c>
      <c r="G89" s="790" t="s">
        <v>836</v>
      </c>
      <c r="H89" s="791"/>
      <c r="I89" s="468"/>
      <c r="J89" s="775"/>
      <c r="K89" s="775"/>
    </row>
    <row r="90" spans="1:11" s="206" customFormat="1" x14ac:dyDescent="0.2">
      <c r="A90" s="468">
        <v>23</v>
      </c>
      <c r="B90" s="501" t="s">
        <v>797</v>
      </c>
      <c r="C90" s="761">
        <v>0</v>
      </c>
      <c r="D90" s="1006">
        <v>8</v>
      </c>
      <c r="E90" s="1007"/>
      <c r="F90" s="417">
        <v>-28</v>
      </c>
      <c r="G90" s="790" t="s">
        <v>837</v>
      </c>
      <c r="H90" s="791"/>
      <c r="I90" s="468"/>
      <c r="J90" s="775"/>
      <c r="K90" s="775"/>
    </row>
    <row r="91" spans="1:11" s="206" customFormat="1" x14ac:dyDescent="0.2">
      <c r="A91" s="468">
        <v>24</v>
      </c>
      <c r="B91" s="136" t="s">
        <v>812</v>
      </c>
      <c r="C91" s="500">
        <v>0</v>
      </c>
      <c r="D91" s="1006">
        <v>7</v>
      </c>
      <c r="E91" s="1007"/>
      <c r="F91" s="417">
        <v>-30</v>
      </c>
      <c r="G91" s="790" t="s">
        <v>838</v>
      </c>
      <c r="H91" s="791"/>
      <c r="I91" s="468"/>
      <c r="J91" s="775"/>
      <c r="K91" s="775"/>
    </row>
    <row r="92" spans="1:11" s="206" customFormat="1" x14ac:dyDescent="0.2">
      <c r="A92" s="775"/>
      <c r="B92" s="775"/>
      <c r="C92" s="775"/>
      <c r="D92" s="775"/>
      <c r="E92" s="775"/>
      <c r="F92" s="775"/>
      <c r="G92" s="775"/>
      <c r="H92" s="775"/>
      <c r="I92" s="775"/>
      <c r="J92" s="775"/>
      <c r="K92" s="775"/>
    </row>
    <row r="93" spans="1:11" s="206" customFormat="1" x14ac:dyDescent="0.2">
      <c r="A93" s="329" t="s">
        <v>410</v>
      </c>
      <c r="B93" s="126"/>
      <c r="C93" s="126"/>
      <c r="D93" s="126"/>
      <c r="E93" s="126"/>
      <c r="F93" s="126"/>
      <c r="G93" s="126"/>
      <c r="H93" s="126"/>
      <c r="I93" s="775"/>
      <c r="J93" s="775"/>
      <c r="K93" s="775"/>
    </row>
    <row r="94" spans="1:11" s="206" customFormat="1" x14ac:dyDescent="0.2">
      <c r="A94" s="329"/>
      <c r="B94" s="126"/>
      <c r="C94" s="126"/>
      <c r="D94" s="126"/>
      <c r="E94" s="126"/>
      <c r="F94" s="126"/>
      <c r="G94" s="126"/>
      <c r="H94" s="126"/>
      <c r="I94" s="775"/>
      <c r="J94" s="775"/>
      <c r="K94" s="775"/>
    </row>
    <row r="95" spans="1:11" s="206" customFormat="1" x14ac:dyDescent="0.2">
      <c r="A95" s="64">
        <v>1</v>
      </c>
      <c r="B95" s="126" t="s">
        <v>816</v>
      </c>
      <c r="C95" s="333">
        <v>13</v>
      </c>
      <c r="D95" s="126"/>
      <c r="E95" s="126"/>
      <c r="F95" s="126"/>
      <c r="G95" s="126"/>
      <c r="H95" s="126"/>
      <c r="I95" s="775"/>
      <c r="J95" s="775"/>
      <c r="K95" s="775"/>
    </row>
    <row r="96" spans="1:11" s="206" customFormat="1" x14ac:dyDescent="0.2">
      <c r="A96" s="126"/>
      <c r="B96" s="330"/>
      <c r="C96" s="331" t="s">
        <v>816</v>
      </c>
      <c r="D96" s="65"/>
      <c r="E96" s="775"/>
      <c r="F96" s="775"/>
      <c r="G96" s="126"/>
      <c r="H96" s="333">
        <v>4</v>
      </c>
      <c r="I96" s="126"/>
      <c r="J96" s="126"/>
      <c r="K96" s="775"/>
    </row>
    <row r="97" spans="1:11" x14ac:dyDescent="0.2">
      <c r="A97" s="64">
        <v>8</v>
      </c>
      <c r="B97" s="334" t="s">
        <v>815</v>
      </c>
      <c r="C97" s="335">
        <v>6</v>
      </c>
      <c r="D97" s="330"/>
      <c r="E97" s="792"/>
      <c r="F97" s="792"/>
      <c r="G97" s="336"/>
      <c r="H97" s="126"/>
      <c r="I97" s="126"/>
      <c r="J97" s="126"/>
      <c r="K97" s="775"/>
    </row>
    <row r="98" spans="1:11" x14ac:dyDescent="0.2">
      <c r="A98" s="126"/>
      <c r="B98" s="126"/>
      <c r="C98" s="126"/>
      <c r="D98" s="65"/>
      <c r="E98" s="781"/>
      <c r="F98" s="781"/>
      <c r="G98" s="337"/>
      <c r="H98" s="126" t="s">
        <v>788</v>
      </c>
      <c r="I98" s="747">
        <v>13</v>
      </c>
      <c r="J98" s="126"/>
      <c r="K98" s="775"/>
    </row>
    <row r="99" spans="1:11" x14ac:dyDescent="0.2">
      <c r="A99" s="64">
        <v>4</v>
      </c>
      <c r="B99" s="486" t="s">
        <v>788</v>
      </c>
      <c r="C99" s="338">
        <v>13</v>
      </c>
      <c r="D99" s="65"/>
      <c r="E99" s="781"/>
      <c r="F99" s="781"/>
      <c r="G99" s="337"/>
      <c r="H99" s="336"/>
      <c r="I99" s="126"/>
      <c r="J99" s="126"/>
      <c r="K99" s="775"/>
    </row>
    <row r="100" spans="1:11" x14ac:dyDescent="0.2">
      <c r="A100" s="126"/>
      <c r="B100" s="336"/>
      <c r="C100" s="775" t="s">
        <v>788</v>
      </c>
      <c r="D100" s="332"/>
      <c r="E100" s="793"/>
      <c r="F100" s="793"/>
      <c r="G100" s="340"/>
      <c r="H100" s="487">
        <v>13</v>
      </c>
      <c r="I100" s="126"/>
      <c r="J100" s="126"/>
      <c r="K100" s="775"/>
    </row>
    <row r="101" spans="1:11" x14ac:dyDescent="0.2">
      <c r="A101" s="64">
        <v>5</v>
      </c>
      <c r="B101" s="334" t="s">
        <v>796</v>
      </c>
      <c r="C101" s="488">
        <v>8</v>
      </c>
      <c r="D101" s="65"/>
      <c r="E101" s="775"/>
      <c r="F101" s="775"/>
      <c r="G101" s="126"/>
      <c r="H101" s="337"/>
      <c r="I101" s="126"/>
      <c r="J101" s="126"/>
      <c r="K101" s="775"/>
    </row>
    <row r="102" spans="1:11" ht="13.5" thickBot="1" x14ac:dyDescent="0.25">
      <c r="A102" s="126"/>
      <c r="B102" s="126"/>
      <c r="C102" s="126"/>
      <c r="D102" s="126"/>
      <c r="E102" s="775"/>
      <c r="F102" s="775"/>
      <c r="G102" s="126"/>
      <c r="H102" s="337"/>
      <c r="I102" s="126"/>
      <c r="J102" s="489" t="s">
        <v>788</v>
      </c>
      <c r="K102" s="775"/>
    </row>
    <row r="103" spans="1:11" x14ac:dyDescent="0.2">
      <c r="A103" s="64">
        <v>3</v>
      </c>
      <c r="B103" s="126" t="s">
        <v>792</v>
      </c>
      <c r="C103" s="333">
        <v>13</v>
      </c>
      <c r="D103" s="126"/>
      <c r="E103" s="775"/>
      <c r="F103" s="775"/>
      <c r="G103" s="126"/>
      <c r="H103" s="337"/>
      <c r="I103" s="343"/>
      <c r="J103" s="342" t="s">
        <v>411</v>
      </c>
      <c r="K103" s="794"/>
    </row>
    <row r="104" spans="1:11" x14ac:dyDescent="0.2">
      <c r="A104" s="126"/>
      <c r="B104" s="330"/>
      <c r="C104" s="331" t="s">
        <v>792</v>
      </c>
      <c r="D104" s="65"/>
      <c r="E104" s="775"/>
      <c r="F104" s="775"/>
      <c r="G104" s="126"/>
      <c r="H104" s="487">
        <v>13</v>
      </c>
      <c r="I104" s="126"/>
      <c r="J104" s="126"/>
      <c r="K104" s="781"/>
    </row>
    <row r="105" spans="1:11" ht="13.5" thickBot="1" x14ac:dyDescent="0.25">
      <c r="A105" s="64">
        <v>6</v>
      </c>
      <c r="B105" s="332" t="s">
        <v>803</v>
      </c>
      <c r="C105" s="335">
        <v>4</v>
      </c>
      <c r="D105" s="330"/>
      <c r="E105" s="792"/>
      <c r="F105" s="792"/>
      <c r="G105" s="336"/>
      <c r="H105" s="337"/>
      <c r="I105" s="126"/>
      <c r="J105" s="344" t="s">
        <v>792</v>
      </c>
      <c r="K105" s="795"/>
    </row>
    <row r="106" spans="1:11" x14ac:dyDescent="0.2">
      <c r="A106" s="126"/>
      <c r="B106" s="126"/>
      <c r="C106" s="126"/>
      <c r="D106" s="65"/>
      <c r="E106" s="781"/>
      <c r="F106" s="781"/>
      <c r="G106" s="337"/>
      <c r="H106" s="340" t="s">
        <v>792</v>
      </c>
      <c r="I106" s="769">
        <v>5</v>
      </c>
      <c r="J106" s="342" t="s">
        <v>412</v>
      </c>
      <c r="K106" s="775"/>
    </row>
    <row r="107" spans="1:11" x14ac:dyDescent="0.2">
      <c r="A107" s="64">
        <v>2</v>
      </c>
      <c r="B107" s="126" t="s">
        <v>794</v>
      </c>
      <c r="C107" s="338">
        <v>13</v>
      </c>
      <c r="D107" s="65"/>
      <c r="E107" s="781"/>
      <c r="F107" s="781"/>
      <c r="G107" s="337"/>
      <c r="H107" s="126"/>
      <c r="I107" s="126"/>
      <c r="J107" s="126"/>
      <c r="K107" s="775"/>
    </row>
    <row r="108" spans="1:11" x14ac:dyDescent="0.2">
      <c r="A108" s="126"/>
      <c r="B108" s="330"/>
      <c r="C108" s="339" t="s">
        <v>794</v>
      </c>
      <c r="D108" s="332"/>
      <c r="E108" s="793"/>
      <c r="F108" s="793"/>
      <c r="G108" s="340"/>
      <c r="H108" s="333">
        <v>9</v>
      </c>
      <c r="I108" s="126"/>
      <c r="J108" s="126"/>
      <c r="K108" s="775"/>
    </row>
    <row r="109" spans="1:11" x14ac:dyDescent="0.2">
      <c r="A109" s="64">
        <v>7</v>
      </c>
      <c r="B109" s="332" t="s">
        <v>802</v>
      </c>
      <c r="C109" s="345">
        <v>12</v>
      </c>
      <c r="D109" s="65"/>
      <c r="E109" s="775"/>
      <c r="F109" s="775"/>
      <c r="G109" s="126"/>
      <c r="H109" s="126"/>
      <c r="I109" s="126"/>
      <c r="J109" s="126"/>
      <c r="K109" s="775"/>
    </row>
    <row r="110" spans="1:11" x14ac:dyDescent="0.2">
      <c r="A110" s="126"/>
      <c r="B110" s="126"/>
      <c r="C110" s="126"/>
      <c r="D110" s="126"/>
      <c r="E110" s="775"/>
      <c r="F110" s="775"/>
      <c r="G110" s="126"/>
      <c r="H110" s="775" t="s">
        <v>816</v>
      </c>
      <c r="I110" s="770">
        <v>7</v>
      </c>
      <c r="J110" s="65"/>
      <c r="K110" s="775"/>
    </row>
    <row r="111" spans="1:11" ht="13.5" thickBot="1" x14ac:dyDescent="0.25">
      <c r="A111" s="126"/>
      <c r="B111" s="126"/>
      <c r="C111" s="126"/>
      <c r="D111" s="126"/>
      <c r="E111" s="775"/>
      <c r="F111" s="775"/>
      <c r="G111" s="126"/>
      <c r="H111" s="336"/>
      <c r="I111" s="344"/>
      <c r="J111" s="795" t="s">
        <v>794</v>
      </c>
      <c r="K111" s="775"/>
    </row>
    <row r="112" spans="1:11" x14ac:dyDescent="0.2">
      <c r="A112" s="126"/>
      <c r="B112" s="126"/>
      <c r="C112" s="126"/>
      <c r="D112" s="126"/>
      <c r="E112" s="775"/>
      <c r="F112" s="775"/>
      <c r="G112" s="126"/>
      <c r="H112" s="340" t="s">
        <v>794</v>
      </c>
      <c r="I112" s="769">
        <v>13</v>
      </c>
      <c r="J112" s="342" t="s">
        <v>413</v>
      </c>
      <c r="K112" s="794"/>
    </row>
    <row r="113" spans="1:11" x14ac:dyDescent="0.2">
      <c r="A113" s="126"/>
      <c r="B113" s="126"/>
      <c r="C113" s="126"/>
      <c r="D113" s="126"/>
      <c r="E113" s="775"/>
      <c r="F113" s="775"/>
      <c r="G113" s="126"/>
      <c r="H113" s="126"/>
      <c r="I113" s="126"/>
      <c r="J113" s="65"/>
      <c r="K113" s="781"/>
    </row>
    <row r="114" spans="1:11" ht="13.5" thickBot="1" x14ac:dyDescent="0.25">
      <c r="A114" s="126"/>
      <c r="B114" s="126"/>
      <c r="C114" s="126"/>
      <c r="D114" s="126"/>
      <c r="E114" s="775"/>
      <c r="F114" s="775"/>
      <c r="G114" s="126"/>
      <c r="H114" s="126"/>
      <c r="I114" s="126"/>
      <c r="J114" s="795" t="s">
        <v>816</v>
      </c>
      <c r="K114" s="795"/>
    </row>
    <row r="115" spans="1:11" x14ac:dyDescent="0.2">
      <c r="A115" s="126"/>
      <c r="B115" s="126"/>
      <c r="C115" s="126" t="s">
        <v>815</v>
      </c>
      <c r="D115" s="126"/>
      <c r="E115" s="775"/>
      <c r="F115" s="775"/>
      <c r="G115" s="126"/>
      <c r="H115" s="333">
        <v>9</v>
      </c>
      <c r="I115" s="126"/>
      <c r="J115" s="342" t="s">
        <v>414</v>
      </c>
      <c r="K115" s="775"/>
    </row>
    <row r="116" spans="1:11" x14ac:dyDescent="0.2">
      <c r="A116" s="126"/>
      <c r="B116" s="126"/>
      <c r="C116" s="330"/>
      <c r="D116" s="330"/>
      <c r="E116" s="792"/>
      <c r="F116" s="792"/>
      <c r="G116" s="336"/>
      <c r="H116" s="331" t="s">
        <v>796</v>
      </c>
      <c r="I116" s="333">
        <v>13</v>
      </c>
      <c r="J116" s="126"/>
      <c r="K116" s="775"/>
    </row>
    <row r="117" spans="1:11" x14ac:dyDescent="0.2">
      <c r="A117" s="126"/>
      <c r="B117" s="126"/>
      <c r="C117" s="332" t="s">
        <v>796</v>
      </c>
      <c r="D117" s="332"/>
      <c r="E117" s="793"/>
      <c r="F117" s="793"/>
      <c r="G117" s="340"/>
      <c r="H117" s="492">
        <v>13</v>
      </c>
      <c r="I117" s="126"/>
      <c r="J117" s="126"/>
      <c r="K117" s="775"/>
    </row>
    <row r="118" spans="1:11" ht="13.5" thickBot="1" x14ac:dyDescent="0.25">
      <c r="A118" s="126"/>
      <c r="B118" s="126"/>
      <c r="C118" s="126"/>
      <c r="D118" s="126"/>
      <c r="E118" s="775"/>
      <c r="F118" s="775"/>
      <c r="G118" s="126"/>
      <c r="H118" s="337"/>
      <c r="I118" s="126"/>
      <c r="J118" s="126" t="s">
        <v>796</v>
      </c>
      <c r="K118" s="775"/>
    </row>
    <row r="119" spans="1:11" x14ac:dyDescent="0.2">
      <c r="A119" s="126"/>
      <c r="B119" s="126"/>
      <c r="C119" s="126" t="s">
        <v>803</v>
      </c>
      <c r="D119" s="126"/>
      <c r="E119" s="775"/>
      <c r="F119" s="775"/>
      <c r="G119" s="126"/>
      <c r="H119" s="487">
        <v>12</v>
      </c>
      <c r="I119" s="343"/>
      <c r="J119" s="342" t="s">
        <v>415</v>
      </c>
      <c r="K119" s="794"/>
    </row>
    <row r="120" spans="1:11" x14ac:dyDescent="0.2">
      <c r="A120" s="126"/>
      <c r="B120" s="126"/>
      <c r="C120" s="330"/>
      <c r="D120" s="330"/>
      <c r="E120" s="792"/>
      <c r="F120" s="792"/>
      <c r="G120" s="336"/>
      <c r="H120" s="493" t="s">
        <v>802</v>
      </c>
      <c r="I120" s="770" t="s">
        <v>839</v>
      </c>
      <c r="J120" s="126"/>
      <c r="K120" s="781"/>
    </row>
    <row r="121" spans="1:11" ht="13.5" thickBot="1" x14ac:dyDescent="0.25">
      <c r="A121" s="126"/>
      <c r="B121" s="126"/>
      <c r="C121" s="332" t="s">
        <v>802</v>
      </c>
      <c r="D121" s="332"/>
      <c r="E121" s="793"/>
      <c r="F121" s="793"/>
      <c r="G121" s="340"/>
      <c r="H121" s="345">
        <v>13</v>
      </c>
      <c r="I121" s="65"/>
      <c r="J121" s="65" t="s">
        <v>802</v>
      </c>
      <c r="K121" s="795"/>
    </row>
    <row r="122" spans="1:11" x14ac:dyDescent="0.2">
      <c r="A122" s="126"/>
      <c r="B122" s="126"/>
      <c r="C122" s="126"/>
      <c r="D122" s="126"/>
      <c r="E122" s="775"/>
      <c r="F122" s="775"/>
      <c r="G122" s="126"/>
      <c r="H122" s="126"/>
      <c r="I122" s="65"/>
      <c r="J122" s="342" t="s">
        <v>416</v>
      </c>
      <c r="K122" s="775"/>
    </row>
    <row r="123" spans="1:11" x14ac:dyDescent="0.2">
      <c r="A123" s="126"/>
      <c r="B123" s="126"/>
      <c r="C123" s="126"/>
      <c r="D123" s="126"/>
      <c r="E123" s="775"/>
      <c r="F123" s="775"/>
      <c r="G123" s="126"/>
      <c r="H123" s="126" t="s">
        <v>815</v>
      </c>
      <c r="I123" s="338">
        <v>5</v>
      </c>
      <c r="J123" s="65"/>
      <c r="K123" s="775"/>
    </row>
    <row r="124" spans="1:11" ht="13.5" thickBot="1" x14ac:dyDescent="0.25">
      <c r="A124" s="126"/>
      <c r="B124" s="126"/>
      <c r="C124" s="126"/>
      <c r="D124" s="126"/>
      <c r="E124" s="775"/>
      <c r="F124" s="775"/>
      <c r="G124" s="126"/>
      <c r="H124" s="336"/>
      <c r="I124" s="344"/>
      <c r="J124" s="344" t="s">
        <v>803</v>
      </c>
      <c r="K124" s="775"/>
    </row>
    <row r="125" spans="1:11" x14ac:dyDescent="0.2">
      <c r="A125" s="126"/>
      <c r="B125" s="126"/>
      <c r="C125" s="126"/>
      <c r="D125" s="126"/>
      <c r="E125" s="775"/>
      <c r="F125" s="775"/>
      <c r="G125" s="126"/>
      <c r="H125" s="340" t="s">
        <v>803</v>
      </c>
      <c r="I125" s="333">
        <v>13</v>
      </c>
      <c r="J125" s="346" t="s">
        <v>417</v>
      </c>
      <c r="K125" s="794"/>
    </row>
    <row r="126" spans="1:11" x14ac:dyDescent="0.2">
      <c r="A126" s="126"/>
      <c r="B126" s="126"/>
      <c r="C126" s="126"/>
      <c r="D126" s="126"/>
      <c r="E126" s="775"/>
      <c r="F126" s="775"/>
      <c r="G126" s="126"/>
      <c r="H126" s="126"/>
      <c r="I126" s="126"/>
      <c r="J126" s="65"/>
      <c r="K126" s="781"/>
    </row>
    <row r="127" spans="1:11" ht="13.5" thickBot="1" x14ac:dyDescent="0.25">
      <c r="A127" s="126"/>
      <c r="B127" s="126"/>
      <c r="C127" s="126"/>
      <c r="D127" s="126"/>
      <c r="E127" s="775"/>
      <c r="F127" s="775"/>
      <c r="G127" s="126"/>
      <c r="H127" s="126"/>
      <c r="I127" s="126"/>
      <c r="J127" s="344" t="s">
        <v>815</v>
      </c>
      <c r="K127" s="795"/>
    </row>
    <row r="128" spans="1:11" x14ac:dyDescent="0.2">
      <c r="A128" s="126"/>
      <c r="B128" s="126"/>
      <c r="C128" s="126"/>
      <c r="D128" s="126"/>
      <c r="E128" s="775"/>
      <c r="F128" s="775"/>
      <c r="G128" s="126"/>
      <c r="H128" s="126"/>
      <c r="I128" s="126"/>
      <c r="J128" s="64" t="s">
        <v>418</v>
      </c>
      <c r="K128" s="775"/>
    </row>
    <row r="129" spans="1:11" x14ac:dyDescent="0.2">
      <c r="A129" s="126"/>
      <c r="B129" s="126"/>
      <c r="C129" s="126"/>
      <c r="D129" s="126"/>
      <c r="E129" s="775"/>
      <c r="F129" s="775"/>
      <c r="G129" s="126"/>
      <c r="H129" s="126"/>
      <c r="I129" s="126"/>
      <c r="J129" s="64"/>
      <c r="K129" s="775"/>
    </row>
    <row r="130" spans="1:11" x14ac:dyDescent="0.2">
      <c r="A130" s="329" t="s">
        <v>686</v>
      </c>
      <c r="B130" s="126"/>
      <c r="C130" s="126"/>
      <c r="D130" s="126"/>
      <c r="E130" s="775"/>
      <c r="F130" s="775"/>
      <c r="G130" s="126"/>
      <c r="H130" s="126"/>
      <c r="I130" s="126"/>
      <c r="J130" s="126"/>
      <c r="K130" s="775"/>
    </row>
    <row r="131" spans="1:11" x14ac:dyDescent="0.2">
      <c r="A131" s="329"/>
      <c r="B131" s="126"/>
      <c r="C131" s="126"/>
      <c r="D131" s="126"/>
      <c r="E131" s="775"/>
      <c r="F131" s="775"/>
      <c r="G131" s="126"/>
      <c r="H131" s="126"/>
      <c r="I131" s="126"/>
      <c r="J131" s="126"/>
      <c r="K131" s="775"/>
    </row>
    <row r="132" spans="1:11" x14ac:dyDescent="0.2">
      <c r="A132" s="64">
        <v>9</v>
      </c>
      <c r="B132" s="126" t="s">
        <v>789</v>
      </c>
      <c r="C132" s="333">
        <v>13</v>
      </c>
      <c r="D132" s="126"/>
      <c r="E132" s="775"/>
      <c r="F132" s="775"/>
      <c r="G132" s="126"/>
      <c r="H132" s="126"/>
      <c r="I132" s="126"/>
      <c r="J132" s="126"/>
      <c r="K132" s="775"/>
    </row>
    <row r="133" spans="1:11" x14ac:dyDescent="0.2">
      <c r="A133" s="126"/>
      <c r="B133" s="330"/>
      <c r="C133" s="331" t="s">
        <v>789</v>
      </c>
      <c r="D133" s="65"/>
      <c r="E133" s="775"/>
      <c r="F133" s="775"/>
      <c r="G133" s="126"/>
      <c r="H133" s="333">
        <v>13</v>
      </c>
      <c r="I133" s="126"/>
      <c r="J133" s="126"/>
      <c r="K133" s="775"/>
    </row>
    <row r="134" spans="1:11" x14ac:dyDescent="0.2">
      <c r="A134" s="64">
        <v>16</v>
      </c>
      <c r="B134" s="334" t="s">
        <v>790</v>
      </c>
      <c r="C134" s="335">
        <v>1</v>
      </c>
      <c r="D134" s="330"/>
      <c r="E134" s="792"/>
      <c r="F134" s="792"/>
      <c r="G134" s="336"/>
      <c r="H134" s="126"/>
      <c r="I134" s="126"/>
      <c r="J134" s="126"/>
      <c r="K134" s="775"/>
    </row>
    <row r="135" spans="1:11" x14ac:dyDescent="0.2">
      <c r="A135" s="126"/>
      <c r="B135" s="126"/>
      <c r="C135" s="126"/>
      <c r="D135" s="65"/>
      <c r="E135" s="781"/>
      <c r="F135" s="781"/>
      <c r="G135" s="337"/>
      <c r="H135" s="126" t="s">
        <v>789</v>
      </c>
      <c r="I135" s="333">
        <v>13</v>
      </c>
      <c r="J135" s="126"/>
      <c r="K135" s="775"/>
    </row>
    <row r="136" spans="1:11" x14ac:dyDescent="0.2">
      <c r="A136" s="64">
        <v>12</v>
      </c>
      <c r="B136" s="486" t="s">
        <v>800</v>
      </c>
      <c r="C136" s="338">
        <v>0</v>
      </c>
      <c r="D136" s="65"/>
      <c r="E136" s="781"/>
      <c r="F136" s="781"/>
      <c r="G136" s="337"/>
      <c r="H136" s="336"/>
      <c r="I136" s="126"/>
      <c r="J136" s="126"/>
      <c r="K136" s="775"/>
    </row>
    <row r="137" spans="1:11" x14ac:dyDescent="0.2">
      <c r="A137" s="126"/>
      <c r="B137" s="330"/>
      <c r="C137" s="339" t="s">
        <v>807</v>
      </c>
      <c r="D137" s="332"/>
      <c r="E137" s="793"/>
      <c r="F137" s="793"/>
      <c r="G137" s="340"/>
      <c r="H137" s="487">
        <v>8</v>
      </c>
      <c r="I137" s="126"/>
      <c r="J137" s="126"/>
      <c r="K137" s="775"/>
    </row>
    <row r="138" spans="1:11" x14ac:dyDescent="0.2">
      <c r="A138" s="64">
        <v>13</v>
      </c>
      <c r="B138" s="334" t="s">
        <v>807</v>
      </c>
      <c r="C138" s="345">
        <v>13</v>
      </c>
      <c r="D138" s="65"/>
      <c r="E138" s="775"/>
      <c r="F138" s="775"/>
      <c r="G138" s="126"/>
      <c r="H138" s="337"/>
      <c r="I138" s="126"/>
      <c r="J138" s="126"/>
      <c r="K138" s="775"/>
    </row>
    <row r="139" spans="1:11" ht="13.5" thickBot="1" x14ac:dyDescent="0.25">
      <c r="A139" s="126"/>
      <c r="B139" s="126"/>
      <c r="C139" s="126"/>
      <c r="D139" s="126"/>
      <c r="E139" s="775"/>
      <c r="F139" s="775"/>
      <c r="G139" s="126"/>
      <c r="H139" s="337"/>
      <c r="I139" s="126"/>
      <c r="J139" s="126" t="s">
        <v>789</v>
      </c>
      <c r="K139" s="775"/>
    </row>
    <row r="140" spans="1:11" x14ac:dyDescent="0.2">
      <c r="A140" s="64">
        <v>11</v>
      </c>
      <c r="B140" s="126" t="s">
        <v>808</v>
      </c>
      <c r="C140" s="333">
        <v>13</v>
      </c>
      <c r="D140" s="126"/>
      <c r="E140" s="775"/>
      <c r="F140" s="775"/>
      <c r="G140" s="126"/>
      <c r="H140" s="337"/>
      <c r="I140" s="343"/>
      <c r="J140" s="342" t="s">
        <v>419</v>
      </c>
      <c r="K140" s="794"/>
    </row>
    <row r="141" spans="1:11" x14ac:dyDescent="0.2">
      <c r="A141" s="126"/>
      <c r="B141" s="330"/>
      <c r="C141" s="331" t="s">
        <v>808</v>
      </c>
      <c r="D141" s="65"/>
      <c r="E141" s="775"/>
      <c r="F141" s="775"/>
      <c r="G141" s="126"/>
      <c r="H141" s="487">
        <v>6</v>
      </c>
      <c r="I141" s="126"/>
      <c r="J141" s="126"/>
      <c r="K141" s="781"/>
    </row>
    <row r="142" spans="1:11" ht="13.5" thickBot="1" x14ac:dyDescent="0.25">
      <c r="A142" s="64">
        <v>14</v>
      </c>
      <c r="B142" s="332" t="s">
        <v>805</v>
      </c>
      <c r="C142" s="335">
        <v>7</v>
      </c>
      <c r="D142" s="330"/>
      <c r="E142" s="792"/>
      <c r="F142" s="792"/>
      <c r="G142" s="336"/>
      <c r="H142" s="337"/>
      <c r="I142" s="126"/>
      <c r="J142" s="344" t="s">
        <v>663</v>
      </c>
      <c r="K142" s="795"/>
    </row>
    <row r="143" spans="1:11" x14ac:dyDescent="0.2">
      <c r="A143" s="126"/>
      <c r="B143" s="126"/>
      <c r="C143" s="126"/>
      <c r="D143" s="65"/>
      <c r="E143" s="781"/>
      <c r="F143" s="781"/>
      <c r="G143" s="337"/>
      <c r="H143" s="340" t="s">
        <v>663</v>
      </c>
      <c r="I143" s="333">
        <v>6</v>
      </c>
      <c r="J143" s="342" t="s">
        <v>420</v>
      </c>
      <c r="K143" s="775"/>
    </row>
    <row r="144" spans="1:11" x14ac:dyDescent="0.2">
      <c r="A144" s="64">
        <v>10</v>
      </c>
      <c r="B144" s="126" t="s">
        <v>663</v>
      </c>
      <c r="C144" s="338">
        <v>13</v>
      </c>
      <c r="D144" s="65"/>
      <c r="E144" s="781"/>
      <c r="F144" s="781"/>
      <c r="G144" s="337"/>
      <c r="H144" s="126"/>
      <c r="I144" s="126"/>
      <c r="J144" s="126"/>
      <c r="K144" s="775"/>
    </row>
    <row r="145" spans="1:11" x14ac:dyDescent="0.2">
      <c r="A145" s="126"/>
      <c r="B145" s="330"/>
      <c r="C145" s="339" t="s">
        <v>663</v>
      </c>
      <c r="D145" s="332"/>
      <c r="E145" s="793"/>
      <c r="F145" s="793"/>
      <c r="G145" s="340"/>
      <c r="H145" s="333">
        <v>13</v>
      </c>
      <c r="I145" s="126"/>
      <c r="J145" s="126"/>
      <c r="K145" s="775"/>
    </row>
    <row r="146" spans="1:11" x14ac:dyDescent="0.2">
      <c r="A146" s="64">
        <v>15</v>
      </c>
      <c r="B146" s="332" t="s">
        <v>801</v>
      </c>
      <c r="C146" s="345">
        <v>10</v>
      </c>
      <c r="D146" s="65"/>
      <c r="E146" s="775"/>
      <c r="F146" s="775"/>
      <c r="G146" s="126"/>
      <c r="H146" s="126"/>
      <c r="I146" s="126"/>
      <c r="J146" s="126"/>
      <c r="K146" s="775"/>
    </row>
    <row r="147" spans="1:11" x14ac:dyDescent="0.2">
      <c r="A147" s="126"/>
      <c r="B147" s="126"/>
      <c r="C147" s="126"/>
      <c r="D147" s="126"/>
      <c r="E147" s="775"/>
      <c r="F147" s="775"/>
      <c r="G147" s="126"/>
      <c r="H147" s="126" t="s">
        <v>807</v>
      </c>
      <c r="I147" s="338">
        <v>13</v>
      </c>
      <c r="J147" s="65"/>
      <c r="K147" s="775"/>
    </row>
    <row r="148" spans="1:11" ht="13.5" thickBot="1" x14ac:dyDescent="0.25">
      <c r="A148" s="126"/>
      <c r="B148" s="126"/>
      <c r="C148" s="126"/>
      <c r="D148" s="126"/>
      <c r="E148" s="775"/>
      <c r="F148" s="775"/>
      <c r="G148" s="126"/>
      <c r="H148" s="336"/>
      <c r="I148" s="344"/>
      <c r="J148" s="344" t="s">
        <v>807</v>
      </c>
      <c r="K148" s="775"/>
    </row>
    <row r="149" spans="1:11" x14ac:dyDescent="0.2">
      <c r="A149" s="126"/>
      <c r="B149" s="126"/>
      <c r="C149" s="126"/>
      <c r="D149" s="126"/>
      <c r="E149" s="775"/>
      <c r="F149" s="775"/>
      <c r="G149" s="126"/>
      <c r="H149" s="340" t="s">
        <v>808</v>
      </c>
      <c r="I149" s="333">
        <v>4</v>
      </c>
      <c r="J149" s="346" t="s">
        <v>421</v>
      </c>
      <c r="K149" s="794"/>
    </row>
    <row r="150" spans="1:11" x14ac:dyDescent="0.2">
      <c r="A150" s="126"/>
      <c r="B150" s="126"/>
      <c r="C150" s="126"/>
      <c r="D150" s="126"/>
      <c r="E150" s="775"/>
      <c r="F150" s="775"/>
      <c r="G150" s="126"/>
      <c r="H150" s="126"/>
      <c r="I150" s="126"/>
      <c r="J150" s="65"/>
      <c r="K150" s="781"/>
    </row>
    <row r="151" spans="1:11" ht="13.5" thickBot="1" x14ac:dyDescent="0.25">
      <c r="A151" s="126"/>
      <c r="B151" s="126"/>
      <c r="C151" s="126"/>
      <c r="D151" s="126"/>
      <c r="E151" s="775"/>
      <c r="F151" s="775"/>
      <c r="G151" s="126"/>
      <c r="H151" s="126"/>
      <c r="I151" s="126"/>
      <c r="J151" s="344" t="s">
        <v>808</v>
      </c>
      <c r="K151" s="795"/>
    </row>
    <row r="152" spans="1:11" x14ac:dyDescent="0.2">
      <c r="A152" s="126"/>
      <c r="B152" s="126"/>
      <c r="C152" s="126" t="s">
        <v>790</v>
      </c>
      <c r="D152" s="126"/>
      <c r="E152" s="775"/>
      <c r="F152" s="775"/>
      <c r="G152" s="126"/>
      <c r="H152" s="333">
        <v>13</v>
      </c>
      <c r="I152" s="126"/>
      <c r="J152" s="64" t="s">
        <v>645</v>
      </c>
      <c r="K152" s="775"/>
    </row>
    <row r="153" spans="1:11" x14ac:dyDescent="0.2">
      <c r="A153" s="126"/>
      <c r="B153" s="126"/>
      <c r="C153" s="330"/>
      <c r="D153" s="330"/>
      <c r="E153" s="792"/>
      <c r="F153" s="792"/>
      <c r="G153" s="336"/>
      <c r="H153" s="331" t="s">
        <v>790</v>
      </c>
      <c r="I153" s="333">
        <v>12</v>
      </c>
      <c r="J153" s="126"/>
      <c r="K153" s="775"/>
    </row>
    <row r="154" spans="1:11" x14ac:dyDescent="0.2">
      <c r="A154" s="126"/>
      <c r="B154" s="126"/>
      <c r="C154" s="332" t="s">
        <v>800</v>
      </c>
      <c r="D154" s="332"/>
      <c r="E154" s="793"/>
      <c r="F154" s="793"/>
      <c r="G154" s="340"/>
      <c r="H154" s="492">
        <v>8</v>
      </c>
      <c r="I154" s="126"/>
      <c r="J154" s="126"/>
      <c r="K154" s="775"/>
    </row>
    <row r="155" spans="1:11" ht="13.5" thickBot="1" x14ac:dyDescent="0.25">
      <c r="A155" s="126"/>
      <c r="B155" s="126"/>
      <c r="C155" s="126"/>
      <c r="D155" s="126"/>
      <c r="E155" s="775"/>
      <c r="F155" s="775"/>
      <c r="G155" s="126"/>
      <c r="H155" s="337"/>
      <c r="I155" s="126"/>
      <c r="J155" s="126" t="s">
        <v>801</v>
      </c>
      <c r="K155" s="775"/>
    </row>
    <row r="156" spans="1:11" x14ac:dyDescent="0.2">
      <c r="A156" s="126"/>
      <c r="B156" s="126"/>
      <c r="C156" s="126" t="s">
        <v>805</v>
      </c>
      <c r="D156" s="126"/>
      <c r="E156" s="775"/>
      <c r="F156" s="775"/>
      <c r="G156" s="126"/>
      <c r="H156" s="771">
        <v>11</v>
      </c>
      <c r="I156" s="343"/>
      <c r="J156" s="342" t="s">
        <v>646</v>
      </c>
      <c r="K156" s="794"/>
    </row>
    <row r="157" spans="1:11" x14ac:dyDescent="0.2">
      <c r="A157" s="126"/>
      <c r="B157" s="126"/>
      <c r="C157" s="330"/>
      <c r="D157" s="330"/>
      <c r="E157" s="792"/>
      <c r="F157" s="792"/>
      <c r="G157" s="336"/>
      <c r="H157" s="493" t="s">
        <v>801</v>
      </c>
      <c r="I157" s="338">
        <v>13</v>
      </c>
      <c r="J157" s="126"/>
      <c r="K157" s="781"/>
    </row>
    <row r="158" spans="1:11" ht="13.5" thickBot="1" x14ac:dyDescent="0.25">
      <c r="A158" s="126"/>
      <c r="B158" s="126"/>
      <c r="C158" s="332"/>
      <c r="D158" s="332" t="s">
        <v>801</v>
      </c>
      <c r="E158" s="793"/>
      <c r="F158" s="793"/>
      <c r="G158" s="340"/>
      <c r="H158" s="494">
        <v>13</v>
      </c>
      <c r="I158" s="65"/>
      <c r="J158" s="65" t="s">
        <v>790</v>
      </c>
      <c r="K158" s="795"/>
    </row>
    <row r="159" spans="1:11" x14ac:dyDescent="0.2">
      <c r="A159" s="126"/>
      <c r="B159" s="126"/>
      <c r="C159" s="126"/>
      <c r="D159" s="126"/>
      <c r="E159" s="775"/>
      <c r="F159" s="775"/>
      <c r="G159" s="126"/>
      <c r="H159" s="126"/>
      <c r="I159" s="65"/>
      <c r="J159" s="342" t="s">
        <v>647</v>
      </c>
      <c r="K159" s="775"/>
    </row>
    <row r="160" spans="1:11" x14ac:dyDescent="0.2">
      <c r="A160" s="126"/>
      <c r="B160" s="126"/>
      <c r="C160" s="126"/>
      <c r="D160" s="126"/>
      <c r="E160" s="775"/>
      <c r="F160" s="775"/>
      <c r="G160" s="126"/>
      <c r="H160" s="126" t="s">
        <v>800</v>
      </c>
      <c r="I160" s="338">
        <v>2</v>
      </c>
      <c r="J160" s="65"/>
      <c r="K160" s="775"/>
    </row>
    <row r="161" spans="1:11" ht="13.5" thickBot="1" x14ac:dyDescent="0.25">
      <c r="A161" s="126"/>
      <c r="B161" s="126"/>
      <c r="C161" s="126"/>
      <c r="D161" s="126"/>
      <c r="E161" s="775"/>
      <c r="F161" s="775"/>
      <c r="G161" s="126"/>
      <c r="H161" s="336"/>
      <c r="I161" s="344"/>
      <c r="J161" s="344" t="s">
        <v>805</v>
      </c>
      <c r="K161" s="775"/>
    </row>
    <row r="162" spans="1:11" x14ac:dyDescent="0.2">
      <c r="A162" s="126"/>
      <c r="B162" s="126"/>
      <c r="C162" s="126"/>
      <c r="D162" s="126"/>
      <c r="E162" s="775"/>
      <c r="F162" s="775"/>
      <c r="G162" s="126"/>
      <c r="H162" s="340" t="s">
        <v>805</v>
      </c>
      <c r="I162" s="333">
        <v>13</v>
      </c>
      <c r="J162" s="346" t="s">
        <v>648</v>
      </c>
      <c r="K162" s="794"/>
    </row>
    <row r="163" spans="1:11" x14ac:dyDescent="0.2">
      <c r="A163" s="126"/>
      <c r="B163" s="126"/>
      <c r="C163" s="126"/>
      <c r="D163" s="126"/>
      <c r="E163" s="775"/>
      <c r="F163" s="775"/>
      <c r="G163" s="126"/>
      <c r="H163" s="126"/>
      <c r="I163" s="126"/>
      <c r="J163" s="65"/>
      <c r="K163" s="781"/>
    </row>
    <row r="164" spans="1:11" ht="13.5" thickBot="1" x14ac:dyDescent="0.25">
      <c r="A164" s="126"/>
      <c r="B164" s="126"/>
      <c r="C164" s="126"/>
      <c r="D164" s="126"/>
      <c r="E164" s="775"/>
      <c r="F164" s="775"/>
      <c r="G164" s="126"/>
      <c r="H164" s="126"/>
      <c r="I164" s="126"/>
      <c r="J164" s="344" t="s">
        <v>800</v>
      </c>
      <c r="K164" s="795"/>
    </row>
    <row r="165" spans="1:11" x14ac:dyDescent="0.2">
      <c r="A165" s="126"/>
      <c r="B165" s="126"/>
      <c r="C165" s="126"/>
      <c r="D165" s="126"/>
      <c r="E165" s="775"/>
      <c r="F165" s="775"/>
      <c r="G165" s="126"/>
      <c r="H165" s="126"/>
      <c r="I165" s="126"/>
      <c r="J165" s="64" t="s">
        <v>649</v>
      </c>
      <c r="K165" s="775"/>
    </row>
    <row r="166" spans="1:11" s="206" customFormat="1" x14ac:dyDescent="0.2">
      <c r="A166" s="126"/>
      <c r="B166" s="126"/>
      <c r="C166" s="126"/>
      <c r="D166" s="126"/>
      <c r="E166" s="775"/>
      <c r="F166" s="775"/>
      <c r="G166" s="126"/>
      <c r="H166" s="126"/>
      <c r="I166" s="126"/>
      <c r="J166" s="64"/>
      <c r="K166" s="775"/>
    </row>
    <row r="167" spans="1:11" s="206" customFormat="1" x14ac:dyDescent="0.2">
      <c r="A167" s="329" t="s">
        <v>785</v>
      </c>
      <c r="B167" s="126"/>
      <c r="C167" s="126"/>
      <c r="D167" s="126"/>
      <c r="E167" s="775"/>
      <c r="F167" s="775"/>
      <c r="G167" s="126"/>
      <c r="H167" s="126"/>
      <c r="I167" s="126"/>
      <c r="J167" s="126"/>
      <c r="K167" s="775"/>
    </row>
    <row r="168" spans="1:11" s="206" customFormat="1" x14ac:dyDescent="0.2">
      <c r="A168" s="329"/>
      <c r="B168" s="126"/>
      <c r="C168" s="126"/>
      <c r="D168" s="126"/>
      <c r="E168" s="775"/>
      <c r="F168" s="775"/>
      <c r="G168" s="126"/>
      <c r="H168" s="126"/>
      <c r="I168" s="126"/>
      <c r="J168" s="126"/>
      <c r="K168" s="775"/>
    </row>
    <row r="169" spans="1:11" s="206" customFormat="1" x14ac:dyDescent="0.2">
      <c r="A169" s="64">
        <v>17</v>
      </c>
      <c r="B169" s="126" t="s">
        <v>798</v>
      </c>
      <c r="C169" s="333">
        <v>6</v>
      </c>
      <c r="D169" s="126"/>
      <c r="E169" s="775"/>
      <c r="F169" s="775"/>
      <c r="G169" s="126"/>
      <c r="H169" s="126"/>
      <c r="I169" s="126"/>
      <c r="J169" s="126"/>
      <c r="K169" s="775"/>
    </row>
    <row r="170" spans="1:11" s="206" customFormat="1" x14ac:dyDescent="0.2">
      <c r="A170" s="126"/>
      <c r="B170" s="330"/>
      <c r="C170" s="331" t="s">
        <v>812</v>
      </c>
      <c r="D170" s="332"/>
      <c r="E170" s="775"/>
      <c r="F170" s="775"/>
      <c r="G170" s="126"/>
      <c r="H170" s="333">
        <v>13</v>
      </c>
      <c r="I170" s="126"/>
      <c r="J170" s="126"/>
      <c r="K170" s="775"/>
    </row>
    <row r="171" spans="1:11" s="206" customFormat="1" x14ac:dyDescent="0.2">
      <c r="A171" s="64">
        <v>24</v>
      </c>
      <c r="B171" s="334" t="s">
        <v>812</v>
      </c>
      <c r="C171" s="335">
        <v>13</v>
      </c>
      <c r="D171" s="330"/>
      <c r="E171" s="792"/>
      <c r="F171" s="792"/>
      <c r="G171" s="336"/>
      <c r="H171" s="126"/>
      <c r="I171" s="126"/>
      <c r="J171" s="126"/>
      <c r="K171" s="775"/>
    </row>
    <row r="172" spans="1:11" s="206" customFormat="1" x14ac:dyDescent="0.2">
      <c r="A172" s="126"/>
      <c r="B172" s="126"/>
      <c r="C172" s="126"/>
      <c r="D172" s="65"/>
      <c r="E172" s="781"/>
      <c r="F172" s="781"/>
      <c r="G172" s="337"/>
      <c r="H172" s="126" t="s">
        <v>812</v>
      </c>
      <c r="I172" s="333">
        <v>4</v>
      </c>
      <c r="J172" s="126"/>
      <c r="K172" s="775"/>
    </row>
    <row r="173" spans="1:11" s="206" customFormat="1" x14ac:dyDescent="0.2">
      <c r="A173" s="64">
        <v>20</v>
      </c>
      <c r="B173" s="486" t="s">
        <v>799</v>
      </c>
      <c r="C173" s="338">
        <v>13</v>
      </c>
      <c r="D173" s="65"/>
      <c r="E173" s="781"/>
      <c r="F173" s="781"/>
      <c r="G173" s="337"/>
      <c r="H173" s="336"/>
      <c r="I173" s="126"/>
      <c r="J173" s="126"/>
      <c r="K173" s="775"/>
    </row>
    <row r="174" spans="1:11" s="206" customFormat="1" x14ac:dyDescent="0.2">
      <c r="A174" s="126"/>
      <c r="B174" s="330"/>
      <c r="C174" s="339" t="s">
        <v>799</v>
      </c>
      <c r="D174" s="332"/>
      <c r="E174" s="793"/>
      <c r="F174" s="793"/>
      <c r="G174" s="340"/>
      <c r="H174" s="487">
        <v>12</v>
      </c>
      <c r="I174" s="126"/>
      <c r="J174" s="126"/>
      <c r="K174" s="775"/>
    </row>
    <row r="175" spans="1:11" s="206" customFormat="1" x14ac:dyDescent="0.2">
      <c r="A175" s="64">
        <v>21</v>
      </c>
      <c r="B175" s="334" t="s">
        <v>795</v>
      </c>
      <c r="C175" s="345">
        <v>9</v>
      </c>
      <c r="D175" s="330"/>
      <c r="E175" s="775"/>
      <c r="F175" s="775"/>
      <c r="G175" s="126"/>
      <c r="H175" s="337"/>
      <c r="I175" s="126"/>
      <c r="J175" s="126"/>
      <c r="K175" s="775"/>
    </row>
    <row r="176" spans="1:11" s="206" customFormat="1" ht="13.5" thickBot="1" x14ac:dyDescent="0.25">
      <c r="A176" s="126"/>
      <c r="B176" s="126"/>
      <c r="C176" s="126"/>
      <c r="D176" s="126"/>
      <c r="E176" s="775"/>
      <c r="F176" s="775"/>
      <c r="G176" s="126"/>
      <c r="H176" s="337"/>
      <c r="I176" s="126"/>
      <c r="J176" s="126" t="s">
        <v>804</v>
      </c>
      <c r="K176" s="775"/>
    </row>
    <row r="177" spans="1:11" s="206" customFormat="1" x14ac:dyDescent="0.2">
      <c r="A177" s="64">
        <v>19</v>
      </c>
      <c r="B177" s="126" t="s">
        <v>804</v>
      </c>
      <c r="C177" s="333">
        <v>13</v>
      </c>
      <c r="D177" s="126"/>
      <c r="E177" s="775"/>
      <c r="F177" s="775"/>
      <c r="G177" s="126"/>
      <c r="H177" s="337"/>
      <c r="I177" s="343"/>
      <c r="J177" s="342" t="s">
        <v>650</v>
      </c>
      <c r="K177" s="794"/>
    </row>
    <row r="178" spans="1:11" s="206" customFormat="1" x14ac:dyDescent="0.2">
      <c r="A178" s="126"/>
      <c r="B178" s="330"/>
      <c r="C178" s="331" t="s">
        <v>804</v>
      </c>
      <c r="D178" s="332"/>
      <c r="E178" s="775"/>
      <c r="F178" s="775"/>
      <c r="G178" s="126"/>
      <c r="H178" s="487">
        <v>13</v>
      </c>
      <c r="I178" s="126"/>
      <c r="J178" s="126"/>
      <c r="K178" s="781"/>
    </row>
    <row r="179" spans="1:11" s="206" customFormat="1" ht="13.5" thickBot="1" x14ac:dyDescent="0.25">
      <c r="A179" s="64">
        <v>22</v>
      </c>
      <c r="B179" s="332" t="s">
        <v>793</v>
      </c>
      <c r="C179" s="335">
        <v>1</v>
      </c>
      <c r="D179" s="330"/>
      <c r="E179" s="792"/>
      <c r="F179" s="792"/>
      <c r="G179" s="336"/>
      <c r="H179" s="337"/>
      <c r="I179" s="126"/>
      <c r="J179" s="344" t="s">
        <v>812</v>
      </c>
      <c r="K179" s="795"/>
    </row>
    <row r="180" spans="1:11" s="206" customFormat="1" x14ac:dyDescent="0.2">
      <c r="A180" s="126"/>
      <c r="B180" s="126"/>
      <c r="C180" s="126"/>
      <c r="D180" s="65"/>
      <c r="E180" s="781"/>
      <c r="F180" s="781"/>
      <c r="G180" s="337"/>
      <c r="H180" s="340" t="s">
        <v>804</v>
      </c>
      <c r="I180" s="333">
        <v>13</v>
      </c>
      <c r="J180" s="342" t="s">
        <v>651</v>
      </c>
      <c r="K180" s="775"/>
    </row>
    <row r="181" spans="1:11" s="206" customFormat="1" x14ac:dyDescent="0.2">
      <c r="A181" s="64">
        <v>18</v>
      </c>
      <c r="B181" s="126" t="s">
        <v>791</v>
      </c>
      <c r="C181" s="338">
        <v>13</v>
      </c>
      <c r="D181" s="65"/>
      <c r="E181" s="781"/>
      <c r="F181" s="781"/>
      <c r="G181" s="337"/>
      <c r="H181" s="126"/>
      <c r="I181" s="126"/>
      <c r="J181" s="126"/>
      <c r="K181" s="775"/>
    </row>
    <row r="182" spans="1:11" s="206" customFormat="1" x14ac:dyDescent="0.2">
      <c r="A182" s="126"/>
      <c r="B182" s="330"/>
      <c r="C182" s="339" t="s">
        <v>791</v>
      </c>
      <c r="D182" s="332"/>
      <c r="E182" s="793"/>
      <c r="F182" s="793"/>
      <c r="G182" s="340"/>
      <c r="H182" s="333">
        <v>12</v>
      </c>
      <c r="I182" s="126"/>
      <c r="J182" s="126"/>
      <c r="K182" s="775"/>
    </row>
    <row r="183" spans="1:11" s="206" customFormat="1" x14ac:dyDescent="0.2">
      <c r="A183" s="64">
        <v>23</v>
      </c>
      <c r="B183" s="332" t="s">
        <v>797</v>
      </c>
      <c r="C183" s="345">
        <v>4</v>
      </c>
      <c r="D183" s="330"/>
      <c r="E183" s="775"/>
      <c r="F183" s="775"/>
      <c r="G183" s="126"/>
      <c r="H183" s="126"/>
      <c r="I183" s="126"/>
      <c r="J183" s="126"/>
      <c r="K183" s="775"/>
    </row>
    <row r="184" spans="1:11" s="206" customFormat="1" x14ac:dyDescent="0.2">
      <c r="A184" s="126"/>
      <c r="B184" s="126"/>
      <c r="C184" s="126"/>
      <c r="D184" s="126"/>
      <c r="E184" s="775"/>
      <c r="F184" s="775"/>
      <c r="G184" s="126"/>
      <c r="H184" s="126" t="s">
        <v>799</v>
      </c>
      <c r="I184" s="338">
        <v>7</v>
      </c>
      <c r="J184" s="65"/>
      <c r="K184" s="775"/>
    </row>
    <row r="185" spans="1:11" s="206" customFormat="1" ht="13.5" thickBot="1" x14ac:dyDescent="0.25">
      <c r="A185" s="126"/>
      <c r="B185" s="126"/>
      <c r="C185" s="126"/>
      <c r="D185" s="126"/>
      <c r="E185" s="775"/>
      <c r="F185" s="775"/>
      <c r="G185" s="126"/>
      <c r="H185" s="336"/>
      <c r="I185" s="344"/>
      <c r="J185" s="344" t="s">
        <v>791</v>
      </c>
      <c r="K185" s="775"/>
    </row>
    <row r="186" spans="1:11" s="206" customFormat="1" x14ac:dyDescent="0.2">
      <c r="A186" s="126"/>
      <c r="B186" s="126"/>
      <c r="C186" s="126"/>
      <c r="D186" s="126"/>
      <c r="E186" s="775"/>
      <c r="F186" s="775"/>
      <c r="G186" s="126"/>
      <c r="H186" s="340" t="s">
        <v>791</v>
      </c>
      <c r="I186" s="333">
        <v>13</v>
      </c>
      <c r="J186" s="346" t="s">
        <v>652</v>
      </c>
      <c r="K186" s="794"/>
    </row>
    <row r="187" spans="1:11" s="206" customFormat="1" x14ac:dyDescent="0.2">
      <c r="A187" s="126"/>
      <c r="B187" s="126"/>
      <c r="C187" s="126"/>
      <c r="D187" s="126"/>
      <c r="E187" s="775"/>
      <c r="F187" s="775"/>
      <c r="G187" s="126"/>
      <c r="H187" s="126"/>
      <c r="I187" s="126"/>
      <c r="J187" s="65"/>
      <c r="K187" s="781"/>
    </row>
    <row r="188" spans="1:11" s="206" customFormat="1" ht="13.5" thickBot="1" x14ac:dyDescent="0.25">
      <c r="A188" s="126"/>
      <c r="B188" s="126"/>
      <c r="C188" s="126"/>
      <c r="D188" s="126"/>
      <c r="E188" s="775"/>
      <c r="F188" s="775"/>
      <c r="G188" s="126"/>
      <c r="H188" s="126"/>
      <c r="I188" s="126"/>
      <c r="J188" s="344" t="s">
        <v>799</v>
      </c>
      <c r="K188" s="795"/>
    </row>
    <row r="189" spans="1:11" s="206" customFormat="1" x14ac:dyDescent="0.2">
      <c r="A189" s="126"/>
      <c r="B189" s="126"/>
      <c r="C189" s="126" t="s">
        <v>798</v>
      </c>
      <c r="D189" s="126"/>
      <c r="E189" s="775"/>
      <c r="F189" s="775"/>
      <c r="G189" s="126"/>
      <c r="H189" s="333">
        <v>13</v>
      </c>
      <c r="I189" s="126"/>
      <c r="J189" s="64" t="s">
        <v>653</v>
      </c>
      <c r="K189" s="775"/>
    </row>
    <row r="190" spans="1:11" s="206" customFormat="1" x14ac:dyDescent="0.2">
      <c r="A190" s="126"/>
      <c r="B190" s="126"/>
      <c r="C190" s="330"/>
      <c r="D190" s="330"/>
      <c r="E190" s="792"/>
      <c r="F190" s="792"/>
      <c r="G190" s="336"/>
      <c r="H190" s="331" t="s">
        <v>798</v>
      </c>
      <c r="I190" s="333">
        <v>13</v>
      </c>
      <c r="J190" s="126"/>
      <c r="K190" s="775"/>
    </row>
    <row r="191" spans="1:11" s="206" customFormat="1" x14ac:dyDescent="0.2">
      <c r="A191" s="126"/>
      <c r="B191" s="126"/>
      <c r="C191" s="332" t="s">
        <v>795</v>
      </c>
      <c r="D191" s="332"/>
      <c r="E191" s="793"/>
      <c r="F191" s="793"/>
      <c r="G191" s="340"/>
      <c r="H191" s="492">
        <v>6</v>
      </c>
      <c r="I191" s="126"/>
      <c r="J191" s="126"/>
      <c r="K191" s="775"/>
    </row>
    <row r="192" spans="1:11" s="206" customFormat="1" ht="13.5" thickBot="1" x14ac:dyDescent="0.25">
      <c r="A192" s="126"/>
      <c r="B192" s="126"/>
      <c r="C192" s="126"/>
      <c r="D192" s="126"/>
      <c r="E192" s="775"/>
      <c r="F192" s="775"/>
      <c r="G192" s="126"/>
      <c r="H192" s="337"/>
      <c r="I192" s="126"/>
      <c r="J192" s="126" t="s">
        <v>798</v>
      </c>
      <c r="K192" s="775"/>
    </row>
    <row r="193" spans="1:11" s="206" customFormat="1" x14ac:dyDescent="0.2">
      <c r="A193" s="126"/>
      <c r="B193" s="126"/>
      <c r="C193" s="126" t="s">
        <v>793</v>
      </c>
      <c r="D193" s="126"/>
      <c r="E193" s="775"/>
      <c r="F193" s="775"/>
      <c r="G193" s="126"/>
      <c r="H193" s="771">
        <v>13</v>
      </c>
      <c r="I193" s="343"/>
      <c r="J193" s="342" t="s">
        <v>741</v>
      </c>
      <c r="K193" s="794"/>
    </row>
    <row r="194" spans="1:11" s="206" customFormat="1" x14ac:dyDescent="0.2">
      <c r="A194" s="126"/>
      <c r="B194" s="126"/>
      <c r="C194" s="330"/>
      <c r="D194" s="330"/>
      <c r="E194" s="792"/>
      <c r="F194" s="792"/>
      <c r="G194" s="336"/>
      <c r="H194" s="493" t="s">
        <v>793</v>
      </c>
      <c r="I194" s="770">
        <v>12</v>
      </c>
      <c r="J194" s="126"/>
      <c r="K194" s="781"/>
    </row>
    <row r="195" spans="1:11" s="206" customFormat="1" ht="13.5" thickBot="1" x14ac:dyDescent="0.25">
      <c r="A195" s="126"/>
      <c r="B195" s="126"/>
      <c r="C195" s="332" t="s">
        <v>797</v>
      </c>
      <c r="D195" s="332"/>
      <c r="E195" s="793"/>
      <c r="F195" s="793"/>
      <c r="G195" s="340"/>
      <c r="H195" s="494">
        <v>8</v>
      </c>
      <c r="I195" s="65"/>
      <c r="J195" s="65" t="s">
        <v>793</v>
      </c>
      <c r="K195" s="795"/>
    </row>
    <row r="196" spans="1:11" s="206" customFormat="1" x14ac:dyDescent="0.2">
      <c r="A196" s="126"/>
      <c r="B196" s="126"/>
      <c r="C196" s="126"/>
      <c r="D196" s="126"/>
      <c r="E196" s="775"/>
      <c r="F196" s="775"/>
      <c r="G196" s="126"/>
      <c r="H196" s="126"/>
      <c r="I196" s="65"/>
      <c r="J196" s="342" t="s">
        <v>742</v>
      </c>
      <c r="K196" s="775"/>
    </row>
    <row r="197" spans="1:11" s="206" customFormat="1" x14ac:dyDescent="0.2">
      <c r="A197" s="126"/>
      <c r="B197" s="126"/>
      <c r="C197" s="126"/>
      <c r="D197" s="126"/>
      <c r="E197" s="775"/>
      <c r="F197" s="775"/>
      <c r="G197" s="126"/>
      <c r="H197" s="126" t="s">
        <v>795</v>
      </c>
      <c r="I197" s="338">
        <v>6</v>
      </c>
      <c r="J197" s="65"/>
      <c r="K197" s="775"/>
    </row>
    <row r="198" spans="1:11" s="206" customFormat="1" ht="13.5" thickBot="1" x14ac:dyDescent="0.25">
      <c r="A198" s="126"/>
      <c r="B198" s="126"/>
      <c r="C198" s="126"/>
      <c r="D198" s="126"/>
      <c r="E198" s="775"/>
      <c r="F198" s="775"/>
      <c r="G198" s="126"/>
      <c r="H198" s="336"/>
      <c r="I198" s="344"/>
      <c r="J198" s="364" t="s">
        <v>797</v>
      </c>
      <c r="K198" s="775"/>
    </row>
    <row r="199" spans="1:11" s="206" customFormat="1" x14ac:dyDescent="0.2">
      <c r="A199" s="126"/>
      <c r="B199" s="126"/>
      <c r="C199" s="126"/>
      <c r="D199" s="126"/>
      <c r="E199" s="775"/>
      <c r="F199" s="775"/>
      <c r="G199" s="126"/>
      <c r="H199" s="340" t="s">
        <v>797</v>
      </c>
      <c r="I199" s="333">
        <v>13</v>
      </c>
      <c r="J199" s="346" t="s">
        <v>743</v>
      </c>
      <c r="K199" s="794"/>
    </row>
    <row r="200" spans="1:11" s="206" customFormat="1" x14ac:dyDescent="0.2">
      <c r="A200" s="126"/>
      <c r="B200" s="126"/>
      <c r="C200" s="126"/>
      <c r="D200" s="126"/>
      <c r="E200" s="775"/>
      <c r="F200" s="775"/>
      <c r="G200" s="126"/>
      <c r="H200" s="126"/>
      <c r="I200" s="126"/>
      <c r="J200" s="65"/>
      <c r="K200" s="781"/>
    </row>
    <row r="201" spans="1:11" s="206" customFormat="1" ht="13.5" thickBot="1" x14ac:dyDescent="0.25">
      <c r="A201" s="126"/>
      <c r="B201" s="126"/>
      <c r="C201" s="126"/>
      <c r="D201" s="126"/>
      <c r="E201" s="775"/>
      <c r="F201" s="775"/>
      <c r="G201" s="126"/>
      <c r="H201" s="126"/>
      <c r="I201" s="126"/>
      <c r="J201" s="344" t="s">
        <v>795</v>
      </c>
      <c r="K201" s="795"/>
    </row>
    <row r="202" spans="1:11" s="206" customFormat="1" x14ac:dyDescent="0.2">
      <c r="A202" s="126"/>
      <c r="B202" s="126"/>
      <c r="C202" s="126"/>
      <c r="D202" s="126"/>
      <c r="E202" s="775"/>
      <c r="F202" s="775"/>
      <c r="G202" s="126"/>
      <c r="H202" s="126"/>
      <c r="I202" s="126"/>
      <c r="J202" s="64" t="s">
        <v>786</v>
      </c>
      <c r="K202" s="775"/>
    </row>
    <row r="204" spans="1:11" x14ac:dyDescent="0.2">
      <c r="A204" s="66">
        <v>1</v>
      </c>
      <c r="B204" s="67" t="s">
        <v>788</v>
      </c>
    </row>
    <row r="205" spans="1:11" x14ac:dyDescent="0.2">
      <c r="A205" s="66">
        <v>2</v>
      </c>
      <c r="B205" s="127" t="s">
        <v>792</v>
      </c>
    </row>
    <row r="206" spans="1:11" x14ac:dyDescent="0.2">
      <c r="A206" s="66">
        <v>3</v>
      </c>
      <c r="B206" s="128" t="s">
        <v>794</v>
      </c>
    </row>
    <row r="207" spans="1:11" x14ac:dyDescent="0.2">
      <c r="A207" s="66">
        <v>4</v>
      </c>
      <c r="B207" s="748" t="s">
        <v>816</v>
      </c>
    </row>
    <row r="208" spans="1:11" x14ac:dyDescent="0.2">
      <c r="A208" s="66">
        <v>5</v>
      </c>
      <c r="B208" s="502" t="s">
        <v>796</v>
      </c>
    </row>
    <row r="209" spans="1:2" x14ac:dyDescent="0.2">
      <c r="A209" s="66">
        <v>6</v>
      </c>
      <c r="B209" s="748" t="s">
        <v>802</v>
      </c>
    </row>
    <row r="210" spans="1:2" x14ac:dyDescent="0.2">
      <c r="A210" s="66">
        <v>7</v>
      </c>
      <c r="B210" s="349" t="s">
        <v>803</v>
      </c>
    </row>
    <row r="211" spans="1:2" x14ac:dyDescent="0.2">
      <c r="A211" s="66">
        <v>8</v>
      </c>
      <c r="B211" s="748" t="s">
        <v>815</v>
      </c>
    </row>
    <row r="212" spans="1:2" x14ac:dyDescent="0.2">
      <c r="A212" s="66">
        <v>9</v>
      </c>
      <c r="B212" s="136" t="s">
        <v>789</v>
      </c>
    </row>
    <row r="213" spans="1:2" x14ac:dyDescent="0.2">
      <c r="A213" s="66">
        <v>10</v>
      </c>
      <c r="B213" s="136" t="s">
        <v>663</v>
      </c>
    </row>
    <row r="214" spans="1:2" x14ac:dyDescent="0.2">
      <c r="A214" s="66">
        <v>11</v>
      </c>
      <c r="B214" s="349" t="s">
        <v>807</v>
      </c>
    </row>
    <row r="215" spans="1:2" x14ac:dyDescent="0.2">
      <c r="A215" s="66">
        <v>12</v>
      </c>
      <c r="B215" s="348" t="s">
        <v>808</v>
      </c>
    </row>
    <row r="216" spans="1:2" x14ac:dyDescent="0.2">
      <c r="A216" s="66">
        <v>13</v>
      </c>
      <c r="B216" s="502" t="s">
        <v>801</v>
      </c>
    </row>
    <row r="217" spans="1:2" x14ac:dyDescent="0.2">
      <c r="A217" s="66">
        <v>14</v>
      </c>
      <c r="B217" s="123" t="s">
        <v>790</v>
      </c>
    </row>
    <row r="218" spans="1:2" x14ac:dyDescent="0.2">
      <c r="A218" s="66">
        <v>15</v>
      </c>
      <c r="B218" s="348" t="s">
        <v>805</v>
      </c>
    </row>
    <row r="219" spans="1:2" x14ac:dyDescent="0.2">
      <c r="A219" s="66">
        <v>16</v>
      </c>
      <c r="B219" s="502" t="s">
        <v>800</v>
      </c>
    </row>
    <row r="220" spans="1:2" x14ac:dyDescent="0.2">
      <c r="A220" s="66">
        <v>17</v>
      </c>
      <c r="B220" s="122" t="s">
        <v>804</v>
      </c>
    </row>
    <row r="221" spans="1:2" x14ac:dyDescent="0.2">
      <c r="A221" s="66">
        <v>18</v>
      </c>
      <c r="B221" s="123" t="s">
        <v>812</v>
      </c>
    </row>
    <row r="222" spans="1:2" x14ac:dyDescent="0.2">
      <c r="A222" s="66">
        <v>19</v>
      </c>
      <c r="B222" s="136" t="s">
        <v>791</v>
      </c>
    </row>
    <row r="223" spans="1:2" x14ac:dyDescent="0.2">
      <c r="A223" s="66">
        <v>20</v>
      </c>
      <c r="B223" s="502" t="s">
        <v>799</v>
      </c>
    </row>
    <row r="224" spans="1:2" x14ac:dyDescent="0.2">
      <c r="A224" s="66">
        <v>21</v>
      </c>
      <c r="B224" s="122" t="s">
        <v>798</v>
      </c>
    </row>
    <row r="225" spans="1:2" x14ac:dyDescent="0.2">
      <c r="A225" s="66">
        <v>22</v>
      </c>
      <c r="B225" s="123" t="s">
        <v>793</v>
      </c>
    </row>
    <row r="226" spans="1:2" x14ac:dyDescent="0.2">
      <c r="A226" s="66">
        <v>23</v>
      </c>
      <c r="B226" s="136" t="s">
        <v>797</v>
      </c>
    </row>
    <row r="227" spans="1:2" x14ac:dyDescent="0.2">
      <c r="A227" s="66">
        <v>24</v>
      </c>
      <c r="B227" s="122" t="s">
        <v>795</v>
      </c>
    </row>
  </sheetData>
  <mergeCells count="26">
    <mergeCell ref="D64:E64"/>
    <mergeCell ref="D86:E86"/>
    <mergeCell ref="D87:E87"/>
    <mergeCell ref="D88:E88"/>
    <mergeCell ref="D89:E89"/>
    <mergeCell ref="D72:E72"/>
    <mergeCell ref="D73:E73"/>
    <mergeCell ref="D75:E75"/>
    <mergeCell ref="D76:E76"/>
    <mergeCell ref="D77:E77"/>
    <mergeCell ref="D78:E78"/>
    <mergeCell ref="D66:E66"/>
    <mergeCell ref="D67:E67"/>
    <mergeCell ref="D68:E68"/>
    <mergeCell ref="D69:E69"/>
    <mergeCell ref="D70:E70"/>
    <mergeCell ref="D71:E71"/>
    <mergeCell ref="D65:E65"/>
    <mergeCell ref="D90:E90"/>
    <mergeCell ref="D91:E91"/>
    <mergeCell ref="D79:E79"/>
    <mergeCell ref="D80:E80"/>
    <mergeCell ref="D81:E81"/>
    <mergeCell ref="D82:E82"/>
    <mergeCell ref="D84:E84"/>
    <mergeCell ref="D85:E85"/>
  </mergeCells>
  <conditionalFormatting sqref="B100 D61:D74 D83 H96:H109 H111:H125 B95:G95 I96:I125 B96:D99 D100 B101:D125 G96:G125 B132:D162 G132:I162 B169:D199 G169:I199">
    <cfRule type="cellIs" dxfId="130" priority="26" stopIfTrue="1" operator="equal">
      <formula>13</formula>
    </cfRule>
  </conditionalFormatting>
  <conditionalFormatting sqref="E7:E13 D21:F47 D49:F60">
    <cfRule type="cellIs" dxfId="129" priority="23" operator="equal">
      <formula>13</formula>
    </cfRule>
  </conditionalFormatting>
  <conditionalFormatting sqref="E14">
    <cfRule type="cellIs" dxfId="128" priority="22" operator="equal">
      <formula>13</formula>
    </cfRule>
  </conditionalFormatting>
  <conditionalFormatting sqref="E22">
    <cfRule type="cellIs" dxfId="127" priority="20" operator="equal">
      <formula>13</formula>
    </cfRule>
  </conditionalFormatting>
  <conditionalFormatting sqref="D7:F20 D48:F48">
    <cfRule type="cellIs" dxfId="126" priority="11" operator="equal">
      <formula>13</formula>
    </cfRule>
  </conditionalFormatting>
  <conditionalFormatting sqref="E15:E19">
    <cfRule type="cellIs" dxfId="125" priority="15" operator="equal">
      <formula>13</formula>
    </cfRule>
  </conditionalFormatting>
  <conditionalFormatting sqref="E50">
    <cfRule type="cellIs" dxfId="124" priority="5" operator="equal">
      <formula>13</formula>
    </cfRule>
  </conditionalFormatting>
  <conditionalFormatting sqref="E44">
    <cfRule type="cellIs" dxfId="123" priority="9" operator="equal">
      <formula>13</formula>
    </cfRule>
  </conditionalFormatting>
  <conditionalFormatting sqref="D84:D91">
    <cfRule type="cellIs" dxfId="122" priority="1" stopIfTrue="1" operator="equal">
      <formula>13</formula>
    </cfRule>
  </conditionalFormatting>
  <conditionalFormatting sqref="D75:D82">
    <cfRule type="cellIs" dxfId="121" priority="2" stopIfTrue="1" operator="equal">
      <formula>13</formula>
    </cfRule>
  </conditionalFormatting>
  <pageMargins left="0.78740157480314965" right="0.39370078740157483" top="0.78740157480314965" bottom="0.39370078740157483" header="0.59055118110236227" footer="0"/>
  <pageSetup paperSize="9" fitToHeight="0" orientation="landscape" r:id="rId1"/>
  <headerFooter>
    <oddHeader>&amp;RPage &amp;P of &amp;N</oddHeader>
  </headerFooter>
  <rowBreaks count="6" manualBreakCount="6">
    <brk id="32" max="16383" man="1"/>
    <brk id="60" max="16383" man="1"/>
    <brk id="91" max="16383" man="1"/>
    <brk id="128" max="16383" man="1"/>
    <brk id="165" max="16383" man="1"/>
    <brk id="20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style="97" customWidth="1"/>
    <col min="2" max="2" width="45.42578125" style="97" customWidth="1"/>
    <col min="3" max="3" width="7.28515625" style="97" customWidth="1"/>
    <col min="4" max="4" width="7.42578125" style="97" bestFit="1" customWidth="1"/>
    <col min="5" max="5" width="9.140625" style="97"/>
    <col min="6" max="6" width="6.7109375" style="97" customWidth="1"/>
    <col min="7" max="7" width="5.140625" style="97" customWidth="1"/>
    <col min="8" max="8" width="9.140625" style="97" customWidth="1"/>
    <col min="9" max="9" width="3.7109375" style="97" customWidth="1"/>
    <col min="10" max="12" width="9.140625" style="97"/>
    <col min="13" max="13" width="7.7109375" style="97" customWidth="1"/>
    <col min="14" max="16384" width="9.140625" style="97"/>
  </cols>
  <sheetData>
    <row r="1" spans="1:7" x14ac:dyDescent="0.2">
      <c r="A1" s="117" t="str">
        <f>UPPER((Kalend!E19)&amp;" - "&amp;(Kalend!C19)&amp;" - "&amp;(Kalend!D19))</f>
        <v>7 - 27. EESTI MV - DUO</v>
      </c>
      <c r="E1" s="85" t="str">
        <f>HYPERLINK("#Üldreiting!I1","Reiting")</f>
        <v>Reiting</v>
      </c>
      <c r="F1" s="206"/>
      <c r="G1" s="206"/>
    </row>
    <row r="2" spans="1:7" x14ac:dyDescent="0.2">
      <c r="A2" s="116" t="str">
        <f>"Toimumisaeg: "&amp;(Kalend!A19)&amp;" kell "&amp;(Kalend!B19)</f>
        <v>Toimumisaeg: L, 05.08.2017 kell 10:00</v>
      </c>
    </row>
    <row r="3" spans="1:7" x14ac:dyDescent="0.2">
      <c r="A3" s="116" t="str">
        <f>"Toimumiskoht: "&amp;(Kalend!H19)</f>
        <v>Toimumiskoht: Jüri, Laste 3</v>
      </c>
    </row>
    <row r="4" spans="1:7" x14ac:dyDescent="0.2">
      <c r="A4" s="116" t="str">
        <f>"Korraldaja: "&amp;(Kalend!I19)</f>
        <v>Korraldaja: SK Maestro Petanque</v>
      </c>
    </row>
    <row r="5" spans="1:7" s="206" customFormat="1" x14ac:dyDescent="0.2"/>
    <row r="6" spans="1:7" s="420" customFormat="1" x14ac:dyDescent="0.2">
      <c r="A6" s="320" t="s">
        <v>402</v>
      </c>
      <c r="B6" s="320"/>
      <c r="C6" s="319" t="s">
        <v>403</v>
      </c>
      <c r="D6" s="319" t="s">
        <v>404</v>
      </c>
      <c r="E6" s="319" t="s">
        <v>405</v>
      </c>
      <c r="F6" s="319" t="s">
        <v>406</v>
      </c>
      <c r="G6" s="319" t="s">
        <v>26</v>
      </c>
    </row>
    <row r="7" spans="1:7" s="420" customFormat="1" x14ac:dyDescent="0.2">
      <c r="A7" s="320">
        <v>1</v>
      </c>
      <c r="B7" s="25" t="s">
        <v>788</v>
      </c>
      <c r="C7" s="321">
        <v>13</v>
      </c>
      <c r="D7" s="321">
        <v>13</v>
      </c>
      <c r="E7" s="321"/>
      <c r="F7" s="321"/>
      <c r="G7" s="321" t="str">
        <f>IF(AND(COUNTIF(C7:F7,13)=0,COUNT(C7:F7)=2),"IV",IF(AND(COUNTIF(C7:F7,13)=1,COUNT(C7:F7)=3),"III",IF(AND(COUNTIF(C7:F7,13)=2,COUNT(C7:F7)=3),"II",IF(AND(COUNTIF(C7:F7,13)=2,COUNT(C7:F7)=2),"I"))))</f>
        <v>I</v>
      </c>
    </row>
    <row r="8" spans="1:7" s="420" customFormat="1" x14ac:dyDescent="0.2">
      <c r="A8" s="320">
        <v>2</v>
      </c>
      <c r="B8" s="25" t="s">
        <v>668</v>
      </c>
      <c r="C8" s="321">
        <v>9</v>
      </c>
      <c r="D8" s="321"/>
      <c r="E8" s="321">
        <v>13</v>
      </c>
      <c r="F8" s="321">
        <v>8</v>
      </c>
      <c r="G8" s="321" t="str">
        <f t="shared" ref="G8:G9" si="0">IF(AND(COUNTIF(C8:F8,13)=0,COUNT(C8:F8)=2),"IV",IF(AND(COUNTIF(C8:F8,13)=1,COUNT(C8:F8)=3),"III",IF(AND(COUNTIF(C8:F8,13)=2,COUNT(C8:F8)=3),"II",IF(AND(COUNTIF(C8:F8,13)=2,COUNT(C8:F8)=2),"I"))))</f>
        <v>III</v>
      </c>
    </row>
    <row r="9" spans="1:7" s="420" customFormat="1" x14ac:dyDescent="0.2">
      <c r="A9" s="320">
        <v>3</v>
      </c>
      <c r="B9" s="25" t="s">
        <v>932</v>
      </c>
      <c r="C9" s="321">
        <v>13</v>
      </c>
      <c r="D9" s="321">
        <v>5</v>
      </c>
      <c r="E9" s="321"/>
      <c r="F9" s="321">
        <v>13</v>
      </c>
      <c r="G9" s="321" t="str">
        <f t="shared" si="0"/>
        <v>II</v>
      </c>
    </row>
    <row r="10" spans="1:7" s="420" customFormat="1" x14ac:dyDescent="0.2">
      <c r="A10" s="320">
        <v>4</v>
      </c>
      <c r="B10" s="323"/>
      <c r="C10" s="321">
        <v>0</v>
      </c>
      <c r="D10" s="321"/>
      <c r="E10" s="321">
        <v>0</v>
      </c>
      <c r="F10" s="321"/>
      <c r="G10" s="321"/>
    </row>
    <row r="11" spans="1:7" s="420" customFormat="1" x14ac:dyDescent="0.2">
      <c r="A11" s="324"/>
      <c r="B11" s="325"/>
      <c r="C11" s="326"/>
      <c r="D11" s="326"/>
      <c r="E11" s="326"/>
      <c r="F11" s="327"/>
      <c r="G11" s="458"/>
    </row>
    <row r="12" spans="1:7" s="420" customFormat="1" x14ac:dyDescent="0.2">
      <c r="A12" s="317" t="s">
        <v>407</v>
      </c>
      <c r="B12" s="318"/>
      <c r="C12" s="319" t="s">
        <v>403</v>
      </c>
      <c r="D12" s="319" t="s">
        <v>404</v>
      </c>
      <c r="E12" s="319" t="s">
        <v>405</v>
      </c>
      <c r="F12" s="319" t="s">
        <v>406</v>
      </c>
      <c r="G12" s="680" t="s">
        <v>26</v>
      </c>
    </row>
    <row r="13" spans="1:7" s="420" customFormat="1" x14ac:dyDescent="0.2">
      <c r="A13" s="320">
        <v>1</v>
      </c>
      <c r="B13" t="s">
        <v>792</v>
      </c>
      <c r="C13" s="321">
        <v>13</v>
      </c>
      <c r="D13" s="321">
        <v>10</v>
      </c>
      <c r="E13" s="321"/>
      <c r="F13" s="321">
        <v>13</v>
      </c>
      <c r="G13" s="321" t="str">
        <f>IF(AND(COUNTIF(C13:F13,13)=0,COUNT(C13:F13)=2),"IV",IF(AND(COUNTIF(C13:F13,13)=1,COUNT(C13:F13)=3),"III",IF(AND(COUNTIF(C13:F13,13)=2,COUNT(C13:F13)=3),"II",IF(AND(COUNTIF(C13:F13,13)=2,COUNT(C13:F13)=2),"I"))))</f>
        <v>II</v>
      </c>
    </row>
    <row r="14" spans="1:7" s="420" customFormat="1" x14ac:dyDescent="0.2">
      <c r="A14" s="320">
        <v>2</v>
      </c>
      <c r="B14" s="453" t="s">
        <v>913</v>
      </c>
      <c r="C14" s="321">
        <v>7</v>
      </c>
      <c r="D14" s="321"/>
      <c r="E14" s="321">
        <v>13</v>
      </c>
      <c r="F14" s="321">
        <v>9</v>
      </c>
      <c r="G14" s="321" t="str">
        <f t="shared" ref="G14:G15" si="1">IF(AND(COUNTIF(C14:F14,13)=0,COUNT(C14:F14)=2),"IV",IF(AND(COUNTIF(C14:F14,13)=1,COUNT(C14:F14)=3),"III",IF(AND(COUNTIF(C14:F14,13)=2,COUNT(C14:F14)=3),"II",IF(AND(COUNTIF(C14:F14,13)=2,COUNT(C14:F14)=2),"I"))))</f>
        <v>III</v>
      </c>
    </row>
    <row r="15" spans="1:7" s="420" customFormat="1" x14ac:dyDescent="0.2">
      <c r="A15" s="320">
        <v>3</v>
      </c>
      <c r="B15" t="s">
        <v>933</v>
      </c>
      <c r="C15" s="321">
        <v>13</v>
      </c>
      <c r="D15" s="321">
        <v>13</v>
      </c>
      <c r="E15" s="321"/>
      <c r="F15" s="321"/>
      <c r="G15" s="321" t="str">
        <f t="shared" si="1"/>
        <v>I</v>
      </c>
    </row>
    <row r="16" spans="1:7" s="420" customFormat="1" x14ac:dyDescent="0.2">
      <c r="A16" s="320">
        <v>4</v>
      </c>
      <c r="B16" s="323"/>
      <c r="C16" s="321">
        <v>0</v>
      </c>
      <c r="D16" s="321"/>
      <c r="E16" s="321">
        <v>0</v>
      </c>
      <c r="F16" s="321"/>
      <c r="G16" s="321"/>
    </row>
    <row r="17" spans="1:13" s="420" customFormat="1" x14ac:dyDescent="0.2">
      <c r="G17" s="700"/>
    </row>
    <row r="18" spans="1:13" s="420" customFormat="1" x14ac:dyDescent="0.2">
      <c r="A18" s="320" t="s">
        <v>408</v>
      </c>
      <c r="B18" s="320"/>
      <c r="C18" s="319" t="s">
        <v>403</v>
      </c>
      <c r="D18" s="319" t="s">
        <v>404</v>
      </c>
      <c r="E18" s="319" t="s">
        <v>405</v>
      </c>
      <c r="F18" s="319" t="s">
        <v>406</v>
      </c>
      <c r="G18" s="680" t="s">
        <v>26</v>
      </c>
    </row>
    <row r="19" spans="1:13" s="420" customFormat="1" x14ac:dyDescent="0.2">
      <c r="A19" s="320">
        <v>1</v>
      </c>
      <c r="B19" s="25" t="s">
        <v>816</v>
      </c>
      <c r="C19" s="321">
        <v>13</v>
      </c>
      <c r="D19" s="321">
        <v>13</v>
      </c>
      <c r="E19" s="321"/>
      <c r="F19" s="321"/>
      <c r="G19" s="321" t="str">
        <f>IF(AND(COUNTIF(C19:F19,13)=0,COUNT(C19:F19)=2),"IV",IF(AND(COUNTIF(C19:F19,13)=1,COUNT(C19:F19)=3),"III",IF(AND(COUNTIF(C19:F19,13)=2,COUNT(C19:F19)=3),"II",IF(AND(COUNTIF(C19:F19,13)=2,COUNT(C19:F19)=2),"I"))))</f>
        <v>I</v>
      </c>
    </row>
    <row r="20" spans="1:13" s="420" customFormat="1" x14ac:dyDescent="0.2">
      <c r="A20" s="320">
        <v>2</v>
      </c>
      <c r="B20" s="25" t="s">
        <v>934</v>
      </c>
      <c r="C20" s="321">
        <v>13</v>
      </c>
      <c r="D20" s="321">
        <v>12</v>
      </c>
      <c r="E20" s="321"/>
      <c r="F20" s="321">
        <v>1</v>
      </c>
      <c r="G20" s="321" t="str">
        <f t="shared" ref="G20:G22" si="2">IF(AND(COUNTIF(C20:F20,13)=0,COUNT(C20:F20)=2),"IV",IF(AND(COUNTIF(C20:F20,13)=1,COUNT(C20:F20)=3),"III",IF(AND(COUNTIF(C20:F20,13)=2,COUNT(C20:F20)=3),"II",IF(AND(COUNTIF(C20:F20,13)=2,COUNT(C20:F20)=2),"I"))))</f>
        <v>III</v>
      </c>
    </row>
    <row r="21" spans="1:13" s="420" customFormat="1" x14ac:dyDescent="0.2">
      <c r="A21" s="320">
        <v>3</v>
      </c>
      <c r="B21" s="25" t="s">
        <v>656</v>
      </c>
      <c r="C21" s="321">
        <v>8</v>
      </c>
      <c r="D21" s="321"/>
      <c r="E21" s="321">
        <v>13</v>
      </c>
      <c r="F21" s="321">
        <v>13</v>
      </c>
      <c r="G21" s="321" t="str">
        <f t="shared" si="2"/>
        <v>II</v>
      </c>
    </row>
    <row r="22" spans="1:13" s="420" customFormat="1" x14ac:dyDescent="0.2">
      <c r="A22" s="320">
        <v>4</v>
      </c>
      <c r="B22" s="25" t="s">
        <v>935</v>
      </c>
      <c r="C22" s="321">
        <v>1</v>
      </c>
      <c r="D22" s="321"/>
      <c r="E22" s="321">
        <v>10</v>
      </c>
      <c r="F22" s="321"/>
      <c r="G22" s="321" t="str">
        <f t="shared" si="2"/>
        <v>IV</v>
      </c>
    </row>
    <row r="23" spans="1:13" s="420" customFormat="1" x14ac:dyDescent="0.2">
      <c r="A23" s="324"/>
      <c r="B23" s="457"/>
      <c r="C23" s="327"/>
      <c r="D23" s="327"/>
      <c r="E23" s="327"/>
      <c r="F23" s="327"/>
      <c r="G23" s="458"/>
      <c r="H23" s="324"/>
      <c r="I23" s="459"/>
      <c r="J23" s="327"/>
      <c r="K23" s="327"/>
      <c r="L23" s="327"/>
      <c r="M23" s="327"/>
    </row>
    <row r="24" spans="1:13" s="420" customFormat="1" x14ac:dyDescent="0.2">
      <c r="A24" s="317" t="s">
        <v>409</v>
      </c>
      <c r="B24" s="318"/>
      <c r="C24" s="319" t="s">
        <v>403</v>
      </c>
      <c r="D24" s="319" t="s">
        <v>404</v>
      </c>
      <c r="E24" s="319" t="s">
        <v>405</v>
      </c>
      <c r="F24" s="319" t="s">
        <v>406</v>
      </c>
      <c r="G24" s="680" t="s">
        <v>26</v>
      </c>
      <c r="H24" s="324"/>
      <c r="I24" s="459"/>
      <c r="J24" s="327"/>
      <c r="K24" s="327"/>
      <c r="L24" s="327"/>
      <c r="M24" s="327"/>
    </row>
    <row r="25" spans="1:13" s="420" customFormat="1" x14ac:dyDescent="0.2">
      <c r="A25" s="320">
        <v>1</v>
      </c>
      <c r="B25" s="453" t="s">
        <v>936</v>
      </c>
      <c r="C25" s="321">
        <v>13</v>
      </c>
      <c r="D25" s="321">
        <v>13</v>
      </c>
      <c r="E25" s="321"/>
      <c r="F25" s="321"/>
      <c r="G25" s="321" t="str">
        <f>IF(AND(COUNTIF(C25:F25,13)=0,COUNT(C25:F25)=2),"IV",IF(AND(COUNTIF(C25:F25,13)=1,COUNT(C25:F25)=3),"III",IF(AND(COUNTIF(C25:F25,13)=2,COUNT(C25:F25)=3),"II",IF(AND(COUNTIF(C25:F25,13)=2,COUNT(C25:F25)=2),"I"))))</f>
        <v>I</v>
      </c>
      <c r="H25" s="324"/>
      <c r="I25" s="459"/>
      <c r="J25" s="327"/>
      <c r="K25" s="327"/>
      <c r="L25" s="327"/>
      <c r="M25" s="327"/>
    </row>
    <row r="26" spans="1:13" s="420" customFormat="1" x14ac:dyDescent="0.2">
      <c r="A26" s="320">
        <v>2</v>
      </c>
      <c r="B26" t="s">
        <v>937</v>
      </c>
      <c r="C26" s="321">
        <v>13</v>
      </c>
      <c r="D26" s="321">
        <v>12</v>
      </c>
      <c r="E26" s="321"/>
      <c r="F26" s="353">
        <v>13</v>
      </c>
      <c r="G26" s="321" t="str">
        <f t="shared" ref="G26:G27" si="3">IF(AND(COUNTIF(C26:F26,13)=0,COUNT(C26:F26)=2),"IV",IF(AND(COUNTIF(C26:F26,13)=1,COUNT(C26:F26)=3),"III",IF(AND(COUNTIF(C26:F26,13)=2,COUNT(C26:F26)=3),"II",IF(AND(COUNTIF(C26:F26,13)=2,COUNT(C26:F26)=2),"I"))))</f>
        <v>II</v>
      </c>
      <c r="H26" s="324"/>
      <c r="I26" s="459"/>
      <c r="J26" s="327"/>
      <c r="K26" s="327"/>
      <c r="L26" s="327"/>
      <c r="M26" s="327"/>
    </row>
    <row r="27" spans="1:13" s="420" customFormat="1" x14ac:dyDescent="0.2">
      <c r="A27" s="320">
        <v>3</v>
      </c>
      <c r="B27" s="453" t="s">
        <v>938</v>
      </c>
      <c r="C27" s="321">
        <v>7</v>
      </c>
      <c r="D27" s="321"/>
      <c r="E27" s="321">
        <v>13</v>
      </c>
      <c r="F27" s="321">
        <v>7</v>
      </c>
      <c r="G27" s="321" t="str">
        <f t="shared" si="3"/>
        <v>III</v>
      </c>
      <c r="H27" s="324"/>
      <c r="I27" s="459"/>
      <c r="J27" s="327"/>
      <c r="K27" s="327"/>
      <c r="L27" s="327"/>
      <c r="M27" s="327"/>
    </row>
    <row r="28" spans="1:13" s="420" customFormat="1" x14ac:dyDescent="0.2">
      <c r="A28" s="320">
        <v>4</v>
      </c>
      <c r="B28" s="454"/>
      <c r="C28" s="321">
        <v>0</v>
      </c>
      <c r="D28" s="321"/>
      <c r="E28" s="321">
        <v>0</v>
      </c>
      <c r="F28" s="321"/>
      <c r="G28" s="321"/>
      <c r="H28" s="324"/>
      <c r="I28" s="459"/>
      <c r="J28" s="327"/>
      <c r="K28" s="327"/>
      <c r="L28" s="327"/>
      <c r="M28" s="327"/>
    </row>
    <row r="29" spans="1:13" s="420" customFormat="1" x14ac:dyDescent="0.2">
      <c r="A29" s="324"/>
      <c r="B29" s="325"/>
      <c r="C29" s="326"/>
      <c r="D29" s="326"/>
      <c r="E29" s="326"/>
      <c r="F29" s="327"/>
      <c r="G29" s="458"/>
      <c r="H29" s="324"/>
      <c r="I29" s="459"/>
      <c r="J29" s="327"/>
      <c r="K29" s="327"/>
      <c r="L29" s="327"/>
      <c r="M29" s="327"/>
    </row>
    <row r="30" spans="1:13" s="420" customFormat="1" x14ac:dyDescent="0.2">
      <c r="A30" s="317" t="s">
        <v>642</v>
      </c>
      <c r="B30" s="318"/>
      <c r="C30" s="319" t="s">
        <v>403</v>
      </c>
      <c r="D30" s="319" t="s">
        <v>404</v>
      </c>
      <c r="E30" s="319" t="s">
        <v>405</v>
      </c>
      <c r="F30" s="319" t="s">
        <v>406</v>
      </c>
      <c r="G30" s="680" t="s">
        <v>26</v>
      </c>
      <c r="H30" s="324"/>
      <c r="I30" s="459"/>
      <c r="J30" s="327"/>
      <c r="K30" s="327"/>
      <c r="L30" s="327"/>
      <c r="M30" s="327"/>
    </row>
    <row r="31" spans="1:13" s="420" customFormat="1" x14ac:dyDescent="0.2">
      <c r="A31" s="320">
        <v>1</v>
      </c>
      <c r="B31" s="453" t="s">
        <v>939</v>
      </c>
      <c r="C31" s="321">
        <v>13</v>
      </c>
      <c r="D31" s="321">
        <v>6</v>
      </c>
      <c r="E31" s="321"/>
      <c r="F31" s="321">
        <v>7</v>
      </c>
      <c r="G31" s="321" t="str">
        <f>IF(AND(COUNTIF(C31:F31,13)=0,COUNT(C31:F31)=2),"IV",IF(AND(COUNTIF(C31:F31,13)=1,COUNT(C31:F31)=3),"III",IF(AND(COUNTIF(C31:F31,13)=2,COUNT(C31:F31)=3),"II",IF(AND(COUNTIF(C31:F31,13)=2,COUNT(C31:F31)=2),"I"))))</f>
        <v>III</v>
      </c>
      <c r="H31" s="324"/>
      <c r="I31" s="459"/>
      <c r="J31" s="327"/>
      <c r="K31" s="327"/>
      <c r="L31" s="327"/>
      <c r="M31" s="327"/>
    </row>
    <row r="32" spans="1:13" s="420" customFormat="1" x14ac:dyDescent="0.2">
      <c r="A32" s="320">
        <v>2</v>
      </c>
      <c r="B32" s="453" t="s">
        <v>940</v>
      </c>
      <c r="C32" s="321">
        <v>13</v>
      </c>
      <c r="D32" s="321">
        <v>13</v>
      </c>
      <c r="E32" s="321"/>
      <c r="F32" s="321"/>
      <c r="G32" s="321" t="str">
        <f t="shared" ref="G32:G33" si="4">IF(AND(COUNTIF(C32:F32,13)=0,COUNT(C32:F32)=2),"IV",IF(AND(COUNTIF(C32:F32,13)=1,COUNT(C32:F32)=3),"III",IF(AND(COUNTIF(C32:F32,13)=2,COUNT(C32:F32)=3),"II",IF(AND(COUNTIF(C32:F32,13)=2,COUNT(C32:F32)=2),"I"))))</f>
        <v>I</v>
      </c>
      <c r="H32" s="324"/>
      <c r="I32" s="459"/>
      <c r="J32" s="327"/>
      <c r="K32" s="327"/>
      <c r="L32" s="327"/>
      <c r="M32" s="327"/>
    </row>
    <row r="33" spans="1:13" s="420" customFormat="1" x14ac:dyDescent="0.2">
      <c r="A33" s="320">
        <v>3</v>
      </c>
      <c r="B33" s="453" t="s">
        <v>941</v>
      </c>
      <c r="C33" s="321">
        <v>12</v>
      </c>
      <c r="D33" s="321"/>
      <c r="E33" s="321">
        <v>13</v>
      </c>
      <c r="F33" s="321">
        <v>13</v>
      </c>
      <c r="G33" s="321" t="str">
        <f t="shared" si="4"/>
        <v>II</v>
      </c>
      <c r="H33" s="324"/>
      <c r="I33" s="459"/>
      <c r="J33" s="327"/>
      <c r="K33" s="327"/>
      <c r="L33" s="327"/>
      <c r="M33" s="327"/>
    </row>
    <row r="34" spans="1:13" s="420" customFormat="1" x14ac:dyDescent="0.2">
      <c r="A34" s="320">
        <v>4</v>
      </c>
      <c r="B34" s="454"/>
      <c r="C34" s="321">
        <v>0</v>
      </c>
      <c r="D34" s="321"/>
      <c r="E34" s="321">
        <v>0</v>
      </c>
      <c r="F34" s="321"/>
      <c r="G34" s="321"/>
      <c r="H34" s="324"/>
      <c r="I34" s="459"/>
      <c r="J34" s="327"/>
      <c r="K34" s="327"/>
      <c r="L34" s="327"/>
      <c r="M34" s="327"/>
    </row>
    <row r="35" spans="1:13" s="420" customFormat="1" x14ac:dyDescent="0.2">
      <c r="A35" s="324"/>
      <c r="B35" s="325"/>
      <c r="C35" s="326"/>
      <c r="D35" s="326"/>
      <c r="E35" s="326"/>
      <c r="F35" s="327"/>
      <c r="G35" s="458"/>
      <c r="H35" s="324"/>
      <c r="I35" s="459"/>
      <c r="J35" s="327"/>
      <c r="K35" s="327"/>
      <c r="L35" s="327"/>
      <c r="M35" s="327"/>
    </row>
    <row r="36" spans="1:13" s="420" customFormat="1" x14ac:dyDescent="0.2">
      <c r="A36" s="317" t="s">
        <v>643</v>
      </c>
      <c r="B36" s="318"/>
      <c r="C36" s="319" t="s">
        <v>403</v>
      </c>
      <c r="D36" s="319" t="s">
        <v>404</v>
      </c>
      <c r="E36" s="319" t="s">
        <v>405</v>
      </c>
      <c r="F36" s="319" t="s">
        <v>406</v>
      </c>
      <c r="G36" s="680" t="s">
        <v>26</v>
      </c>
      <c r="H36" s="324"/>
      <c r="I36" s="459"/>
      <c r="J36" s="327"/>
      <c r="K36" s="327"/>
      <c r="L36" s="327"/>
      <c r="M36" s="327"/>
    </row>
    <row r="37" spans="1:13" s="420" customFormat="1" x14ac:dyDescent="0.2">
      <c r="A37" s="320">
        <v>1</v>
      </c>
      <c r="B37" s="453" t="s">
        <v>663</v>
      </c>
      <c r="C37" s="321">
        <v>13</v>
      </c>
      <c r="D37" s="321">
        <v>13</v>
      </c>
      <c r="E37" s="321"/>
      <c r="F37" s="321"/>
      <c r="G37" s="321" t="str">
        <f>IF(AND(COUNTIF(C37:F37,13)=0,COUNT(C37:F37)=2),"IV",IF(AND(COUNTIF(C37:F37,13)=1,COUNT(C37:F37)=3),"III",IF(AND(COUNTIF(C37:F37,13)=2,COUNT(C37:F37)=3),"II",IF(AND(COUNTIF(C37:F37,13)=2,COUNT(C37:F37)=2),"I"))))</f>
        <v>I</v>
      </c>
      <c r="H37" s="324"/>
      <c r="I37" s="459"/>
      <c r="J37" s="327"/>
      <c r="K37" s="327"/>
      <c r="L37" s="327"/>
      <c r="M37" s="327"/>
    </row>
    <row r="38" spans="1:13" s="420" customFormat="1" x14ac:dyDescent="0.2">
      <c r="A38" s="320">
        <v>2</v>
      </c>
      <c r="B38" s="453" t="s">
        <v>942</v>
      </c>
      <c r="C38" s="321">
        <v>13</v>
      </c>
      <c r="D38" s="321">
        <v>3</v>
      </c>
      <c r="E38" s="321"/>
      <c r="F38" s="321">
        <v>13</v>
      </c>
      <c r="G38" s="321" t="str">
        <f t="shared" ref="G38:G40" si="5">IF(AND(COUNTIF(C38:F38,13)=0,COUNT(C38:F38)=2),"IV",IF(AND(COUNTIF(C38:F38,13)=1,COUNT(C38:F38)=3),"III",IF(AND(COUNTIF(C38:F38,13)=2,COUNT(C38:F38)=3),"II",IF(AND(COUNTIF(C38:F38,13)=2,COUNT(C38:F38)=2),"I"))))</f>
        <v>II</v>
      </c>
      <c r="H38" s="324"/>
      <c r="I38" s="459"/>
      <c r="J38" s="327"/>
      <c r="K38" s="327"/>
      <c r="L38" s="327"/>
      <c r="M38" s="327"/>
    </row>
    <row r="39" spans="1:13" s="420" customFormat="1" x14ac:dyDescent="0.2">
      <c r="A39" s="320">
        <v>3</v>
      </c>
      <c r="B39" s="453" t="s">
        <v>943</v>
      </c>
      <c r="C39" s="321">
        <v>6</v>
      </c>
      <c r="D39" s="321"/>
      <c r="E39" s="321">
        <v>2</v>
      </c>
      <c r="F39" s="321"/>
      <c r="G39" s="321" t="str">
        <f t="shared" si="5"/>
        <v>IV</v>
      </c>
      <c r="H39" s="324"/>
      <c r="I39" s="459"/>
      <c r="J39" s="327"/>
      <c r="K39" s="327"/>
      <c r="L39" s="327"/>
      <c r="M39" s="327"/>
    </row>
    <row r="40" spans="1:13" s="420" customFormat="1" x14ac:dyDescent="0.2">
      <c r="A40" s="320">
        <v>4</v>
      </c>
      <c r="B40" s="454" t="s">
        <v>944</v>
      </c>
      <c r="C40" s="321">
        <v>12</v>
      </c>
      <c r="D40" s="321"/>
      <c r="E40" s="321">
        <v>13</v>
      </c>
      <c r="F40" s="321">
        <v>8</v>
      </c>
      <c r="G40" s="321" t="str">
        <f t="shared" si="5"/>
        <v>III</v>
      </c>
      <c r="H40" s="324"/>
      <c r="I40" s="459"/>
      <c r="J40" s="327"/>
      <c r="K40" s="327"/>
      <c r="L40" s="327"/>
      <c r="M40" s="327"/>
    </row>
    <row r="41" spans="1:13" s="420" customFormat="1" x14ac:dyDescent="0.2">
      <c r="A41" s="324"/>
      <c r="B41" s="457"/>
      <c r="C41" s="327"/>
      <c r="D41" s="327"/>
      <c r="E41" s="327"/>
      <c r="F41" s="327"/>
      <c r="G41" s="327"/>
      <c r="H41" s="324"/>
      <c r="I41" s="459"/>
      <c r="J41" s="327"/>
      <c r="K41" s="327"/>
      <c r="L41" s="327"/>
      <c r="M41" s="327"/>
    </row>
    <row r="42" spans="1:13" s="420" customFormat="1" x14ac:dyDescent="0.2">
      <c r="A42" s="421" t="s">
        <v>410</v>
      </c>
      <c r="B42" s="89"/>
      <c r="C42" s="326"/>
      <c r="D42" s="326"/>
      <c r="E42" s="326"/>
      <c r="F42" s="327"/>
      <c r="G42" s="328"/>
      <c r="H42" s="135"/>
      <c r="I42" s="135"/>
      <c r="J42" s="135"/>
      <c r="K42" s="135"/>
      <c r="L42" s="135"/>
      <c r="M42" s="135"/>
    </row>
    <row r="43" spans="1:13" s="420" customFormat="1" x14ac:dyDescent="0.2">
      <c r="A43" s="135"/>
      <c r="B43" s="135"/>
      <c r="C43" s="135"/>
      <c r="D43" s="135"/>
      <c r="E43" s="135"/>
      <c r="F43" s="135"/>
      <c r="G43" s="135"/>
      <c r="H43" s="135"/>
      <c r="I43" s="135"/>
      <c r="J43" s="135"/>
      <c r="K43" s="135"/>
      <c r="L43" s="135"/>
      <c r="M43" s="135"/>
    </row>
    <row r="44" spans="1:13" s="420" customFormat="1" x14ac:dyDescent="0.2">
      <c r="A44" s="422" t="s">
        <v>589</v>
      </c>
      <c r="B44" s="452" t="s">
        <v>933</v>
      </c>
      <c r="C44" s="423">
        <v>13</v>
      </c>
      <c r="D44" s="135"/>
      <c r="E44" s="135"/>
      <c r="F44" s="135"/>
      <c r="G44" s="135"/>
      <c r="H44" s="135"/>
      <c r="I44" s="135"/>
      <c r="J44" s="135"/>
      <c r="K44" s="135"/>
      <c r="L44" s="135"/>
      <c r="M44" s="135"/>
    </row>
    <row r="45" spans="1:13" s="420" customFormat="1" x14ac:dyDescent="0.2">
      <c r="A45" s="424"/>
      <c r="B45" s="425"/>
      <c r="C45" s="426" t="s">
        <v>933</v>
      </c>
      <c r="D45" s="135"/>
      <c r="E45" s="423">
        <v>13</v>
      </c>
      <c r="F45" s="135"/>
      <c r="G45" s="135"/>
      <c r="H45" s="135"/>
      <c r="I45" s="135"/>
      <c r="J45" s="135"/>
      <c r="K45" s="135"/>
      <c r="L45" s="135"/>
    </row>
    <row r="46" spans="1:13" s="420" customFormat="1" x14ac:dyDescent="0.2">
      <c r="A46" s="424" t="s">
        <v>595</v>
      </c>
      <c r="B46" s="681" t="s">
        <v>937</v>
      </c>
      <c r="C46" s="428">
        <v>3</v>
      </c>
      <c r="D46" s="429"/>
      <c r="E46" s="135"/>
      <c r="F46" s="135"/>
      <c r="G46" s="135"/>
      <c r="H46" s="135"/>
      <c r="I46" s="135"/>
      <c r="J46" s="135"/>
      <c r="K46" s="135"/>
      <c r="L46" s="135"/>
    </row>
    <row r="47" spans="1:13" s="420" customFormat="1" x14ac:dyDescent="0.2">
      <c r="A47" s="424"/>
      <c r="B47" s="135"/>
      <c r="C47" s="135"/>
      <c r="D47" s="430"/>
      <c r="E47" s="431" t="s">
        <v>933</v>
      </c>
      <c r="F47" s="135"/>
      <c r="G47" s="423">
        <v>0</v>
      </c>
      <c r="H47" s="135"/>
      <c r="I47" s="135"/>
      <c r="J47" s="135"/>
      <c r="K47" s="135"/>
    </row>
    <row r="48" spans="1:13" s="420" customFormat="1" x14ac:dyDescent="0.2">
      <c r="A48" s="424" t="s">
        <v>732</v>
      </c>
      <c r="B48" s="135" t="s">
        <v>663</v>
      </c>
      <c r="C48" s="432">
        <v>13</v>
      </c>
      <c r="D48" s="430"/>
      <c r="E48" s="433"/>
      <c r="F48" s="429"/>
      <c r="G48" s="135"/>
      <c r="H48" s="135"/>
      <c r="I48" s="135"/>
      <c r="J48" s="135"/>
      <c r="K48" s="135"/>
    </row>
    <row r="49" spans="1:11" s="420" customFormat="1" x14ac:dyDescent="0.2">
      <c r="A49" s="424"/>
      <c r="B49" s="425"/>
      <c r="C49" s="431" t="s">
        <v>663</v>
      </c>
      <c r="D49" s="434"/>
      <c r="E49" s="432">
        <v>5</v>
      </c>
      <c r="F49" s="430"/>
      <c r="G49" s="135"/>
      <c r="H49" s="135"/>
      <c r="I49" s="135"/>
      <c r="J49" s="135"/>
      <c r="K49" s="135"/>
    </row>
    <row r="50" spans="1:11" s="420" customFormat="1" x14ac:dyDescent="0.2">
      <c r="A50" s="424"/>
      <c r="B50" s="681" t="s">
        <v>729</v>
      </c>
      <c r="C50" s="435">
        <v>0</v>
      </c>
      <c r="D50" s="135"/>
      <c r="E50" s="89"/>
      <c r="F50" s="430"/>
      <c r="G50" s="135"/>
      <c r="H50" s="135"/>
      <c r="I50" s="135"/>
      <c r="J50" s="135"/>
      <c r="K50" s="135"/>
    </row>
    <row r="51" spans="1:11" s="420" customFormat="1" x14ac:dyDescent="0.2">
      <c r="A51" s="63"/>
      <c r="B51" s="135"/>
      <c r="C51" s="135"/>
      <c r="D51" s="135"/>
      <c r="E51" s="89"/>
      <c r="F51" s="430"/>
      <c r="G51" s="431" t="s">
        <v>816</v>
      </c>
      <c r="H51" s="135"/>
      <c r="I51" s="423">
        <v>2</v>
      </c>
      <c r="J51" s="135"/>
      <c r="K51" s="135"/>
    </row>
    <row r="52" spans="1:11" s="420" customFormat="1" x14ac:dyDescent="0.2">
      <c r="A52" s="422" t="s">
        <v>601</v>
      </c>
      <c r="B52" s="135" t="s">
        <v>932</v>
      </c>
      <c r="C52" s="423">
        <v>13</v>
      </c>
      <c r="D52" s="135"/>
      <c r="E52" s="89"/>
      <c r="F52" s="430"/>
      <c r="G52" s="425"/>
      <c r="H52" s="429"/>
      <c r="I52" s="135"/>
      <c r="J52" s="135"/>
      <c r="K52" s="135"/>
    </row>
    <row r="53" spans="1:11" s="420" customFormat="1" x14ac:dyDescent="0.2">
      <c r="A53" s="424"/>
      <c r="B53" s="425"/>
      <c r="C53" s="426" t="s">
        <v>932</v>
      </c>
      <c r="D53" s="135"/>
      <c r="E53" s="432">
        <v>1</v>
      </c>
      <c r="F53" s="430"/>
      <c r="G53" s="89"/>
      <c r="H53" s="430"/>
      <c r="I53" s="135"/>
      <c r="J53" s="135"/>
      <c r="K53" s="135"/>
    </row>
    <row r="54" spans="1:11" s="420" customFormat="1" x14ac:dyDescent="0.2">
      <c r="A54" s="424" t="s">
        <v>733</v>
      </c>
      <c r="B54" s="427" t="s">
        <v>941</v>
      </c>
      <c r="C54" s="428">
        <v>2</v>
      </c>
      <c r="D54" s="429"/>
      <c r="E54" s="89"/>
      <c r="F54" s="430"/>
      <c r="G54" s="89"/>
      <c r="H54" s="430"/>
      <c r="I54" s="135"/>
      <c r="J54" s="135"/>
      <c r="K54" s="135"/>
    </row>
    <row r="55" spans="1:11" s="420" customFormat="1" x14ac:dyDescent="0.2">
      <c r="A55" s="424"/>
      <c r="B55" s="135"/>
      <c r="C55" s="135"/>
      <c r="D55" s="430"/>
      <c r="E55" s="427" t="s">
        <v>816</v>
      </c>
      <c r="F55" s="434"/>
      <c r="G55" s="432">
        <v>13</v>
      </c>
      <c r="H55" s="430"/>
      <c r="I55" s="135"/>
      <c r="J55" s="135"/>
      <c r="K55" s="135"/>
    </row>
    <row r="56" spans="1:11" s="420" customFormat="1" x14ac:dyDescent="0.2">
      <c r="A56" s="424" t="s">
        <v>598</v>
      </c>
      <c r="B56" s="135" t="s">
        <v>816</v>
      </c>
      <c r="C56" s="432">
        <v>13</v>
      </c>
      <c r="D56" s="430"/>
      <c r="E56" s="431"/>
      <c r="F56" s="89"/>
      <c r="G56" s="89"/>
      <c r="H56" s="430"/>
      <c r="I56" s="135"/>
      <c r="J56" s="135"/>
      <c r="K56" s="135"/>
    </row>
    <row r="57" spans="1:11" s="420" customFormat="1" x14ac:dyDescent="0.2">
      <c r="A57" s="424"/>
      <c r="B57" s="425"/>
      <c r="C57" s="431" t="s">
        <v>816</v>
      </c>
      <c r="D57" s="434"/>
      <c r="E57" s="432">
        <v>13</v>
      </c>
      <c r="F57" s="135"/>
      <c r="G57" s="89"/>
      <c r="H57" s="430"/>
      <c r="I57" s="135"/>
      <c r="J57" s="135"/>
      <c r="K57" s="135"/>
    </row>
    <row r="58" spans="1:11" s="420" customFormat="1" x14ac:dyDescent="0.2">
      <c r="A58" s="424"/>
      <c r="B58" s="681" t="s">
        <v>729</v>
      </c>
      <c r="C58" s="435">
        <v>0</v>
      </c>
      <c r="D58" s="135"/>
      <c r="E58" s="89"/>
      <c r="F58" s="89"/>
      <c r="G58" s="89"/>
      <c r="H58" s="430"/>
      <c r="I58" s="135"/>
      <c r="J58" s="135"/>
      <c r="K58" s="135"/>
    </row>
    <row r="59" spans="1:11" s="420" customFormat="1" ht="13.5" thickBot="1" x14ac:dyDescent="0.25">
      <c r="A59" s="135"/>
      <c r="B59" s="135"/>
      <c r="C59" s="135"/>
      <c r="D59" s="135"/>
      <c r="E59" s="135"/>
      <c r="F59" s="135"/>
      <c r="G59" s="89"/>
      <c r="H59" s="430"/>
      <c r="I59" s="135"/>
      <c r="J59" s="135" t="s">
        <v>940</v>
      </c>
      <c r="K59" s="135"/>
    </row>
    <row r="60" spans="1:11" s="420" customFormat="1" x14ac:dyDescent="0.2">
      <c r="A60" s="422" t="s">
        <v>731</v>
      </c>
      <c r="B60" s="135" t="s">
        <v>940</v>
      </c>
      <c r="C60" s="423">
        <v>13</v>
      </c>
      <c r="D60" s="135"/>
      <c r="E60" s="135"/>
      <c r="F60" s="135"/>
      <c r="G60" s="89"/>
      <c r="H60" s="430"/>
      <c r="I60" s="436"/>
      <c r="J60" s="437" t="s">
        <v>411</v>
      </c>
      <c r="K60" s="438"/>
    </row>
    <row r="61" spans="1:11" s="420" customFormat="1" x14ac:dyDescent="0.2">
      <c r="A61" s="424"/>
      <c r="B61" s="425"/>
      <c r="C61" s="426" t="s">
        <v>940</v>
      </c>
      <c r="D61" s="135"/>
      <c r="E61" s="423">
        <v>13</v>
      </c>
      <c r="F61" s="135"/>
      <c r="G61" s="89"/>
      <c r="H61" s="430"/>
      <c r="I61" s="135"/>
      <c r="J61" s="135"/>
      <c r="K61" s="135"/>
    </row>
    <row r="62" spans="1:11" s="420" customFormat="1" x14ac:dyDescent="0.2">
      <c r="A62" s="424" t="s">
        <v>730</v>
      </c>
      <c r="B62" s="681" t="s">
        <v>942</v>
      </c>
      <c r="C62" s="428">
        <v>4</v>
      </c>
      <c r="D62" s="429"/>
      <c r="E62" s="135"/>
      <c r="F62" s="135"/>
      <c r="G62" s="89"/>
      <c r="H62" s="430"/>
      <c r="I62" s="135"/>
      <c r="J62" s="135"/>
      <c r="K62" s="135"/>
    </row>
    <row r="63" spans="1:11" s="420" customFormat="1" x14ac:dyDescent="0.2">
      <c r="A63" s="424"/>
      <c r="B63" s="135"/>
      <c r="C63" s="135"/>
      <c r="D63" s="430"/>
      <c r="E63" s="135" t="s">
        <v>940</v>
      </c>
      <c r="F63" s="135"/>
      <c r="G63" s="432">
        <v>13</v>
      </c>
      <c r="H63" s="430"/>
      <c r="I63" s="135"/>
      <c r="J63" s="135"/>
      <c r="K63" s="135"/>
    </row>
    <row r="64" spans="1:11" s="420" customFormat="1" x14ac:dyDescent="0.2">
      <c r="A64" s="424" t="s">
        <v>596</v>
      </c>
      <c r="B64" s="135" t="s">
        <v>788</v>
      </c>
      <c r="C64" s="432">
        <v>13</v>
      </c>
      <c r="D64" s="430"/>
      <c r="E64" s="433"/>
      <c r="F64" s="429"/>
      <c r="G64" s="89"/>
      <c r="H64" s="430"/>
      <c r="I64" s="135"/>
      <c r="J64" s="135"/>
      <c r="K64" s="135"/>
    </row>
    <row r="65" spans="1:11" s="420" customFormat="1" x14ac:dyDescent="0.2">
      <c r="A65" s="424"/>
      <c r="B65" s="425"/>
      <c r="C65" s="431" t="s">
        <v>788</v>
      </c>
      <c r="D65" s="434"/>
      <c r="E65" s="432">
        <v>8</v>
      </c>
      <c r="F65" s="430"/>
      <c r="G65" s="89"/>
      <c r="H65" s="430"/>
      <c r="I65" s="135"/>
      <c r="J65" s="135"/>
      <c r="K65" s="135"/>
    </row>
    <row r="66" spans="1:11" s="420" customFormat="1" x14ac:dyDescent="0.2">
      <c r="A66" s="424"/>
      <c r="B66" s="681" t="s">
        <v>729</v>
      </c>
      <c r="C66" s="435">
        <v>0</v>
      </c>
      <c r="D66" s="135"/>
      <c r="E66" s="89"/>
      <c r="F66" s="430"/>
      <c r="G66" s="89"/>
      <c r="H66" s="430"/>
      <c r="I66" s="135"/>
      <c r="J66" s="135"/>
      <c r="K66" s="135"/>
    </row>
    <row r="67" spans="1:11" s="420" customFormat="1" x14ac:dyDescent="0.2">
      <c r="A67" s="135"/>
      <c r="B67" s="135"/>
      <c r="C67" s="135"/>
      <c r="D67" s="135"/>
      <c r="E67" s="89"/>
      <c r="F67" s="430"/>
      <c r="G67" s="427" t="s">
        <v>940</v>
      </c>
      <c r="H67" s="434"/>
      <c r="I67" s="423">
        <v>13</v>
      </c>
      <c r="J67" s="135"/>
      <c r="K67" s="135"/>
    </row>
    <row r="68" spans="1:11" s="420" customFormat="1" ht="13.5" thickBot="1" x14ac:dyDescent="0.25">
      <c r="A68" s="422" t="s">
        <v>600</v>
      </c>
      <c r="B68" s="135" t="s">
        <v>936</v>
      </c>
      <c r="C68" s="423">
        <v>13</v>
      </c>
      <c r="D68" s="135"/>
      <c r="E68" s="89"/>
      <c r="F68" s="430"/>
      <c r="G68" s="135"/>
      <c r="H68" s="135"/>
      <c r="I68" s="135"/>
      <c r="J68" s="89" t="s">
        <v>816</v>
      </c>
      <c r="K68" s="439"/>
    </row>
    <row r="69" spans="1:11" s="420" customFormat="1" x14ac:dyDescent="0.2">
      <c r="A69" s="424"/>
      <c r="B69" s="425"/>
      <c r="C69" s="440" t="s">
        <v>936</v>
      </c>
      <c r="D69" s="135"/>
      <c r="E69" s="432">
        <v>13</v>
      </c>
      <c r="F69" s="430"/>
      <c r="G69" s="135"/>
      <c r="H69" s="135"/>
      <c r="I69" s="135"/>
      <c r="J69" s="437" t="s">
        <v>412</v>
      </c>
      <c r="K69" s="89"/>
    </row>
    <row r="70" spans="1:11" s="420" customFormat="1" x14ac:dyDescent="0.2">
      <c r="A70" s="424"/>
      <c r="B70" s="681" t="s">
        <v>729</v>
      </c>
      <c r="C70" s="428">
        <v>0</v>
      </c>
      <c r="D70" s="429"/>
      <c r="E70" s="89"/>
      <c r="F70" s="430"/>
      <c r="G70" s="135"/>
      <c r="H70" s="135"/>
      <c r="I70" s="135"/>
      <c r="J70" s="135"/>
      <c r="K70" s="135"/>
    </row>
    <row r="71" spans="1:11" s="420" customFormat="1" x14ac:dyDescent="0.2">
      <c r="A71" s="424"/>
      <c r="B71" s="135"/>
      <c r="C71" s="135"/>
      <c r="D71" s="430"/>
      <c r="E71" s="427" t="s">
        <v>936</v>
      </c>
      <c r="F71" s="434"/>
      <c r="G71" s="423">
        <v>2</v>
      </c>
      <c r="H71" s="135"/>
      <c r="I71" s="135"/>
      <c r="J71" s="135"/>
      <c r="K71" s="135"/>
    </row>
    <row r="72" spans="1:11" s="420" customFormat="1" x14ac:dyDescent="0.2">
      <c r="A72" s="424" t="s">
        <v>597</v>
      </c>
      <c r="B72" s="135" t="s">
        <v>656</v>
      </c>
      <c r="C72" s="432">
        <v>13</v>
      </c>
      <c r="D72" s="430"/>
      <c r="E72" s="431"/>
      <c r="F72" s="89"/>
      <c r="G72" s="135"/>
      <c r="H72" s="135"/>
      <c r="I72" s="135"/>
      <c r="J72" s="135"/>
      <c r="K72" s="135"/>
    </row>
    <row r="73" spans="1:11" s="420" customFormat="1" x14ac:dyDescent="0.2">
      <c r="A73" s="424"/>
      <c r="B73" s="425"/>
      <c r="C73" s="431" t="s">
        <v>656</v>
      </c>
      <c r="D73" s="434"/>
      <c r="E73" s="432">
        <v>7</v>
      </c>
      <c r="F73" s="135"/>
      <c r="G73" s="135" t="s">
        <v>933</v>
      </c>
      <c r="H73" s="135"/>
      <c r="I73" s="432">
        <v>13</v>
      </c>
      <c r="J73" s="135"/>
      <c r="K73" s="135"/>
    </row>
    <row r="74" spans="1:11" s="420" customFormat="1" ht="13.5" thickBot="1" x14ac:dyDescent="0.25">
      <c r="A74" s="424" t="s">
        <v>599</v>
      </c>
      <c r="B74" s="427" t="s">
        <v>792</v>
      </c>
      <c r="C74" s="435">
        <v>9</v>
      </c>
      <c r="D74" s="135"/>
      <c r="E74" s="89"/>
      <c r="F74" s="89"/>
      <c r="G74" s="425"/>
      <c r="H74" s="429"/>
      <c r="I74" s="439"/>
      <c r="J74" s="439" t="s">
        <v>933</v>
      </c>
      <c r="K74" s="439"/>
    </row>
    <row r="75" spans="1:11" s="420" customFormat="1" x14ac:dyDescent="0.2">
      <c r="A75" s="135"/>
      <c r="B75" s="135"/>
      <c r="C75" s="135"/>
      <c r="D75" s="135"/>
      <c r="E75" s="135"/>
      <c r="F75" s="89"/>
      <c r="G75" s="427" t="s">
        <v>936</v>
      </c>
      <c r="H75" s="434"/>
      <c r="I75" s="423">
        <v>11</v>
      </c>
      <c r="J75" s="441" t="s">
        <v>413</v>
      </c>
      <c r="K75" s="89"/>
    </row>
    <row r="76" spans="1:11" s="420" customFormat="1" x14ac:dyDescent="0.2">
      <c r="A76" s="135"/>
      <c r="B76" s="135"/>
      <c r="C76" s="135"/>
      <c r="D76" s="135"/>
      <c r="E76" s="135"/>
      <c r="F76" s="89"/>
      <c r="G76" s="135"/>
      <c r="H76" s="135"/>
      <c r="I76" s="135"/>
      <c r="J76" s="89"/>
      <c r="K76" s="89"/>
    </row>
    <row r="77" spans="1:11" s="420" customFormat="1" ht="13.5" thickBot="1" x14ac:dyDescent="0.25">
      <c r="A77" s="135"/>
      <c r="B77" s="135"/>
      <c r="C77" s="135"/>
      <c r="D77" s="135"/>
      <c r="E77" s="135"/>
      <c r="F77" s="89"/>
      <c r="G77" s="89"/>
      <c r="H77" s="89"/>
      <c r="I77" s="135"/>
      <c r="J77" s="439" t="s">
        <v>936</v>
      </c>
      <c r="K77" s="439"/>
    </row>
    <row r="78" spans="1:11" s="420" customFormat="1" x14ac:dyDescent="0.2">
      <c r="A78" s="135"/>
      <c r="B78" s="135"/>
      <c r="C78" s="135"/>
      <c r="D78" s="135"/>
      <c r="E78" s="135"/>
      <c r="F78" s="135"/>
      <c r="G78" s="89"/>
      <c r="H78" s="89"/>
      <c r="I78" s="135"/>
      <c r="J78" s="63" t="s">
        <v>414</v>
      </c>
      <c r="K78" s="135"/>
    </row>
    <row r="79" spans="1:11" s="420" customFormat="1" x14ac:dyDescent="0.2">
      <c r="A79" s="442"/>
      <c r="B79" s="135"/>
      <c r="C79" s="135"/>
      <c r="D79" s="135"/>
      <c r="E79" s="135"/>
      <c r="F79" s="135"/>
      <c r="G79" s="89"/>
      <c r="H79" s="89"/>
      <c r="I79" s="135"/>
      <c r="J79" s="63"/>
      <c r="K79" s="135"/>
    </row>
    <row r="80" spans="1:11" s="420" customFormat="1" x14ac:dyDescent="0.2">
      <c r="A80" s="135"/>
      <c r="B80" s="135"/>
      <c r="C80" s="135"/>
      <c r="D80" s="135"/>
      <c r="E80" s="443" t="s">
        <v>663</v>
      </c>
      <c r="F80" s="423"/>
      <c r="G80" s="423">
        <v>12</v>
      </c>
      <c r="H80" s="423"/>
      <c r="I80" s="423"/>
      <c r="J80" s="135"/>
      <c r="K80" s="135"/>
    </row>
    <row r="81" spans="1:11" s="420" customFormat="1" x14ac:dyDescent="0.2">
      <c r="A81" s="135"/>
      <c r="B81" s="135"/>
      <c r="C81" s="135"/>
      <c r="D81" s="135"/>
      <c r="E81" s="444"/>
      <c r="F81" s="445"/>
      <c r="G81" s="446" t="s">
        <v>932</v>
      </c>
      <c r="H81" s="423"/>
      <c r="I81" s="423">
        <v>12</v>
      </c>
      <c r="J81" s="135"/>
      <c r="K81" s="135"/>
    </row>
    <row r="82" spans="1:11" s="420" customFormat="1" x14ac:dyDescent="0.2">
      <c r="A82" s="135"/>
      <c r="B82" s="135"/>
      <c r="C82" s="135"/>
      <c r="D82" s="135"/>
      <c r="E82" s="446" t="s">
        <v>932</v>
      </c>
      <c r="F82" s="447"/>
      <c r="G82" s="423">
        <v>13</v>
      </c>
      <c r="H82" s="445"/>
      <c r="I82" s="423"/>
      <c r="J82" s="135"/>
      <c r="K82" s="135"/>
    </row>
    <row r="83" spans="1:11" s="420" customFormat="1" ht="13.5" thickBot="1" x14ac:dyDescent="0.25">
      <c r="A83" s="135"/>
      <c r="B83" s="135"/>
      <c r="C83" s="135"/>
      <c r="D83" s="135"/>
      <c r="E83" s="423"/>
      <c r="F83" s="423"/>
      <c r="G83" s="432"/>
      <c r="H83" s="448"/>
      <c r="I83" s="423"/>
      <c r="J83" s="135" t="s">
        <v>788</v>
      </c>
      <c r="K83" s="135"/>
    </row>
    <row r="84" spans="1:11" s="420" customFormat="1" x14ac:dyDescent="0.2">
      <c r="A84" s="135"/>
      <c r="B84" s="135"/>
      <c r="C84" s="135"/>
      <c r="D84" s="135"/>
      <c r="E84" s="686" t="s">
        <v>788</v>
      </c>
      <c r="F84" s="423"/>
      <c r="G84" s="423">
        <v>13</v>
      </c>
      <c r="H84" s="448"/>
      <c r="I84" s="449"/>
      <c r="J84" s="437" t="s">
        <v>415</v>
      </c>
      <c r="K84" s="438"/>
    </row>
    <row r="85" spans="1:11" s="420" customFormat="1" x14ac:dyDescent="0.2">
      <c r="A85" s="135"/>
      <c r="B85" s="135"/>
      <c r="C85" s="135"/>
      <c r="D85" s="135"/>
      <c r="E85" s="444"/>
      <c r="F85" s="445"/>
      <c r="G85" s="423" t="s">
        <v>788</v>
      </c>
      <c r="H85" s="447"/>
      <c r="I85" s="432">
        <v>13</v>
      </c>
      <c r="J85" s="135"/>
      <c r="K85" s="135"/>
    </row>
    <row r="86" spans="1:11" s="420" customFormat="1" ht="13.5" thickBot="1" x14ac:dyDescent="0.25">
      <c r="A86" s="135"/>
      <c r="B86" s="135"/>
      <c r="C86" s="135"/>
      <c r="D86" s="135"/>
      <c r="E86" s="446" t="s">
        <v>656</v>
      </c>
      <c r="F86" s="447"/>
      <c r="G86" s="444">
        <v>2</v>
      </c>
      <c r="H86" s="423"/>
      <c r="I86" s="432"/>
      <c r="J86" s="89" t="s">
        <v>932</v>
      </c>
      <c r="K86" s="439"/>
    </row>
    <row r="87" spans="1:11" s="420" customFormat="1" x14ac:dyDescent="0.2">
      <c r="A87" s="135"/>
      <c r="B87" s="135"/>
      <c r="C87" s="135"/>
      <c r="D87" s="135"/>
      <c r="E87" s="423"/>
      <c r="F87" s="423"/>
      <c r="G87" s="423"/>
      <c r="H87" s="423"/>
      <c r="I87" s="432"/>
      <c r="J87" s="437" t="s">
        <v>416</v>
      </c>
      <c r="K87" s="89"/>
    </row>
    <row r="88" spans="1:11" s="420" customFormat="1" x14ac:dyDescent="0.2">
      <c r="A88" s="135"/>
      <c r="B88" s="135"/>
      <c r="C88" s="135"/>
      <c r="D88" s="135"/>
      <c r="E88" s="423"/>
      <c r="F88" s="432"/>
      <c r="G88" s="686" t="s">
        <v>663</v>
      </c>
      <c r="H88" s="423"/>
      <c r="I88" s="432">
        <v>13</v>
      </c>
      <c r="J88" s="89"/>
      <c r="K88" s="89"/>
    </row>
    <row r="89" spans="1:11" s="420" customFormat="1" ht="13.5" thickBot="1" x14ac:dyDescent="0.25">
      <c r="A89" s="135"/>
      <c r="B89" s="135"/>
      <c r="C89" s="135"/>
      <c r="D89" s="135"/>
      <c r="E89" s="423"/>
      <c r="F89" s="432"/>
      <c r="G89" s="444"/>
      <c r="H89" s="445"/>
      <c r="I89" s="450"/>
      <c r="J89" s="439" t="s">
        <v>663</v>
      </c>
      <c r="K89" s="439"/>
    </row>
    <row r="90" spans="1:11" s="420" customFormat="1" x14ac:dyDescent="0.2">
      <c r="A90" s="135"/>
      <c r="B90" s="135"/>
      <c r="C90" s="135"/>
      <c r="D90" s="135"/>
      <c r="E90" s="423"/>
      <c r="F90" s="432"/>
      <c r="G90" s="446" t="s">
        <v>656</v>
      </c>
      <c r="H90" s="447"/>
      <c r="I90" s="423">
        <v>10</v>
      </c>
      <c r="J90" s="441" t="s">
        <v>417</v>
      </c>
      <c r="K90" s="89"/>
    </row>
    <row r="91" spans="1:11" s="420" customFormat="1" x14ac:dyDescent="0.2">
      <c r="A91" s="135"/>
      <c r="B91" s="135"/>
      <c r="C91" s="135"/>
      <c r="D91" s="135"/>
      <c r="E91" s="135"/>
      <c r="F91" s="89"/>
      <c r="G91" s="135"/>
      <c r="H91" s="135"/>
      <c r="I91" s="135"/>
      <c r="J91" s="89"/>
      <c r="K91" s="89"/>
    </row>
    <row r="92" spans="1:11" s="420" customFormat="1" ht="13.5" thickBot="1" x14ac:dyDescent="0.25">
      <c r="A92" s="135"/>
      <c r="B92" s="135"/>
      <c r="C92" s="135"/>
      <c r="D92" s="135"/>
      <c r="E92" s="135"/>
      <c r="F92" s="135"/>
      <c r="G92" s="89"/>
      <c r="H92" s="89"/>
      <c r="I92" s="135"/>
      <c r="J92" s="439" t="s">
        <v>656</v>
      </c>
      <c r="K92" s="439"/>
    </row>
    <row r="93" spans="1:11" s="420" customFormat="1" x14ac:dyDescent="0.2">
      <c r="A93" s="135"/>
      <c r="B93" s="135"/>
      <c r="C93" s="135"/>
      <c r="D93" s="135"/>
      <c r="E93" s="135"/>
      <c r="F93" s="135"/>
      <c r="G93" s="89"/>
      <c r="H93" s="89"/>
      <c r="I93" s="135"/>
      <c r="J93" s="441" t="s">
        <v>418</v>
      </c>
      <c r="K93" s="135"/>
    </row>
    <row r="94" spans="1:11" s="420" customFormat="1" x14ac:dyDescent="0.2">
      <c r="A94" s="135"/>
      <c r="B94" s="135"/>
      <c r="C94" s="135"/>
      <c r="D94" s="135"/>
      <c r="E94" s="135"/>
      <c r="F94" s="135"/>
      <c r="G94" s="89"/>
      <c r="H94" s="89"/>
      <c r="I94" s="135"/>
      <c r="J94" s="441"/>
      <c r="K94" s="135"/>
    </row>
    <row r="95" spans="1:11" s="420" customFormat="1" x14ac:dyDescent="0.2">
      <c r="A95" s="421" t="s">
        <v>754</v>
      </c>
      <c r="B95" s="135"/>
      <c r="C95" s="135"/>
      <c r="D95" s="135"/>
      <c r="E95" s="135"/>
      <c r="F95" s="135"/>
      <c r="G95" s="135"/>
      <c r="H95" s="135"/>
      <c r="I95" s="135"/>
      <c r="J95" s="135"/>
      <c r="K95" s="135"/>
    </row>
    <row r="96" spans="1:11" s="420" customFormat="1" x14ac:dyDescent="0.2">
      <c r="A96" s="135"/>
      <c r="B96" s="89"/>
      <c r="C96" s="681" t="s">
        <v>937</v>
      </c>
      <c r="D96" s="135"/>
      <c r="E96" s="423">
        <v>13</v>
      </c>
      <c r="F96" s="135"/>
      <c r="G96" s="135"/>
      <c r="H96" s="135"/>
      <c r="I96" s="135"/>
      <c r="J96" s="135"/>
      <c r="K96" s="135"/>
    </row>
    <row r="97" spans="1:11" s="420" customFormat="1" x14ac:dyDescent="0.2">
      <c r="A97" s="135"/>
      <c r="B97" s="89"/>
      <c r="C97" s="425"/>
      <c r="D97" s="429"/>
      <c r="E97" s="431" t="s">
        <v>937</v>
      </c>
      <c r="F97" s="135"/>
      <c r="G97" s="423">
        <v>13</v>
      </c>
      <c r="H97" s="135"/>
      <c r="I97" s="135"/>
      <c r="J97" s="135"/>
      <c r="K97" s="135"/>
    </row>
    <row r="98" spans="1:11" s="420" customFormat="1" x14ac:dyDescent="0.2">
      <c r="A98" s="135"/>
      <c r="B98" s="89"/>
      <c r="C98" s="681" t="s">
        <v>729</v>
      </c>
      <c r="D98" s="434"/>
      <c r="E98" s="444">
        <v>0</v>
      </c>
      <c r="F98" s="429"/>
      <c r="G98" s="135"/>
      <c r="H98" s="135"/>
      <c r="I98" s="135"/>
      <c r="J98" s="135"/>
      <c r="K98" s="135"/>
    </row>
    <row r="99" spans="1:11" s="420" customFormat="1" x14ac:dyDescent="0.2">
      <c r="A99" s="135"/>
      <c r="B99" s="89"/>
      <c r="C99" s="135"/>
      <c r="D99" s="135"/>
      <c r="E99" s="89"/>
      <c r="F99" s="430"/>
      <c r="G99" s="431" t="s">
        <v>937</v>
      </c>
      <c r="H99" s="135"/>
      <c r="I99" s="423">
        <v>8</v>
      </c>
      <c r="J99" s="135"/>
      <c r="K99" s="135"/>
    </row>
    <row r="100" spans="1:11" s="420" customFormat="1" x14ac:dyDescent="0.2">
      <c r="A100" s="135"/>
      <c r="B100" s="89"/>
      <c r="C100" s="681" t="s">
        <v>941</v>
      </c>
      <c r="D100" s="135"/>
      <c r="E100" s="432">
        <v>13</v>
      </c>
      <c r="F100" s="430"/>
      <c r="G100" s="433"/>
      <c r="H100" s="429"/>
      <c r="I100" s="135"/>
      <c r="J100" s="135"/>
      <c r="K100" s="135"/>
    </row>
    <row r="101" spans="1:11" s="420" customFormat="1" x14ac:dyDescent="0.2">
      <c r="A101" s="135"/>
      <c r="B101" s="89"/>
      <c r="C101" s="135"/>
      <c r="D101" s="429"/>
      <c r="E101" s="427" t="s">
        <v>941</v>
      </c>
      <c r="F101" s="434"/>
      <c r="G101" s="432">
        <v>11</v>
      </c>
      <c r="H101" s="430"/>
      <c r="I101" s="135"/>
      <c r="J101" s="135"/>
      <c r="K101" s="135"/>
    </row>
    <row r="102" spans="1:11" s="420" customFormat="1" x14ac:dyDescent="0.2">
      <c r="A102" s="135"/>
      <c r="B102" s="89"/>
      <c r="C102" s="684" t="s">
        <v>729</v>
      </c>
      <c r="D102" s="434"/>
      <c r="E102" s="432">
        <v>0</v>
      </c>
      <c r="F102" s="135"/>
      <c r="G102" s="89"/>
      <c r="H102" s="430"/>
      <c r="I102" s="135"/>
      <c r="J102" s="135"/>
      <c r="K102" s="135"/>
    </row>
    <row r="103" spans="1:11" s="420" customFormat="1" ht="13.5" thickBot="1" x14ac:dyDescent="0.25">
      <c r="A103" s="135"/>
      <c r="B103" s="89"/>
      <c r="C103" s="444"/>
      <c r="D103" s="135"/>
      <c r="E103" s="89"/>
      <c r="F103" s="89"/>
      <c r="G103" s="89"/>
      <c r="H103" s="430"/>
      <c r="I103" s="135"/>
      <c r="J103" s="135" t="s">
        <v>942</v>
      </c>
      <c r="K103" s="135"/>
    </row>
    <row r="104" spans="1:11" s="420" customFormat="1" x14ac:dyDescent="0.2">
      <c r="A104" s="135"/>
      <c r="B104" s="89"/>
      <c r="C104" s="684" t="s">
        <v>942</v>
      </c>
      <c r="D104" s="135"/>
      <c r="E104" s="423">
        <v>13</v>
      </c>
      <c r="F104" s="135"/>
      <c r="G104" s="135"/>
      <c r="H104" s="430"/>
      <c r="I104" s="438"/>
      <c r="J104" s="437" t="s">
        <v>419</v>
      </c>
      <c r="K104" s="438"/>
    </row>
    <row r="105" spans="1:11" s="420" customFormat="1" x14ac:dyDescent="0.2">
      <c r="A105" s="135"/>
      <c r="B105" s="89"/>
      <c r="C105" s="425"/>
      <c r="D105" s="429"/>
      <c r="E105" s="702" t="s">
        <v>942</v>
      </c>
      <c r="F105" s="135"/>
      <c r="G105" s="423">
        <v>13</v>
      </c>
      <c r="H105" s="430"/>
      <c r="I105" s="135"/>
      <c r="J105" s="135"/>
      <c r="K105" s="135"/>
    </row>
    <row r="106" spans="1:11" s="420" customFormat="1" ht="13.5" thickBot="1" x14ac:dyDescent="0.25">
      <c r="A106" s="135"/>
      <c r="B106" s="89"/>
      <c r="C106" s="681" t="s">
        <v>729</v>
      </c>
      <c r="D106" s="434"/>
      <c r="E106" s="444">
        <v>0</v>
      </c>
      <c r="F106" s="429"/>
      <c r="G106" s="135"/>
      <c r="H106" s="430"/>
      <c r="I106" s="423"/>
      <c r="J106" s="89" t="s">
        <v>937</v>
      </c>
      <c r="K106" s="439"/>
    </row>
    <row r="107" spans="1:11" s="420" customFormat="1" x14ac:dyDescent="0.2">
      <c r="A107" s="135"/>
      <c r="B107" s="89"/>
      <c r="C107" s="135"/>
      <c r="D107" s="135"/>
      <c r="E107" s="89"/>
      <c r="F107" s="430"/>
      <c r="G107" s="431" t="s">
        <v>942</v>
      </c>
      <c r="H107" s="434"/>
      <c r="I107" s="423">
        <v>13</v>
      </c>
      <c r="J107" s="437" t="s">
        <v>420</v>
      </c>
      <c r="K107" s="89"/>
    </row>
    <row r="108" spans="1:11" s="420" customFormat="1" x14ac:dyDescent="0.2">
      <c r="A108" s="135"/>
      <c r="B108" s="89"/>
      <c r="C108" s="681" t="s">
        <v>729</v>
      </c>
      <c r="D108" s="135"/>
      <c r="E108" s="432">
        <v>0</v>
      </c>
      <c r="F108" s="430"/>
      <c r="G108" s="433"/>
      <c r="H108" s="425"/>
      <c r="I108" s="135"/>
      <c r="J108" s="135"/>
      <c r="K108" s="135"/>
    </row>
    <row r="109" spans="1:11" s="420" customFormat="1" x14ac:dyDescent="0.2">
      <c r="A109" s="135"/>
      <c r="B109" s="89"/>
      <c r="C109" s="135"/>
      <c r="D109" s="429"/>
      <c r="E109" s="427" t="s">
        <v>792</v>
      </c>
      <c r="F109" s="434"/>
      <c r="G109" s="432">
        <v>3</v>
      </c>
      <c r="H109" s="89"/>
      <c r="I109" s="135"/>
      <c r="J109" s="135"/>
      <c r="K109" s="135"/>
    </row>
    <row r="110" spans="1:11" s="420" customFormat="1" x14ac:dyDescent="0.2">
      <c r="A110" s="135"/>
      <c r="B110" s="89"/>
      <c r="C110" s="89" t="s">
        <v>792</v>
      </c>
      <c r="D110" s="434"/>
      <c r="E110" s="432">
        <v>13</v>
      </c>
      <c r="F110" s="135"/>
      <c r="G110" s="89"/>
      <c r="H110" s="89"/>
      <c r="I110" s="135"/>
      <c r="J110" s="135"/>
      <c r="K110" s="135"/>
    </row>
    <row r="111" spans="1:11" s="420" customFormat="1" x14ac:dyDescent="0.2">
      <c r="A111" s="135"/>
      <c r="B111" s="89"/>
      <c r="C111" s="444"/>
      <c r="D111" s="135"/>
      <c r="E111" s="89"/>
      <c r="F111" s="89"/>
      <c r="G111" s="452" t="s">
        <v>941</v>
      </c>
      <c r="H111" s="135"/>
      <c r="I111" s="432">
        <v>7</v>
      </c>
      <c r="J111" s="135"/>
      <c r="K111" s="135"/>
    </row>
    <row r="112" spans="1:11" s="420" customFormat="1" ht="13.5" thickBot="1" x14ac:dyDescent="0.25">
      <c r="A112" s="135"/>
      <c r="B112" s="89"/>
      <c r="C112" s="135"/>
      <c r="D112" s="135"/>
      <c r="E112" s="89"/>
      <c r="F112" s="89"/>
      <c r="G112" s="425"/>
      <c r="H112" s="429"/>
      <c r="I112" s="439"/>
      <c r="J112" s="439" t="s">
        <v>792</v>
      </c>
      <c r="K112" s="439"/>
    </row>
    <row r="113" spans="1:11" s="420" customFormat="1" x14ac:dyDescent="0.2">
      <c r="A113" s="135"/>
      <c r="B113" s="89"/>
      <c r="C113" s="423"/>
      <c r="D113" s="135"/>
      <c r="E113" s="89"/>
      <c r="F113" s="89"/>
      <c r="G113" s="427" t="s">
        <v>792</v>
      </c>
      <c r="H113" s="434"/>
      <c r="I113" s="423">
        <v>13</v>
      </c>
      <c r="J113" s="441" t="s">
        <v>421</v>
      </c>
      <c r="K113" s="89"/>
    </row>
    <row r="114" spans="1:11" s="420" customFormat="1" x14ac:dyDescent="0.2">
      <c r="A114" s="135"/>
      <c r="B114" s="89"/>
      <c r="C114" s="89"/>
      <c r="D114" s="89"/>
      <c r="E114" s="432"/>
      <c r="F114" s="89"/>
      <c r="G114" s="135"/>
      <c r="H114" s="135"/>
      <c r="I114" s="135"/>
      <c r="J114" s="89"/>
      <c r="K114" s="89"/>
    </row>
    <row r="115" spans="1:11" s="420" customFormat="1" ht="13.5" thickBot="1" x14ac:dyDescent="0.25">
      <c r="A115" s="135"/>
      <c r="B115" s="89"/>
      <c r="C115" s="432"/>
      <c r="D115" s="89"/>
      <c r="E115" s="89"/>
      <c r="F115" s="89"/>
      <c r="G115" s="89"/>
      <c r="H115" s="89"/>
      <c r="I115" s="135"/>
      <c r="J115" s="439" t="s">
        <v>941</v>
      </c>
      <c r="K115" s="439"/>
    </row>
    <row r="116" spans="1:11" s="420" customFormat="1" x14ac:dyDescent="0.2">
      <c r="A116" s="135"/>
      <c r="B116" s="89"/>
      <c r="C116" s="89"/>
      <c r="D116" s="89"/>
      <c r="E116" s="89"/>
      <c r="F116" s="135"/>
      <c r="G116" s="423"/>
      <c r="H116" s="135"/>
      <c r="I116" s="135"/>
      <c r="J116" s="63" t="s">
        <v>645</v>
      </c>
      <c r="K116" s="135"/>
    </row>
    <row r="117" spans="1:11" s="420" customFormat="1" x14ac:dyDescent="0.2">
      <c r="A117" s="135"/>
      <c r="B117" s="89"/>
      <c r="C117" s="89"/>
      <c r="D117" s="89"/>
      <c r="E117" s="89"/>
      <c r="F117" s="135"/>
      <c r="G117" s="423"/>
      <c r="H117" s="135"/>
      <c r="I117" s="135"/>
      <c r="J117" s="63"/>
      <c r="K117" s="135"/>
    </row>
    <row r="118" spans="1:11" s="420" customFormat="1" x14ac:dyDescent="0.2">
      <c r="A118" s="421" t="s">
        <v>753</v>
      </c>
      <c r="B118" s="89"/>
      <c r="C118" s="89"/>
      <c r="D118" s="89"/>
      <c r="E118" s="89"/>
      <c r="F118" s="135"/>
      <c r="G118" s="423"/>
      <c r="H118" s="135"/>
      <c r="I118" s="135"/>
      <c r="J118" s="63"/>
      <c r="K118" s="135"/>
    </row>
    <row r="119" spans="1:11" s="420" customFormat="1" x14ac:dyDescent="0.2">
      <c r="A119" s="135"/>
      <c r="B119" s="135"/>
      <c r="C119" s="423"/>
      <c r="D119" s="135"/>
      <c r="E119" s="135"/>
      <c r="F119" s="135"/>
      <c r="G119" s="135"/>
      <c r="H119" s="135"/>
      <c r="I119" s="135"/>
      <c r="J119" s="135"/>
      <c r="K119" s="135"/>
    </row>
    <row r="120" spans="1:11" s="420" customFormat="1" x14ac:dyDescent="0.2">
      <c r="A120" s="135"/>
      <c r="B120" s="703" t="s">
        <v>738</v>
      </c>
      <c r="C120" s="135" t="s">
        <v>944</v>
      </c>
      <c r="D120" s="135"/>
      <c r="E120" s="423">
        <v>0</v>
      </c>
      <c r="F120" s="135"/>
      <c r="G120" s="135"/>
      <c r="H120" s="135"/>
      <c r="I120" s="135"/>
      <c r="J120" s="135"/>
      <c r="K120" s="135"/>
    </row>
    <row r="121" spans="1:11" s="420" customFormat="1" x14ac:dyDescent="0.2">
      <c r="A121" s="135"/>
      <c r="B121" s="424"/>
      <c r="C121" s="425"/>
      <c r="D121" s="429"/>
      <c r="E121" s="426" t="s">
        <v>935</v>
      </c>
      <c r="F121" s="135"/>
      <c r="G121" s="423">
        <v>3</v>
      </c>
      <c r="H121" s="135"/>
      <c r="I121" s="135"/>
      <c r="J121" s="135"/>
      <c r="K121" s="135"/>
    </row>
    <row r="122" spans="1:11" s="420" customFormat="1" x14ac:dyDescent="0.2">
      <c r="A122" s="135"/>
      <c r="B122" s="424" t="s">
        <v>756</v>
      </c>
      <c r="C122" s="681" t="s">
        <v>935</v>
      </c>
      <c r="D122" s="434"/>
      <c r="E122" s="460">
        <v>13</v>
      </c>
      <c r="F122" s="429"/>
      <c r="G122" s="135"/>
      <c r="H122" s="135"/>
      <c r="I122" s="135"/>
      <c r="J122" s="135"/>
      <c r="K122" s="135"/>
    </row>
    <row r="123" spans="1:11" s="420" customFormat="1" x14ac:dyDescent="0.2">
      <c r="A123" s="135"/>
      <c r="B123" s="687"/>
      <c r="C123" s="135"/>
      <c r="D123" s="135"/>
      <c r="E123" s="89"/>
      <c r="F123" s="430"/>
      <c r="G123" s="431" t="s">
        <v>938</v>
      </c>
      <c r="H123" s="135"/>
      <c r="I123" s="423">
        <v>9</v>
      </c>
      <c r="J123" s="135"/>
      <c r="K123" s="135"/>
    </row>
    <row r="124" spans="1:11" s="420" customFormat="1" x14ac:dyDescent="0.2">
      <c r="A124" s="135"/>
      <c r="B124" s="687" t="s">
        <v>739</v>
      </c>
      <c r="C124" s="681" t="s">
        <v>939</v>
      </c>
      <c r="D124" s="135"/>
      <c r="E124" s="432">
        <v>3</v>
      </c>
      <c r="F124" s="430"/>
      <c r="G124" s="433"/>
      <c r="H124" s="429"/>
      <c r="I124" s="135"/>
      <c r="J124" s="135"/>
      <c r="K124" s="135"/>
    </row>
    <row r="125" spans="1:11" s="420" customFormat="1" x14ac:dyDescent="0.2">
      <c r="A125" s="135"/>
      <c r="B125" s="687"/>
      <c r="C125" s="135"/>
      <c r="D125" s="429"/>
      <c r="E125" s="427" t="s">
        <v>938</v>
      </c>
      <c r="F125" s="434"/>
      <c r="G125" s="432">
        <v>13</v>
      </c>
      <c r="H125" s="430"/>
      <c r="I125" s="135"/>
      <c r="J125" s="135"/>
      <c r="K125" s="135"/>
    </row>
    <row r="126" spans="1:11" s="420" customFormat="1" x14ac:dyDescent="0.2">
      <c r="A126" s="135"/>
      <c r="B126" s="687" t="s">
        <v>737</v>
      </c>
      <c r="C126" s="684" t="s">
        <v>938</v>
      </c>
      <c r="D126" s="434"/>
      <c r="E126" s="432">
        <v>13</v>
      </c>
      <c r="F126" s="135"/>
      <c r="G126" s="89"/>
      <c r="H126" s="430"/>
      <c r="I126" s="135"/>
      <c r="J126" s="135"/>
      <c r="K126" s="135"/>
    </row>
    <row r="127" spans="1:11" s="420" customFormat="1" ht="13.5" thickBot="1" x14ac:dyDescent="0.25">
      <c r="A127" s="135"/>
      <c r="B127" s="687"/>
      <c r="C127" s="444"/>
      <c r="D127" s="135"/>
      <c r="E127" s="89"/>
      <c r="F127" s="89"/>
      <c r="G127" s="89"/>
      <c r="H127" s="430"/>
      <c r="I127" s="135"/>
      <c r="J127" s="452" t="s">
        <v>668</v>
      </c>
      <c r="K127" s="135"/>
    </row>
    <row r="128" spans="1:11" s="420" customFormat="1" x14ac:dyDescent="0.2">
      <c r="A128" s="135"/>
      <c r="B128" s="687" t="s">
        <v>945</v>
      </c>
      <c r="C128" s="684" t="s">
        <v>943</v>
      </c>
      <c r="D128" s="135"/>
      <c r="E128" s="423">
        <v>3</v>
      </c>
      <c r="F128" s="135"/>
      <c r="G128" s="135"/>
      <c r="H128" s="430"/>
      <c r="I128" s="438"/>
      <c r="J128" s="437" t="s">
        <v>646</v>
      </c>
      <c r="K128" s="438"/>
    </row>
    <row r="129" spans="1:11" s="420" customFormat="1" x14ac:dyDescent="0.2">
      <c r="A129" s="135"/>
      <c r="B129" s="687"/>
      <c r="C129" s="425"/>
      <c r="D129" s="429"/>
      <c r="E129" s="702" t="s">
        <v>668</v>
      </c>
      <c r="F129" s="135"/>
      <c r="G129" s="423">
        <v>13</v>
      </c>
      <c r="H129" s="430"/>
      <c r="I129" s="135"/>
      <c r="J129" s="135"/>
      <c r="K129" s="135"/>
    </row>
    <row r="130" spans="1:11" s="420" customFormat="1" ht="13.5" thickBot="1" x14ac:dyDescent="0.25">
      <c r="A130" s="135"/>
      <c r="B130" s="687" t="s">
        <v>740</v>
      </c>
      <c r="C130" s="681" t="s">
        <v>668</v>
      </c>
      <c r="D130" s="434"/>
      <c r="E130" s="444">
        <v>13</v>
      </c>
      <c r="F130" s="429"/>
      <c r="G130" s="135"/>
      <c r="H130" s="430"/>
      <c r="I130" s="423"/>
      <c r="J130" s="89" t="s">
        <v>938</v>
      </c>
      <c r="K130" s="439"/>
    </row>
    <row r="131" spans="1:11" s="420" customFormat="1" x14ac:dyDescent="0.2">
      <c r="A131" s="135"/>
      <c r="B131" s="687"/>
      <c r="C131" s="135"/>
      <c r="D131" s="135"/>
      <c r="E131" s="89"/>
      <c r="F131" s="430"/>
      <c r="G131" s="431" t="s">
        <v>668</v>
      </c>
      <c r="H131" s="434"/>
      <c r="I131" s="423">
        <v>13</v>
      </c>
      <c r="J131" s="437" t="s">
        <v>647</v>
      </c>
      <c r="K131" s="89"/>
    </row>
    <row r="132" spans="1:11" s="420" customFormat="1" x14ac:dyDescent="0.2">
      <c r="A132" s="135"/>
      <c r="B132" s="687" t="s">
        <v>735</v>
      </c>
      <c r="C132" s="427" t="s">
        <v>934</v>
      </c>
      <c r="D132" s="135"/>
      <c r="E132" s="432">
        <v>13</v>
      </c>
      <c r="F132" s="430"/>
      <c r="G132" s="433"/>
      <c r="H132" s="425"/>
      <c r="I132" s="135"/>
      <c r="J132" s="135"/>
      <c r="K132" s="135"/>
    </row>
    <row r="133" spans="1:11" s="420" customFormat="1" x14ac:dyDescent="0.2">
      <c r="A133" s="135"/>
      <c r="B133" s="687"/>
      <c r="C133" s="135"/>
      <c r="D133" s="429"/>
      <c r="E133" s="427" t="s">
        <v>934</v>
      </c>
      <c r="F133" s="434"/>
      <c r="G133" s="432">
        <v>11</v>
      </c>
      <c r="H133" s="89"/>
      <c r="I133" s="135"/>
      <c r="J133" s="135"/>
      <c r="K133" s="135"/>
    </row>
    <row r="134" spans="1:11" s="420" customFormat="1" x14ac:dyDescent="0.2">
      <c r="A134" s="135"/>
      <c r="B134" s="687" t="s">
        <v>736</v>
      </c>
      <c r="C134" s="89" t="s">
        <v>913</v>
      </c>
      <c r="D134" s="434"/>
      <c r="E134" s="432">
        <v>1</v>
      </c>
      <c r="F134" s="135"/>
      <c r="G134" s="89"/>
      <c r="H134" s="89"/>
      <c r="I134" s="135"/>
      <c r="J134" s="135"/>
      <c r="K134" s="135"/>
    </row>
    <row r="135" spans="1:11" s="420" customFormat="1" x14ac:dyDescent="0.2">
      <c r="A135" s="135"/>
      <c r="B135" s="89"/>
      <c r="C135" s="444"/>
      <c r="D135" s="135"/>
      <c r="E135" s="89"/>
      <c r="F135" s="89"/>
      <c r="G135" s="452" t="s">
        <v>935</v>
      </c>
      <c r="H135" s="135"/>
      <c r="I135" s="432">
        <v>8</v>
      </c>
      <c r="J135" s="135"/>
      <c r="K135" s="135"/>
    </row>
    <row r="136" spans="1:11" s="420" customFormat="1" ht="13.5" thickBot="1" x14ac:dyDescent="0.25">
      <c r="A136" s="135"/>
      <c r="B136" s="89"/>
      <c r="C136" s="135"/>
      <c r="D136" s="135"/>
      <c r="E136" s="89"/>
      <c r="F136" s="89"/>
      <c r="G136" s="425"/>
      <c r="H136" s="429"/>
      <c r="I136" s="439"/>
      <c r="J136" s="439" t="s">
        <v>934</v>
      </c>
      <c r="K136" s="439"/>
    </row>
    <row r="137" spans="1:11" s="420" customFormat="1" x14ac:dyDescent="0.2">
      <c r="A137" s="135"/>
      <c r="B137" s="89"/>
      <c r="C137" s="423"/>
      <c r="D137" s="135"/>
      <c r="E137" s="89"/>
      <c r="F137" s="89"/>
      <c r="G137" s="427" t="s">
        <v>934</v>
      </c>
      <c r="H137" s="434"/>
      <c r="I137" s="423">
        <v>13</v>
      </c>
      <c r="J137" s="441" t="s">
        <v>648</v>
      </c>
      <c r="K137" s="89"/>
    </row>
    <row r="138" spans="1:11" s="420" customFormat="1" x14ac:dyDescent="0.2">
      <c r="A138" s="135"/>
      <c r="B138" s="89"/>
      <c r="C138" s="89"/>
      <c r="D138" s="89"/>
      <c r="E138" s="432"/>
      <c r="F138" s="89"/>
      <c r="G138" s="135"/>
      <c r="H138" s="135"/>
      <c r="I138" s="135"/>
      <c r="J138" s="89"/>
      <c r="K138" s="89"/>
    </row>
    <row r="139" spans="1:11" s="420" customFormat="1" ht="13.5" thickBot="1" x14ac:dyDescent="0.25">
      <c r="A139" s="135"/>
      <c r="B139" s="89"/>
      <c r="C139" s="432"/>
      <c r="D139" s="89"/>
      <c r="E139" s="89"/>
      <c r="F139" s="89"/>
      <c r="G139" s="89"/>
      <c r="H139" s="89"/>
      <c r="I139" s="135"/>
      <c r="J139" s="439" t="s">
        <v>935</v>
      </c>
      <c r="K139" s="439"/>
    </row>
    <row r="140" spans="1:11" s="420" customFormat="1" x14ac:dyDescent="0.2">
      <c r="A140" s="135"/>
      <c r="B140" s="89"/>
      <c r="C140" s="89"/>
      <c r="D140" s="89"/>
      <c r="E140" s="89"/>
      <c r="F140" s="135"/>
      <c r="G140" s="423"/>
      <c r="H140" s="135"/>
      <c r="I140" s="135"/>
      <c r="J140" s="63" t="s">
        <v>649</v>
      </c>
      <c r="K140" s="135"/>
    </row>
    <row r="141" spans="1:11" s="420" customFormat="1" x14ac:dyDescent="0.2">
      <c r="A141" s="135"/>
      <c r="B141" s="135"/>
      <c r="C141" s="135"/>
      <c r="D141" s="135"/>
      <c r="E141" s="685" t="s">
        <v>944</v>
      </c>
      <c r="F141" s="423"/>
      <c r="G141" s="423">
        <v>0</v>
      </c>
      <c r="H141" s="423"/>
      <c r="I141" s="423"/>
      <c r="J141" s="135"/>
      <c r="K141" s="135"/>
    </row>
    <row r="142" spans="1:11" s="420" customFormat="1" x14ac:dyDescent="0.2">
      <c r="A142" s="135"/>
      <c r="B142" s="135"/>
      <c r="C142" s="135"/>
      <c r="D142" s="135"/>
      <c r="E142" s="444"/>
      <c r="F142" s="445"/>
      <c r="G142" s="446" t="s">
        <v>939</v>
      </c>
      <c r="H142" s="423"/>
      <c r="I142" s="423">
        <v>13</v>
      </c>
      <c r="J142" s="135"/>
      <c r="K142" s="135"/>
    </row>
    <row r="143" spans="1:11" s="420" customFormat="1" x14ac:dyDescent="0.2">
      <c r="A143" s="135"/>
      <c r="B143" s="135"/>
      <c r="C143" s="135"/>
      <c r="D143" s="135"/>
      <c r="E143" s="446" t="s">
        <v>939</v>
      </c>
      <c r="F143" s="447"/>
      <c r="G143" s="423">
        <v>13</v>
      </c>
      <c r="H143" s="445"/>
      <c r="I143" s="423"/>
      <c r="J143" s="135"/>
      <c r="K143" s="135"/>
    </row>
    <row r="144" spans="1:11" s="420" customFormat="1" ht="13.5" thickBot="1" x14ac:dyDescent="0.25">
      <c r="A144" s="135"/>
      <c r="B144" s="135"/>
      <c r="C144" s="135"/>
      <c r="D144" s="135"/>
      <c r="E144" s="423"/>
      <c r="F144" s="423"/>
      <c r="G144" s="432"/>
      <c r="H144" s="448"/>
      <c r="I144" s="423"/>
      <c r="J144" s="135" t="s">
        <v>939</v>
      </c>
      <c r="K144" s="135"/>
    </row>
    <row r="145" spans="1:11" s="420" customFormat="1" x14ac:dyDescent="0.2">
      <c r="A145" s="135"/>
      <c r="B145" s="135"/>
      <c r="C145" s="135"/>
      <c r="D145" s="135"/>
      <c r="E145" s="686" t="s">
        <v>943</v>
      </c>
      <c r="F145" s="423"/>
      <c r="G145" s="423">
        <v>13</v>
      </c>
      <c r="H145" s="448"/>
      <c r="I145" s="449"/>
      <c r="J145" s="437" t="s">
        <v>650</v>
      </c>
      <c r="K145" s="438"/>
    </row>
    <row r="146" spans="1:11" s="420" customFormat="1" x14ac:dyDescent="0.2">
      <c r="A146" s="135"/>
      <c r="B146" s="135"/>
      <c r="C146" s="135"/>
      <c r="D146" s="135"/>
      <c r="E146" s="444"/>
      <c r="F146" s="445"/>
      <c r="G146" s="423" t="s">
        <v>943</v>
      </c>
      <c r="H146" s="447"/>
      <c r="I146" s="432">
        <v>10</v>
      </c>
      <c r="J146" s="135"/>
      <c r="K146" s="135"/>
    </row>
    <row r="147" spans="1:11" s="420" customFormat="1" ht="13.5" thickBot="1" x14ac:dyDescent="0.25">
      <c r="A147" s="135"/>
      <c r="B147" s="135"/>
      <c r="C147" s="135"/>
      <c r="D147" s="135"/>
      <c r="E147" s="446" t="s">
        <v>913</v>
      </c>
      <c r="F147" s="447"/>
      <c r="G147" s="444">
        <v>12</v>
      </c>
      <c r="H147" s="423"/>
      <c r="I147" s="432"/>
      <c r="J147" s="89" t="s">
        <v>943</v>
      </c>
      <c r="K147" s="439"/>
    </row>
    <row r="148" spans="1:11" s="420" customFormat="1" x14ac:dyDescent="0.2">
      <c r="A148" s="135"/>
      <c r="B148" s="135"/>
      <c r="C148" s="135"/>
      <c r="D148" s="135"/>
      <c r="E148" s="423"/>
      <c r="F148" s="423"/>
      <c r="G148" s="423"/>
      <c r="H148" s="423"/>
      <c r="I148" s="432"/>
      <c r="J148" s="437" t="s">
        <v>651</v>
      </c>
      <c r="K148" s="89"/>
    </row>
    <row r="149" spans="1:11" s="420" customFormat="1" x14ac:dyDescent="0.2">
      <c r="A149" s="135"/>
      <c r="B149" s="135"/>
      <c r="C149" s="135"/>
      <c r="D149" s="135"/>
      <c r="E149" s="423"/>
      <c r="F149" s="432"/>
      <c r="G149" s="423" t="s">
        <v>944</v>
      </c>
      <c r="H149" s="423"/>
      <c r="I149" s="432">
        <v>0</v>
      </c>
      <c r="J149" s="89"/>
      <c r="K149" s="89"/>
    </row>
    <row r="150" spans="1:11" s="420" customFormat="1" ht="13.5" thickBot="1" x14ac:dyDescent="0.25">
      <c r="A150" s="135"/>
      <c r="B150" s="135"/>
      <c r="C150" s="135"/>
      <c r="D150" s="135"/>
      <c r="E150" s="423"/>
      <c r="F150" s="432"/>
      <c r="G150" s="444"/>
      <c r="H150" s="445"/>
      <c r="I150" s="450"/>
      <c r="J150" s="439" t="s">
        <v>913</v>
      </c>
      <c r="K150" s="439"/>
    </row>
    <row r="151" spans="1:11" s="420" customFormat="1" x14ac:dyDescent="0.2">
      <c r="A151" s="135"/>
      <c r="B151" s="135"/>
      <c r="C151" s="135"/>
      <c r="D151" s="135"/>
      <c r="E151" s="423"/>
      <c r="F151" s="432"/>
      <c r="G151" s="446" t="s">
        <v>913</v>
      </c>
      <c r="H151" s="447"/>
      <c r="I151" s="423">
        <v>13</v>
      </c>
      <c r="J151" s="441" t="s">
        <v>652</v>
      </c>
      <c r="K151" s="89"/>
    </row>
    <row r="152" spans="1:11" s="420" customFormat="1" x14ac:dyDescent="0.2">
      <c r="A152" s="135"/>
      <c r="B152" s="135"/>
      <c r="C152" s="135"/>
      <c r="D152" s="135"/>
      <c r="E152" s="135"/>
      <c r="F152" s="89"/>
      <c r="G152" s="135"/>
      <c r="H152" s="135"/>
      <c r="I152" s="135"/>
      <c r="J152" s="89"/>
      <c r="K152" s="89"/>
    </row>
    <row r="153" spans="1:11" s="420" customFormat="1" ht="13.5" thickBot="1" x14ac:dyDescent="0.25">
      <c r="A153" s="135"/>
      <c r="B153" s="135"/>
      <c r="C153" s="135"/>
      <c r="D153" s="135"/>
      <c r="E153" s="135"/>
      <c r="F153" s="135"/>
      <c r="G153" s="89"/>
      <c r="H153" s="89"/>
      <c r="I153" s="135"/>
      <c r="J153" s="439" t="s">
        <v>944</v>
      </c>
      <c r="K153" s="439"/>
    </row>
    <row r="154" spans="1:11" s="420" customFormat="1" x14ac:dyDescent="0.2">
      <c r="A154" s="135"/>
      <c r="B154" s="135"/>
      <c r="C154" s="135"/>
      <c r="D154" s="135"/>
      <c r="E154" s="135"/>
      <c r="F154" s="135"/>
      <c r="G154" s="89"/>
      <c r="H154" s="89"/>
      <c r="I154" s="135"/>
      <c r="J154" s="63" t="s">
        <v>653</v>
      </c>
      <c r="K154" s="135"/>
    </row>
    <row r="155" spans="1:11" s="420" customFormat="1" x14ac:dyDescent="0.2">
      <c r="A155" s="324"/>
      <c r="B155" s="457"/>
      <c r="C155" s="327"/>
      <c r="D155" s="327"/>
      <c r="E155" s="327"/>
      <c r="F155" s="324"/>
      <c r="G155" s="459"/>
      <c r="H155" s="327"/>
      <c r="I155" s="327"/>
      <c r="J155" s="327"/>
      <c r="K155" s="327"/>
    </row>
    <row r="156" spans="1:11" x14ac:dyDescent="0.2">
      <c r="A156" s="60">
        <v>1</v>
      </c>
      <c r="B156" s="84" t="s">
        <v>940</v>
      </c>
      <c r="C156" s="95"/>
      <c r="D156" s="95"/>
      <c r="E156" s="95"/>
      <c r="F156" s="95"/>
      <c r="G156" s="95"/>
      <c r="H156" s="95"/>
      <c r="I156" s="95"/>
    </row>
    <row r="157" spans="1:11" x14ac:dyDescent="0.2">
      <c r="A157" s="60">
        <v>2</v>
      </c>
      <c r="B157" s="115" t="s">
        <v>816</v>
      </c>
      <c r="C157" s="95"/>
      <c r="D157" s="95"/>
      <c r="E157" s="95"/>
      <c r="F157" s="95"/>
      <c r="G157" s="95"/>
      <c r="H157" s="95"/>
      <c r="I157" s="95"/>
      <c r="J157" s="95"/>
    </row>
    <row r="158" spans="1:11" x14ac:dyDescent="0.2">
      <c r="A158" s="60">
        <v>3</v>
      </c>
      <c r="B158" s="92" t="s">
        <v>933</v>
      </c>
      <c r="C158" s="95"/>
      <c r="D158" s="95"/>
      <c r="E158" s="95"/>
      <c r="F158" s="95"/>
      <c r="G158" s="95"/>
      <c r="H158" s="95"/>
      <c r="I158" s="95"/>
      <c r="J158" s="95"/>
    </row>
    <row r="159" spans="1:11" x14ac:dyDescent="0.2">
      <c r="A159" s="60">
        <v>4</v>
      </c>
      <c r="B159" s="62" t="s">
        <v>936</v>
      </c>
      <c r="C159" s="95"/>
      <c r="D159" s="95"/>
      <c r="E159" s="95"/>
      <c r="F159" s="95"/>
      <c r="G159" s="95"/>
      <c r="H159" s="95"/>
      <c r="I159" s="95"/>
      <c r="J159" s="95"/>
    </row>
    <row r="160" spans="1:11" x14ac:dyDescent="0.2">
      <c r="A160" s="60">
        <v>5</v>
      </c>
      <c r="B160" s="62" t="s">
        <v>788</v>
      </c>
      <c r="C160" s="95"/>
      <c r="D160" s="95"/>
      <c r="E160" s="95"/>
      <c r="F160" s="95"/>
      <c r="G160" s="95"/>
      <c r="H160" s="95"/>
      <c r="I160" s="95"/>
      <c r="J160" s="95"/>
    </row>
    <row r="161" spans="1:10" x14ac:dyDescent="0.2">
      <c r="A161" s="60">
        <v>6</v>
      </c>
      <c r="B161" s="62" t="s">
        <v>932</v>
      </c>
      <c r="C161" s="95"/>
      <c r="D161" s="95"/>
      <c r="E161" s="95"/>
      <c r="F161" s="95"/>
      <c r="G161" s="95"/>
      <c r="H161" s="95"/>
      <c r="I161" s="95"/>
      <c r="J161" s="95"/>
    </row>
    <row r="162" spans="1:10" x14ac:dyDescent="0.2">
      <c r="A162" s="60">
        <v>7</v>
      </c>
      <c r="B162" s="96" t="s">
        <v>663</v>
      </c>
      <c r="C162" s="95"/>
      <c r="D162" s="95"/>
      <c r="E162" s="95"/>
      <c r="F162" s="95"/>
      <c r="G162" s="95"/>
      <c r="H162" s="95"/>
      <c r="I162" s="95"/>
      <c r="J162" s="95"/>
    </row>
    <row r="163" spans="1:10" x14ac:dyDescent="0.2">
      <c r="A163" s="60">
        <v>8</v>
      </c>
      <c r="B163" s="98" t="s">
        <v>656</v>
      </c>
      <c r="C163" s="95"/>
      <c r="D163" s="95"/>
      <c r="E163" s="95"/>
      <c r="F163" s="95"/>
      <c r="G163" s="95"/>
      <c r="H163" s="95"/>
      <c r="I163" s="95"/>
      <c r="J163" s="95"/>
    </row>
    <row r="164" spans="1:10" x14ac:dyDescent="0.2">
      <c r="A164" s="60">
        <v>9</v>
      </c>
      <c r="B164" s="69" t="s">
        <v>942</v>
      </c>
      <c r="C164" s="95"/>
      <c r="D164" s="95"/>
      <c r="E164" s="95"/>
      <c r="F164" s="95"/>
      <c r="G164" s="95"/>
      <c r="H164" s="95"/>
      <c r="I164" s="95"/>
      <c r="J164" s="95"/>
    </row>
    <row r="165" spans="1:10" x14ac:dyDescent="0.2">
      <c r="A165" s="60">
        <v>10</v>
      </c>
      <c r="B165" s="98" t="s">
        <v>937</v>
      </c>
    </row>
    <row r="166" spans="1:10" x14ac:dyDescent="0.2">
      <c r="A166" s="60">
        <v>11</v>
      </c>
      <c r="B166" s="62" t="s">
        <v>792</v>
      </c>
    </row>
    <row r="167" spans="1:10" x14ac:dyDescent="0.2">
      <c r="A167" s="60">
        <v>12</v>
      </c>
      <c r="B167" s="62" t="s">
        <v>941</v>
      </c>
    </row>
    <row r="168" spans="1:10" x14ac:dyDescent="0.2">
      <c r="A168" s="60">
        <v>13</v>
      </c>
      <c r="B168" s="96" t="s">
        <v>668</v>
      </c>
    </row>
    <row r="169" spans="1:10" x14ac:dyDescent="0.2">
      <c r="A169" s="60">
        <v>14</v>
      </c>
      <c r="B169" s="98" t="s">
        <v>938</v>
      </c>
    </row>
    <row r="170" spans="1:10" x14ac:dyDescent="0.2">
      <c r="A170" s="60">
        <v>15</v>
      </c>
      <c r="B170" s="122" t="s">
        <v>934</v>
      </c>
    </row>
    <row r="171" spans="1:10" x14ac:dyDescent="0.2">
      <c r="A171" s="60">
        <v>16</v>
      </c>
      <c r="B171" s="98" t="s">
        <v>935</v>
      </c>
    </row>
    <row r="172" spans="1:10" x14ac:dyDescent="0.2">
      <c r="A172" s="60">
        <v>17</v>
      </c>
      <c r="B172" s="62" t="s">
        <v>939</v>
      </c>
    </row>
    <row r="173" spans="1:10" x14ac:dyDescent="0.2">
      <c r="A173" s="60">
        <v>18</v>
      </c>
      <c r="B173" s="62" t="s">
        <v>943</v>
      </c>
    </row>
    <row r="174" spans="1:10" x14ac:dyDescent="0.2">
      <c r="A174" s="60">
        <v>19</v>
      </c>
      <c r="B174" s="96" t="s">
        <v>913</v>
      </c>
    </row>
    <row r="175" spans="1:10" x14ac:dyDescent="0.2">
      <c r="A175" s="60">
        <v>20</v>
      </c>
      <c r="B175" s="98" t="s">
        <v>944</v>
      </c>
    </row>
  </sheetData>
  <conditionalFormatting sqref="G7:G10">
    <cfRule type="duplicateValues" dxfId="120" priority="2"/>
    <cfRule type="duplicateValues" dxfId="119" priority="33"/>
    <cfRule type="cellIs" dxfId="118" priority="34" operator="equal">
      <formula>13</formula>
    </cfRule>
  </conditionalFormatting>
  <conditionalFormatting sqref="G13:G16">
    <cfRule type="duplicateValues" dxfId="117" priority="3"/>
    <cfRule type="duplicateValues" dxfId="116" priority="31"/>
    <cfRule type="cellIs" dxfId="115" priority="32" operator="equal">
      <formula>13</formula>
    </cfRule>
  </conditionalFormatting>
  <conditionalFormatting sqref="G19:G22">
    <cfRule type="duplicateValues" dxfId="114" priority="4"/>
    <cfRule type="duplicateValues" dxfId="113" priority="29"/>
    <cfRule type="cellIs" dxfId="112" priority="30" operator="equal">
      <formula>13</formula>
    </cfRule>
  </conditionalFormatting>
  <conditionalFormatting sqref="G25:G28">
    <cfRule type="duplicateValues" dxfId="111" priority="5"/>
    <cfRule type="duplicateValues" dxfId="110" priority="27"/>
    <cfRule type="cellIs" dxfId="109" priority="28" operator="equal">
      <formula>13</formula>
    </cfRule>
  </conditionalFormatting>
  <conditionalFormatting sqref="G31:G34">
    <cfRule type="duplicateValues" dxfId="108" priority="6"/>
    <cfRule type="duplicateValues" dxfId="107" priority="25"/>
    <cfRule type="cellIs" dxfId="106" priority="26" operator="equal">
      <formula>13</formula>
    </cfRule>
  </conditionalFormatting>
  <conditionalFormatting sqref="C7:F41 C155:E155">
    <cfRule type="cellIs" dxfId="105" priority="8" operator="equal">
      <formula>13</formula>
    </cfRule>
  </conditionalFormatting>
  <conditionalFormatting sqref="C44:K44 E141:E151 D141:D152 C45:C152 D45:J46 D47:E140 F47:I151">
    <cfRule type="cellIs" dxfId="104" priority="1" operator="equal">
      <formula>13</formula>
    </cfRule>
  </conditionalFormatting>
  <conditionalFormatting sqref="G37:G41">
    <cfRule type="duplicateValues" dxfId="103" priority="13356"/>
  </conditionalFormatting>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4" manualBreakCount="4">
    <brk id="40" max="16383" man="1"/>
    <brk id="78" max="16383" man="1"/>
    <brk id="116" max="16383" man="1"/>
    <brk id="15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showRowColHeaders="0" zoomScaleNormal="100" workbookViewId="0">
      <pane ySplit="2" topLeftCell="A3" activePane="bottomLeft" state="frozen"/>
      <selection pane="bottomLeft" activeCell="H1" sqref="H1"/>
    </sheetView>
  </sheetViews>
  <sheetFormatPr defaultRowHeight="12.75" x14ac:dyDescent="0.2"/>
  <cols>
    <col min="1" max="1" width="3.28515625" style="206" customWidth="1"/>
    <col min="2" max="2" width="56.140625" style="206" bestFit="1" customWidth="1"/>
    <col min="3" max="3" width="7.28515625" style="206" bestFit="1" customWidth="1"/>
    <col min="4" max="4" width="7.42578125" style="206" bestFit="1" customWidth="1"/>
    <col min="5" max="5" width="9.140625" style="206"/>
    <col min="6" max="6" width="6.7109375" style="206" bestFit="1" customWidth="1"/>
    <col min="7" max="7" width="5.140625" style="206" bestFit="1" customWidth="1"/>
    <col min="8" max="8" width="4.7109375" style="206" customWidth="1"/>
    <col min="9" max="9" width="3.7109375" style="206" customWidth="1"/>
    <col min="10" max="16384" width="9.140625" style="206"/>
  </cols>
  <sheetData>
    <row r="1" spans="1:7" x14ac:dyDescent="0.2">
      <c r="A1" s="117" t="str">
        <f>UPPER((Kalend!E20)&amp;" - "&amp;(Kalend!C20)&amp;" - "&amp;(Kalend!D20))</f>
        <v>8 - EESTI REITINGUVÕISTLUS - TRIO</v>
      </c>
      <c r="F1" s="85" t="str">
        <f>HYPERLINK("#Üldreiting!I1","Reiting")</f>
        <v>Reiting</v>
      </c>
    </row>
    <row r="2" spans="1:7" x14ac:dyDescent="0.2">
      <c r="A2" s="116" t="str">
        <f>"Toimumisaeg: "&amp;(Kalend!A20)&amp;" kell "&amp;(Kalend!B20)</f>
        <v>Toimumisaeg: P, 06.08.2017 kell 10:00</v>
      </c>
    </row>
    <row r="3" spans="1:7" x14ac:dyDescent="0.2">
      <c r="A3" s="116" t="str">
        <f>"Toimumiskoht: "&amp;(Kalend!H20)</f>
        <v>Toimumiskoht: Jüri, Laste 3</v>
      </c>
    </row>
    <row r="4" spans="1:7" x14ac:dyDescent="0.2">
      <c r="A4" s="116" t="str">
        <f>"Korraldaja: "&amp;(Kalend!I20)</f>
        <v>Korraldaja: SK Maestro Petanque</v>
      </c>
    </row>
    <row r="5" spans="1:7" s="135" customFormat="1" x14ac:dyDescent="0.2"/>
    <row r="6" spans="1:7" x14ac:dyDescent="0.2">
      <c r="A6" s="317" t="s">
        <v>402</v>
      </c>
      <c r="B6" s="318"/>
      <c r="C6" s="319" t="s">
        <v>403</v>
      </c>
      <c r="D6" s="319" t="s">
        <v>404</v>
      </c>
      <c r="E6" s="319" t="s">
        <v>405</v>
      </c>
      <c r="F6" s="319" t="s">
        <v>406</v>
      </c>
      <c r="G6" s="319" t="s">
        <v>26</v>
      </c>
    </row>
    <row r="7" spans="1:7" x14ac:dyDescent="0.2">
      <c r="A7" s="320">
        <v>1</v>
      </c>
      <c r="B7" s="348" t="s">
        <v>673</v>
      </c>
      <c r="C7" s="321">
        <v>10</v>
      </c>
      <c r="D7" s="321"/>
      <c r="E7" s="321">
        <v>9</v>
      </c>
      <c r="F7" s="321"/>
      <c r="G7" s="352" t="s">
        <v>608</v>
      </c>
    </row>
    <row r="8" spans="1:7" x14ac:dyDescent="0.2">
      <c r="A8" s="320">
        <v>2</v>
      </c>
      <c r="B8" s="348" t="s">
        <v>876</v>
      </c>
      <c r="C8" s="321">
        <v>13</v>
      </c>
      <c r="D8" s="321">
        <v>13</v>
      </c>
      <c r="E8" s="321"/>
      <c r="F8" s="321"/>
      <c r="G8" s="352" t="s">
        <v>586</v>
      </c>
    </row>
    <row r="9" spans="1:7" x14ac:dyDescent="0.2">
      <c r="A9" s="320">
        <v>3</v>
      </c>
      <c r="B9" s="348" t="s">
        <v>877</v>
      </c>
      <c r="C9" s="321">
        <v>11</v>
      </c>
      <c r="D9" s="321"/>
      <c r="E9" s="321">
        <v>13</v>
      </c>
      <c r="F9" s="321">
        <v>13</v>
      </c>
      <c r="G9" s="352" t="s">
        <v>587</v>
      </c>
    </row>
    <row r="10" spans="1:7" x14ac:dyDescent="0.2">
      <c r="A10" s="320">
        <v>4</v>
      </c>
      <c r="B10" s="454" t="s">
        <v>878</v>
      </c>
      <c r="C10" s="321">
        <v>13</v>
      </c>
      <c r="D10" s="321">
        <v>5</v>
      </c>
      <c r="E10" s="321"/>
      <c r="F10" s="321">
        <v>12</v>
      </c>
      <c r="G10" s="352" t="s">
        <v>588</v>
      </c>
    </row>
    <row r="11" spans="1:7" x14ac:dyDescent="0.2">
      <c r="A11" s="324"/>
      <c r="B11" s="325"/>
      <c r="C11" s="326"/>
      <c r="D11" s="326"/>
      <c r="E11" s="326"/>
      <c r="F11" s="327"/>
      <c r="G11" s="328"/>
    </row>
    <row r="12" spans="1:7" x14ac:dyDescent="0.2">
      <c r="A12" s="317" t="s">
        <v>407</v>
      </c>
      <c r="B12" s="318"/>
      <c r="C12" s="319" t="s">
        <v>403</v>
      </c>
      <c r="D12" s="319" t="s">
        <v>404</v>
      </c>
      <c r="E12" s="319" t="s">
        <v>405</v>
      </c>
      <c r="F12" s="319" t="s">
        <v>406</v>
      </c>
      <c r="G12" s="319" t="s">
        <v>26</v>
      </c>
    </row>
    <row r="13" spans="1:7" x14ac:dyDescent="0.2">
      <c r="A13" s="320">
        <v>1</v>
      </c>
      <c r="B13" s="348" t="s">
        <v>930</v>
      </c>
      <c r="C13" s="321">
        <v>8</v>
      </c>
      <c r="D13" s="321"/>
      <c r="E13" s="321">
        <v>13</v>
      </c>
      <c r="F13" s="321">
        <v>11</v>
      </c>
      <c r="G13" s="352" t="s">
        <v>588</v>
      </c>
    </row>
    <row r="14" spans="1:7" x14ac:dyDescent="0.2">
      <c r="A14" s="320">
        <v>2</v>
      </c>
      <c r="B14" s="348" t="s">
        <v>879</v>
      </c>
      <c r="C14" s="321">
        <v>9</v>
      </c>
      <c r="D14" s="321"/>
      <c r="E14" s="321">
        <v>12</v>
      </c>
      <c r="F14" s="321"/>
      <c r="G14" s="352" t="s">
        <v>608</v>
      </c>
    </row>
    <row r="15" spans="1:7" x14ac:dyDescent="0.2">
      <c r="A15" s="320">
        <v>3</v>
      </c>
      <c r="B15" s="348" t="s">
        <v>680</v>
      </c>
      <c r="C15" s="321">
        <v>13</v>
      </c>
      <c r="D15" s="321">
        <v>13</v>
      </c>
      <c r="E15" s="321"/>
      <c r="F15" s="321"/>
      <c r="G15" s="352" t="s">
        <v>586</v>
      </c>
    </row>
    <row r="16" spans="1:7" x14ac:dyDescent="0.2">
      <c r="A16" s="320">
        <v>4</v>
      </c>
      <c r="B16" s="98" t="s">
        <v>880</v>
      </c>
      <c r="C16" s="321">
        <v>13</v>
      </c>
      <c r="D16" s="321">
        <v>10</v>
      </c>
      <c r="E16" s="321"/>
      <c r="F16" s="321">
        <v>13</v>
      </c>
      <c r="G16" s="352" t="s">
        <v>587</v>
      </c>
    </row>
    <row r="18" spans="1:10" x14ac:dyDescent="0.2">
      <c r="A18" s="442" t="s">
        <v>644</v>
      </c>
      <c r="B18" s="135"/>
      <c r="C18" s="135"/>
      <c r="D18" s="135"/>
      <c r="E18" s="135"/>
      <c r="F18" s="135"/>
      <c r="G18" s="135"/>
      <c r="H18" s="135"/>
      <c r="I18" s="89"/>
      <c r="J18" s="89"/>
    </row>
    <row r="19" spans="1:10" x14ac:dyDescent="0.2">
      <c r="A19" s="442"/>
      <c r="B19" s="135"/>
      <c r="C19" s="135"/>
      <c r="D19" s="135"/>
      <c r="E19" s="135"/>
      <c r="F19" s="135"/>
      <c r="G19" s="135"/>
      <c r="H19" s="135"/>
      <c r="I19" s="89"/>
      <c r="J19" s="89"/>
    </row>
    <row r="20" spans="1:10" x14ac:dyDescent="0.2">
      <c r="A20" s="63" t="s">
        <v>599</v>
      </c>
      <c r="B20" s="443" t="s">
        <v>880</v>
      </c>
      <c r="C20" s="423">
        <v>3</v>
      </c>
      <c r="D20" s="423"/>
      <c r="E20" s="423"/>
      <c r="F20" s="135"/>
    </row>
    <row r="21" spans="1:10" x14ac:dyDescent="0.2">
      <c r="A21" s="63"/>
      <c r="B21" s="445"/>
      <c r="C21" s="683" t="s">
        <v>876</v>
      </c>
      <c r="D21" s="423"/>
      <c r="E21" s="423">
        <v>13</v>
      </c>
      <c r="F21" s="135"/>
    </row>
    <row r="22" spans="1:10" x14ac:dyDescent="0.2">
      <c r="A22" s="63" t="s">
        <v>596</v>
      </c>
      <c r="B22" s="447" t="s">
        <v>876</v>
      </c>
      <c r="C22" s="423">
        <v>13</v>
      </c>
      <c r="D22" s="445"/>
      <c r="E22" s="423"/>
      <c r="F22" s="135"/>
    </row>
    <row r="23" spans="1:10" ht="13.5" thickBot="1" x14ac:dyDescent="0.25">
      <c r="A23" s="63"/>
      <c r="B23" s="423"/>
      <c r="C23" s="432"/>
      <c r="D23" s="448"/>
      <c r="E23" s="423"/>
      <c r="F23" s="135" t="s">
        <v>876</v>
      </c>
      <c r="G23" s="135"/>
    </row>
    <row r="24" spans="1:10" x14ac:dyDescent="0.2">
      <c r="A24" s="63" t="s">
        <v>589</v>
      </c>
      <c r="B24" s="423" t="s">
        <v>680</v>
      </c>
      <c r="C24" s="423">
        <v>13</v>
      </c>
      <c r="D24" s="448"/>
      <c r="E24" s="449"/>
      <c r="F24" s="437" t="s">
        <v>748</v>
      </c>
      <c r="G24" s="438"/>
    </row>
    <row r="25" spans="1:10" x14ac:dyDescent="0.2">
      <c r="A25" s="63"/>
      <c r="B25" s="445"/>
      <c r="C25" s="423" t="s">
        <v>680</v>
      </c>
      <c r="D25" s="447"/>
      <c r="E25" s="432">
        <v>5</v>
      </c>
      <c r="F25" s="135"/>
      <c r="G25" s="135"/>
    </row>
    <row r="26" spans="1:10" ht="13.5" thickBot="1" x14ac:dyDescent="0.25">
      <c r="A26" s="63" t="s">
        <v>601</v>
      </c>
      <c r="B26" s="447" t="s">
        <v>877</v>
      </c>
      <c r="C26" s="444">
        <v>11</v>
      </c>
      <c r="D26" s="423"/>
      <c r="E26" s="432"/>
      <c r="F26" s="89" t="s">
        <v>680</v>
      </c>
      <c r="G26" s="89"/>
    </row>
    <row r="27" spans="1:10" x14ac:dyDescent="0.2">
      <c r="A27" s="135"/>
      <c r="B27" s="423"/>
      <c r="C27" s="423"/>
      <c r="D27" s="423"/>
      <c r="E27" s="432"/>
      <c r="F27" s="437" t="s">
        <v>749</v>
      </c>
      <c r="G27" s="438"/>
    </row>
    <row r="28" spans="1:10" x14ac:dyDescent="0.2">
      <c r="A28" s="135"/>
      <c r="B28" s="423"/>
      <c r="C28" s="423" t="s">
        <v>880</v>
      </c>
      <c r="D28" s="423"/>
      <c r="E28" s="432">
        <v>13</v>
      </c>
      <c r="F28" s="89"/>
      <c r="G28" s="89"/>
    </row>
    <row r="29" spans="1:10" ht="13.5" thickBot="1" x14ac:dyDescent="0.25">
      <c r="A29" s="135"/>
      <c r="B29" s="423"/>
      <c r="C29" s="444"/>
      <c r="D29" s="445"/>
      <c r="E29" s="450"/>
      <c r="F29" s="439" t="s">
        <v>880</v>
      </c>
      <c r="G29" s="439"/>
    </row>
    <row r="30" spans="1:10" x14ac:dyDescent="0.2">
      <c r="A30" s="135"/>
      <c r="B30" s="423"/>
      <c r="C30" s="446" t="s">
        <v>877</v>
      </c>
      <c r="D30" s="447"/>
      <c r="E30" s="423">
        <v>2</v>
      </c>
      <c r="F30" s="441" t="s">
        <v>750</v>
      </c>
      <c r="G30" s="89"/>
    </row>
    <row r="31" spans="1:10" x14ac:dyDescent="0.2">
      <c r="A31" s="135"/>
      <c r="B31" s="135"/>
      <c r="C31" s="135"/>
      <c r="D31" s="135"/>
      <c r="E31" s="135"/>
      <c r="F31" s="89"/>
      <c r="G31" s="89"/>
    </row>
    <row r="32" spans="1:10" ht="13.5" thickBot="1" x14ac:dyDescent="0.25">
      <c r="A32" s="135"/>
      <c r="B32" s="63"/>
      <c r="C32" s="89"/>
      <c r="D32" s="89"/>
      <c r="E32" s="135"/>
      <c r="F32" s="439" t="s">
        <v>877</v>
      </c>
      <c r="G32" s="439"/>
    </row>
    <row r="33" spans="1:10" x14ac:dyDescent="0.2">
      <c r="A33" s="135"/>
      <c r="B33" s="63"/>
      <c r="C33" s="89"/>
      <c r="D33" s="89"/>
      <c r="E33" s="135"/>
      <c r="F33" s="441" t="s">
        <v>414</v>
      </c>
      <c r="G33" s="89"/>
    </row>
    <row r="34" spans="1:10" x14ac:dyDescent="0.2">
      <c r="A34" s="135"/>
      <c r="B34" s="135"/>
      <c r="C34" s="135"/>
      <c r="D34" s="63"/>
      <c r="E34" s="135"/>
      <c r="F34" s="89"/>
      <c r="G34" s="89"/>
      <c r="I34" s="135"/>
      <c r="J34" s="441"/>
    </row>
    <row r="35" spans="1:10" x14ac:dyDescent="0.2">
      <c r="A35" s="63" t="s">
        <v>736</v>
      </c>
      <c r="B35" s="685" t="s">
        <v>930</v>
      </c>
      <c r="C35" s="423">
        <v>12</v>
      </c>
      <c r="D35" s="423"/>
      <c r="E35" s="423"/>
      <c r="F35" s="135"/>
      <c r="I35" s="135"/>
      <c r="J35" s="441"/>
    </row>
    <row r="36" spans="1:10" x14ac:dyDescent="0.2">
      <c r="A36" s="63"/>
      <c r="B36" s="445"/>
      <c r="C36" s="683" t="s">
        <v>673</v>
      </c>
      <c r="D36" s="423"/>
      <c r="E36" s="423">
        <v>13</v>
      </c>
      <c r="F36" s="135"/>
      <c r="I36" s="135"/>
      <c r="J36" s="441"/>
    </row>
    <row r="37" spans="1:10" x14ac:dyDescent="0.2">
      <c r="A37" s="63" t="s">
        <v>881</v>
      </c>
      <c r="B37" s="447" t="s">
        <v>673</v>
      </c>
      <c r="C37" s="423">
        <v>13</v>
      </c>
      <c r="D37" s="445"/>
      <c r="E37" s="423"/>
      <c r="F37" s="135"/>
      <c r="I37" s="135"/>
      <c r="J37" s="441"/>
    </row>
    <row r="38" spans="1:10" ht="13.5" thickBot="1" x14ac:dyDescent="0.25">
      <c r="A38" s="63"/>
      <c r="B38" s="423"/>
      <c r="C38" s="432"/>
      <c r="D38" s="448"/>
      <c r="E38" s="423"/>
      <c r="F38" s="135" t="s">
        <v>673</v>
      </c>
      <c r="G38" s="135"/>
      <c r="I38" s="135"/>
      <c r="J38" s="441"/>
    </row>
    <row r="39" spans="1:10" x14ac:dyDescent="0.2">
      <c r="A39" s="63" t="s">
        <v>740</v>
      </c>
      <c r="B39" s="423" t="s">
        <v>878</v>
      </c>
      <c r="C39" s="423">
        <v>13</v>
      </c>
      <c r="D39" s="448"/>
      <c r="E39" s="449"/>
      <c r="F39" s="437" t="s">
        <v>415</v>
      </c>
      <c r="G39" s="438"/>
      <c r="I39" s="135"/>
      <c r="J39" s="441"/>
    </row>
    <row r="40" spans="1:10" x14ac:dyDescent="0.2">
      <c r="A40" s="63"/>
      <c r="B40" s="445"/>
      <c r="C40" s="423" t="s">
        <v>878</v>
      </c>
      <c r="D40" s="447"/>
      <c r="E40" s="432">
        <v>11</v>
      </c>
      <c r="F40" s="135"/>
      <c r="G40" s="135"/>
      <c r="I40" s="135"/>
      <c r="J40" s="441"/>
    </row>
    <row r="41" spans="1:10" ht="13.5" thickBot="1" x14ac:dyDescent="0.25">
      <c r="A41" s="63" t="s">
        <v>765</v>
      </c>
      <c r="B41" s="447" t="s">
        <v>879</v>
      </c>
      <c r="C41" s="444">
        <v>6</v>
      </c>
      <c r="D41" s="423"/>
      <c r="E41" s="432"/>
      <c r="F41" s="89" t="s">
        <v>878</v>
      </c>
      <c r="G41" s="89"/>
      <c r="I41" s="135"/>
      <c r="J41" s="441"/>
    </row>
    <row r="42" spans="1:10" x14ac:dyDescent="0.2">
      <c r="A42" s="135"/>
      <c r="B42" s="423"/>
      <c r="C42" s="423"/>
      <c r="D42" s="423"/>
      <c r="E42" s="432"/>
      <c r="F42" s="437" t="s">
        <v>416</v>
      </c>
      <c r="G42" s="438"/>
      <c r="I42" s="135"/>
      <c r="J42" s="441"/>
    </row>
    <row r="43" spans="1:10" x14ac:dyDescent="0.2">
      <c r="A43" s="135"/>
      <c r="B43" s="423"/>
      <c r="C43" s="423" t="s">
        <v>930</v>
      </c>
      <c r="D43" s="423"/>
      <c r="E43" s="432">
        <v>13</v>
      </c>
      <c r="F43" s="89"/>
      <c r="G43" s="89"/>
      <c r="I43" s="135"/>
      <c r="J43" s="441"/>
    </row>
    <row r="44" spans="1:10" ht="13.5" thickBot="1" x14ac:dyDescent="0.25">
      <c r="A44" s="135"/>
      <c r="B44" s="423"/>
      <c r="C44" s="444"/>
      <c r="D44" s="445"/>
      <c r="E44" s="450"/>
      <c r="F44" s="710" t="s">
        <v>930</v>
      </c>
      <c r="G44" s="439"/>
      <c r="I44" s="135"/>
      <c r="J44" s="441"/>
    </row>
    <row r="45" spans="1:10" x14ac:dyDescent="0.2">
      <c r="A45" s="135"/>
      <c r="B45" s="423"/>
      <c r="C45" s="446" t="s">
        <v>879</v>
      </c>
      <c r="D45" s="447"/>
      <c r="E45" s="423">
        <v>12</v>
      </c>
      <c r="F45" s="441" t="s">
        <v>417</v>
      </c>
      <c r="G45" s="89"/>
      <c r="I45" s="135"/>
      <c r="J45" s="441"/>
    </row>
    <row r="46" spans="1:10" x14ac:dyDescent="0.2">
      <c r="A46" s="135"/>
      <c r="B46" s="135"/>
      <c r="C46" s="135"/>
      <c r="D46" s="135"/>
      <c r="E46" s="135"/>
      <c r="F46" s="89"/>
      <c r="G46" s="89"/>
      <c r="I46" s="135"/>
      <c r="J46" s="441"/>
    </row>
    <row r="47" spans="1:10" ht="13.5" thickBot="1" x14ac:dyDescent="0.25">
      <c r="A47" s="135"/>
      <c r="B47" s="63"/>
      <c r="C47" s="89"/>
      <c r="D47" s="89"/>
      <c r="E47" s="135"/>
      <c r="F47" s="439" t="s">
        <v>879</v>
      </c>
      <c r="G47" s="439"/>
      <c r="I47" s="135"/>
      <c r="J47" s="441"/>
    </row>
    <row r="48" spans="1:10" x14ac:dyDescent="0.2">
      <c r="A48" s="135"/>
      <c r="B48" s="63"/>
      <c r="C48" s="89"/>
      <c r="D48" s="89"/>
      <c r="E48" s="135"/>
      <c r="F48" s="441" t="s">
        <v>418</v>
      </c>
      <c r="G48" s="89"/>
      <c r="I48" s="135"/>
      <c r="J48" s="441"/>
    </row>
    <row r="49" spans="1:10" x14ac:dyDescent="0.2">
      <c r="A49" s="135"/>
      <c r="B49" s="135"/>
      <c r="C49" s="135"/>
      <c r="D49" s="135"/>
      <c r="E49" s="63"/>
      <c r="F49" s="135"/>
      <c r="G49" s="89"/>
      <c r="H49" s="89"/>
      <c r="I49" s="135"/>
      <c r="J49" s="441"/>
    </row>
    <row r="50" spans="1:10" x14ac:dyDescent="0.2">
      <c r="A50" s="66">
        <v>1</v>
      </c>
      <c r="B50" s="67" t="s">
        <v>876</v>
      </c>
      <c r="C50" s="121"/>
      <c r="D50" s="121"/>
      <c r="E50" s="121"/>
      <c r="F50" s="121"/>
      <c r="G50" s="121"/>
      <c r="H50" s="121"/>
      <c r="I50" s="121"/>
      <c r="J50" s="121"/>
    </row>
    <row r="51" spans="1:10" x14ac:dyDescent="0.2">
      <c r="A51" s="66">
        <v>2</v>
      </c>
      <c r="B51" s="127" t="s">
        <v>680</v>
      </c>
      <c r="C51" s="121"/>
      <c r="D51" s="121"/>
      <c r="E51" s="121"/>
      <c r="F51" s="121"/>
      <c r="G51" s="121"/>
      <c r="H51" s="121"/>
      <c r="I51" s="121"/>
      <c r="J51" s="121"/>
    </row>
    <row r="52" spans="1:10" x14ac:dyDescent="0.2">
      <c r="A52" s="66">
        <v>3</v>
      </c>
      <c r="B52" s="128" t="s">
        <v>880</v>
      </c>
      <c r="C52" s="121"/>
      <c r="D52" s="121"/>
      <c r="E52" s="121"/>
      <c r="F52" s="121"/>
      <c r="G52" s="121"/>
      <c r="H52" s="121"/>
      <c r="I52" s="121"/>
      <c r="J52" s="121"/>
    </row>
    <row r="53" spans="1:10" x14ac:dyDescent="0.2">
      <c r="A53" s="66">
        <v>4</v>
      </c>
      <c r="B53" s="365" t="s">
        <v>877</v>
      </c>
      <c r="C53" s="121"/>
      <c r="D53" s="121"/>
      <c r="E53" s="121"/>
      <c r="F53" s="121"/>
      <c r="G53" s="121"/>
      <c r="H53" s="121"/>
      <c r="I53" s="121"/>
      <c r="J53" s="121"/>
    </row>
    <row r="54" spans="1:10" x14ac:dyDescent="0.2">
      <c r="A54" s="66">
        <v>5</v>
      </c>
      <c r="B54" s="124" t="s">
        <v>673</v>
      </c>
      <c r="C54" s="121"/>
      <c r="D54" s="121"/>
      <c r="E54" s="121"/>
      <c r="F54" s="121"/>
      <c r="G54" s="121"/>
      <c r="H54" s="121"/>
      <c r="I54" s="121"/>
      <c r="J54" s="121"/>
    </row>
    <row r="55" spans="1:10" x14ac:dyDescent="0.2">
      <c r="A55" s="66">
        <v>6</v>
      </c>
      <c r="B55" s="124" t="s">
        <v>878</v>
      </c>
      <c r="C55" s="121"/>
      <c r="D55" s="121"/>
      <c r="E55" s="121"/>
      <c r="F55" s="121"/>
      <c r="G55" s="121"/>
      <c r="H55" s="121"/>
      <c r="I55" s="121"/>
      <c r="J55" s="121"/>
    </row>
    <row r="56" spans="1:10" x14ac:dyDescent="0.2">
      <c r="A56" s="66">
        <v>7</v>
      </c>
      <c r="B56" s="365" t="s">
        <v>930</v>
      </c>
      <c r="C56" s="121"/>
      <c r="D56" s="121"/>
      <c r="E56" s="121"/>
      <c r="F56" s="121"/>
      <c r="G56" s="121"/>
      <c r="H56" s="121"/>
      <c r="I56" s="121"/>
      <c r="J56" s="121"/>
    </row>
    <row r="57" spans="1:10" x14ac:dyDescent="0.2">
      <c r="A57" s="66">
        <v>8</v>
      </c>
      <c r="B57" s="124" t="s">
        <v>879</v>
      </c>
      <c r="C57" s="121"/>
      <c r="D57" s="121"/>
      <c r="E57" s="121"/>
      <c r="F57" s="121"/>
      <c r="G57" s="121"/>
      <c r="H57" s="121"/>
      <c r="I57" s="121"/>
      <c r="J57" s="121"/>
    </row>
  </sheetData>
  <conditionalFormatting sqref="C7:I17 C49:I49 I34 C34:G34">
    <cfRule type="cellIs" dxfId="102" priority="4" operator="equal">
      <formula>13</formula>
    </cfRule>
  </conditionalFormatting>
  <conditionalFormatting sqref="C18:I19 I35:I48 B20:E33">
    <cfRule type="cellIs" dxfId="101" priority="2" operator="equal">
      <formula>13</formula>
    </cfRule>
  </conditionalFormatting>
  <conditionalFormatting sqref="B35:E48">
    <cfRule type="cellIs" dxfId="100" priority="1" operator="equal">
      <formula>13</formula>
    </cfRule>
  </conditionalFormatting>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1" manualBreakCount="1">
    <brk id="3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3"/>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customWidth="1"/>
    <col min="2" max="2" width="50.7109375" customWidth="1"/>
    <col min="3" max="3" width="6.7109375" customWidth="1"/>
    <col min="4" max="4" width="7.42578125" bestFit="1" customWidth="1"/>
    <col min="6" max="6" width="6.7109375" bestFit="1" customWidth="1"/>
    <col min="7" max="7" width="5.140625" bestFit="1" customWidth="1"/>
    <col min="8" max="9" width="8.28515625" customWidth="1"/>
    <col min="10" max="12" width="9.140625" customWidth="1"/>
    <col min="14" max="15" width="1.7109375" customWidth="1"/>
  </cols>
  <sheetData>
    <row r="1" spans="1:7" x14ac:dyDescent="0.2">
      <c r="A1" s="117" t="str">
        <f>UPPER((Kalend!E21)&amp;" - "&amp;(Kalend!C21)&amp;" - "&amp;(Kalend!D21))</f>
        <v>9 - 12. EESTI MV - SEGATRIO</v>
      </c>
      <c r="E1" s="85" t="str">
        <f>HYPERLINK("#Üldreiting!I1","Reiting")</f>
        <v>Reiting</v>
      </c>
      <c r="F1" s="206"/>
      <c r="G1" s="206"/>
    </row>
    <row r="2" spans="1:7" x14ac:dyDescent="0.2">
      <c r="A2" s="116" t="str">
        <f>"Toimumisaeg: "&amp;(Kalend!A21)&amp;" kell "&amp;(Kalend!B21)</f>
        <v>Toimumisaeg: L, 19.08.2017 kell 10:30</v>
      </c>
    </row>
    <row r="3" spans="1:7" x14ac:dyDescent="0.2">
      <c r="A3" s="116" t="str">
        <f>"Toimumiskoht: "&amp;(Kalend!H21)</f>
        <v>Toimumiskoht: Kohtla-Järve, Järveküla tee 44</v>
      </c>
    </row>
    <row r="4" spans="1:7" x14ac:dyDescent="0.2">
      <c r="A4" s="116" t="str">
        <f>"Korraldaja: "&amp;(Kalend!I21)</f>
        <v>Korraldaja: Kohtla-Järve SHK, Ivar Viljaste</v>
      </c>
    </row>
    <row r="6" spans="1:7" s="206" customFormat="1" x14ac:dyDescent="0.2">
      <c r="A6" s="678" t="s">
        <v>402</v>
      </c>
      <c r="B6" s="679"/>
      <c r="C6" s="680" t="s">
        <v>728</v>
      </c>
      <c r="D6" s="630" t="s">
        <v>404</v>
      </c>
      <c r="E6" s="630" t="s">
        <v>405</v>
      </c>
      <c r="F6" s="680" t="s">
        <v>406</v>
      </c>
      <c r="G6" s="680" t="s">
        <v>26</v>
      </c>
    </row>
    <row r="7" spans="1:7" s="206" customFormat="1" x14ac:dyDescent="0.2">
      <c r="A7" s="630">
        <v>1</v>
      </c>
      <c r="B7" s="453" t="s">
        <v>879</v>
      </c>
      <c r="C7" s="321">
        <v>13</v>
      </c>
      <c r="D7" s="321">
        <v>13</v>
      </c>
      <c r="E7" s="321"/>
      <c r="F7" s="321"/>
      <c r="G7" s="353" t="s">
        <v>586</v>
      </c>
    </row>
    <row r="8" spans="1:7" s="206" customFormat="1" x14ac:dyDescent="0.2">
      <c r="A8" s="630">
        <v>2</v>
      </c>
      <c r="B8" s="360" t="s">
        <v>883</v>
      </c>
      <c r="C8" s="321">
        <v>13</v>
      </c>
      <c r="D8" s="321">
        <v>8</v>
      </c>
      <c r="E8" s="321"/>
      <c r="F8" s="321">
        <v>4</v>
      </c>
      <c r="G8" s="353" t="s">
        <v>588</v>
      </c>
    </row>
    <row r="9" spans="1:7" s="206" customFormat="1" x14ac:dyDescent="0.2">
      <c r="A9" s="630">
        <v>3</v>
      </c>
      <c r="B9" s="360" t="s">
        <v>884</v>
      </c>
      <c r="C9" s="321">
        <v>5</v>
      </c>
      <c r="D9" s="321"/>
      <c r="E9" s="321">
        <v>13</v>
      </c>
      <c r="F9" s="321">
        <v>13</v>
      </c>
      <c r="G9" s="353" t="s">
        <v>587</v>
      </c>
    </row>
    <row r="10" spans="1:7" s="206" customFormat="1" x14ac:dyDescent="0.2">
      <c r="A10" s="630">
        <v>4</v>
      </c>
      <c r="B10" s="355"/>
      <c r="C10" s="321">
        <v>0</v>
      </c>
      <c r="D10" s="321"/>
      <c r="E10" s="321">
        <v>0</v>
      </c>
      <c r="F10" s="321"/>
      <c r="G10" s="321"/>
    </row>
    <row r="11" spans="1:7" s="206" customFormat="1" x14ac:dyDescent="0.2">
      <c r="A11" s="116"/>
    </row>
    <row r="12" spans="1:7" s="206" customFormat="1" x14ac:dyDescent="0.2">
      <c r="A12" s="678" t="s">
        <v>407</v>
      </c>
      <c r="B12" s="679"/>
      <c r="C12" s="680" t="s">
        <v>728</v>
      </c>
      <c r="D12" s="630" t="s">
        <v>404</v>
      </c>
      <c r="E12" s="630" t="s">
        <v>405</v>
      </c>
      <c r="F12" s="680" t="s">
        <v>406</v>
      </c>
      <c r="G12" s="680" t="s">
        <v>26</v>
      </c>
    </row>
    <row r="13" spans="1:7" s="206" customFormat="1" x14ac:dyDescent="0.2">
      <c r="A13" s="630">
        <v>1</v>
      </c>
      <c r="B13" s="453" t="s">
        <v>931</v>
      </c>
      <c r="C13" s="321">
        <v>13</v>
      </c>
      <c r="D13" s="321">
        <v>7</v>
      </c>
      <c r="E13" s="321"/>
      <c r="F13" s="321">
        <v>4</v>
      </c>
      <c r="G13" s="353" t="s">
        <v>588</v>
      </c>
    </row>
    <row r="14" spans="1:7" s="206" customFormat="1" x14ac:dyDescent="0.2">
      <c r="A14" s="630">
        <v>2</v>
      </c>
      <c r="B14" t="s">
        <v>585</v>
      </c>
      <c r="C14" s="321">
        <v>13</v>
      </c>
      <c r="D14" s="321">
        <v>13</v>
      </c>
      <c r="E14" s="321"/>
      <c r="F14" s="321"/>
      <c r="G14" s="353" t="s">
        <v>586</v>
      </c>
    </row>
    <row r="15" spans="1:7" s="206" customFormat="1" x14ac:dyDescent="0.2">
      <c r="A15" s="630">
        <v>3</v>
      </c>
      <c r="B15" s="360" t="s">
        <v>885</v>
      </c>
      <c r="C15" s="321">
        <v>10</v>
      </c>
      <c r="D15" s="321"/>
      <c r="E15" s="321">
        <v>13</v>
      </c>
      <c r="F15" s="321">
        <v>13</v>
      </c>
      <c r="G15" s="353" t="s">
        <v>587</v>
      </c>
    </row>
    <row r="16" spans="1:7" s="206" customFormat="1" x14ac:dyDescent="0.2">
      <c r="A16" s="630">
        <v>4</v>
      </c>
      <c r="B16" s="355"/>
      <c r="C16" s="321">
        <v>0</v>
      </c>
      <c r="D16" s="321"/>
      <c r="E16" s="321">
        <v>0</v>
      </c>
      <c r="F16" s="321"/>
      <c r="G16" s="321"/>
    </row>
    <row r="17" spans="1:8" s="206" customFormat="1" x14ac:dyDescent="0.2">
      <c r="A17" s="116"/>
    </row>
    <row r="18" spans="1:8" s="206" customFormat="1" x14ac:dyDescent="0.2">
      <c r="A18" s="678" t="s">
        <v>408</v>
      </c>
      <c r="B18" s="679"/>
      <c r="C18" s="680" t="s">
        <v>728</v>
      </c>
      <c r="D18" s="630" t="s">
        <v>404</v>
      </c>
      <c r="E18" s="630" t="s">
        <v>405</v>
      </c>
      <c r="F18" s="680" t="s">
        <v>406</v>
      </c>
      <c r="G18" s="680" t="s">
        <v>26</v>
      </c>
    </row>
    <row r="19" spans="1:8" s="206" customFormat="1" x14ac:dyDescent="0.2">
      <c r="A19" s="630">
        <v>1</v>
      </c>
      <c r="B19" s="453" t="s">
        <v>673</v>
      </c>
      <c r="C19" s="321">
        <v>13</v>
      </c>
      <c r="D19" s="321">
        <v>13</v>
      </c>
      <c r="E19" s="321"/>
      <c r="F19" s="321"/>
      <c r="G19" s="353" t="s">
        <v>586</v>
      </c>
    </row>
    <row r="20" spans="1:8" s="206" customFormat="1" x14ac:dyDescent="0.2">
      <c r="A20" s="630">
        <v>2</v>
      </c>
      <c r="B20" s="25" t="s">
        <v>886</v>
      </c>
      <c r="C20" s="321">
        <v>13</v>
      </c>
      <c r="D20" s="321">
        <v>10</v>
      </c>
      <c r="E20" s="321"/>
      <c r="F20" s="321">
        <v>13</v>
      </c>
      <c r="G20" s="353" t="s">
        <v>587</v>
      </c>
    </row>
    <row r="21" spans="1:8" s="206" customFormat="1" x14ac:dyDescent="0.2">
      <c r="A21" s="630">
        <v>3</v>
      </c>
      <c r="B21" s="25" t="s">
        <v>887</v>
      </c>
      <c r="C21" s="321">
        <v>12</v>
      </c>
      <c r="D21" s="321"/>
      <c r="E21" s="321">
        <v>13</v>
      </c>
      <c r="F21" s="321">
        <v>5</v>
      </c>
      <c r="G21" s="353" t="s">
        <v>588</v>
      </c>
    </row>
    <row r="22" spans="1:8" s="206" customFormat="1" x14ac:dyDescent="0.2">
      <c r="A22" s="630">
        <v>4</v>
      </c>
      <c r="B22" s="355" t="s">
        <v>1014</v>
      </c>
      <c r="C22" s="321">
        <v>6</v>
      </c>
      <c r="D22" s="321"/>
      <c r="E22" s="321">
        <v>9</v>
      </c>
      <c r="F22" s="321"/>
      <c r="G22" s="353" t="s">
        <v>608</v>
      </c>
    </row>
    <row r="23" spans="1:8" s="206" customFormat="1" x14ac:dyDescent="0.2">
      <c r="A23" s="116"/>
    </row>
    <row r="24" spans="1:8" s="206" customFormat="1" x14ac:dyDescent="0.2">
      <c r="A24" s="421" t="s">
        <v>747</v>
      </c>
    </row>
    <row r="25" spans="1:8" s="206" customFormat="1" x14ac:dyDescent="0.2">
      <c r="A25" s="135"/>
      <c r="B25" s="135"/>
      <c r="C25" s="135"/>
      <c r="D25" s="135"/>
      <c r="E25" s="135"/>
      <c r="F25" s="135"/>
      <c r="G25" s="135"/>
      <c r="H25" s="135"/>
    </row>
    <row r="26" spans="1:8" s="206" customFormat="1" x14ac:dyDescent="0.2">
      <c r="A26" s="687" t="s">
        <v>596</v>
      </c>
      <c r="B26" s="135" t="s">
        <v>879</v>
      </c>
      <c r="C26" s="423">
        <v>13</v>
      </c>
      <c r="D26" s="135"/>
      <c r="E26" s="135"/>
      <c r="F26" s="135"/>
      <c r="G26" s="135"/>
      <c r="H26" s="135"/>
    </row>
    <row r="27" spans="1:8" s="206" customFormat="1" x14ac:dyDescent="0.2">
      <c r="A27" s="687"/>
      <c r="B27" s="429"/>
      <c r="C27" s="431" t="s">
        <v>879</v>
      </c>
      <c r="D27" s="135"/>
      <c r="E27" s="423">
        <v>13</v>
      </c>
      <c r="F27" s="135"/>
      <c r="G27" s="135"/>
      <c r="H27" s="135"/>
    </row>
    <row r="28" spans="1:8" s="206" customFormat="1" x14ac:dyDescent="0.2">
      <c r="A28" s="687" t="s">
        <v>597</v>
      </c>
      <c r="B28" s="434" t="s">
        <v>886</v>
      </c>
      <c r="C28" s="444">
        <v>8</v>
      </c>
      <c r="D28" s="429"/>
      <c r="E28" s="135"/>
      <c r="F28" s="135"/>
      <c r="G28" s="135"/>
      <c r="H28" s="135"/>
    </row>
    <row r="29" spans="1:8" s="206" customFormat="1" x14ac:dyDescent="0.2">
      <c r="A29" s="687"/>
      <c r="B29" s="135"/>
      <c r="C29" s="89"/>
      <c r="D29" s="430"/>
      <c r="E29" s="431" t="s">
        <v>879</v>
      </c>
      <c r="F29" s="135"/>
      <c r="G29" s="423">
        <v>10</v>
      </c>
      <c r="H29" s="135"/>
    </row>
    <row r="30" spans="1:8" s="206" customFormat="1" x14ac:dyDescent="0.2">
      <c r="A30" s="687" t="s">
        <v>589</v>
      </c>
      <c r="B30" s="135" t="s">
        <v>585</v>
      </c>
      <c r="C30" s="432">
        <v>13</v>
      </c>
      <c r="D30" s="430"/>
      <c r="E30" s="433"/>
      <c r="F30" s="429"/>
      <c r="G30" s="135"/>
      <c r="H30" s="135"/>
    </row>
    <row r="31" spans="1:8" s="206" customFormat="1" x14ac:dyDescent="0.2">
      <c r="A31" s="687"/>
      <c r="B31" s="429"/>
      <c r="C31" s="427" t="s">
        <v>585</v>
      </c>
      <c r="D31" s="434"/>
      <c r="E31" s="432">
        <v>11</v>
      </c>
      <c r="F31" s="430"/>
      <c r="G31" s="135"/>
      <c r="H31" s="135"/>
    </row>
    <row r="32" spans="1:8" s="206" customFormat="1" x14ac:dyDescent="0.2">
      <c r="A32" s="687"/>
      <c r="B32" s="704" t="s">
        <v>729</v>
      </c>
      <c r="C32" s="432">
        <v>0</v>
      </c>
      <c r="D32" s="135"/>
      <c r="E32" s="89"/>
      <c r="F32" s="430"/>
      <c r="G32" s="135"/>
      <c r="H32" s="135"/>
    </row>
    <row r="33" spans="1:9" s="206" customFormat="1" ht="13.5" thickBot="1" x14ac:dyDescent="0.25">
      <c r="A33" s="687"/>
      <c r="B33" s="135"/>
      <c r="C33" s="89"/>
      <c r="D33" s="89"/>
      <c r="E33" s="89"/>
      <c r="F33" s="430"/>
      <c r="G33" s="135"/>
      <c r="H33" s="135" t="s">
        <v>673</v>
      </c>
      <c r="I33" s="135"/>
    </row>
    <row r="34" spans="1:9" s="206" customFormat="1" x14ac:dyDescent="0.2">
      <c r="A34" s="687" t="s">
        <v>598</v>
      </c>
      <c r="B34" s="135" t="s">
        <v>673</v>
      </c>
      <c r="C34" s="423">
        <v>13</v>
      </c>
      <c r="D34" s="135"/>
      <c r="E34" s="135"/>
      <c r="F34" s="430"/>
      <c r="G34" s="438"/>
      <c r="H34" s="437" t="s">
        <v>748</v>
      </c>
      <c r="I34" s="438"/>
    </row>
    <row r="35" spans="1:9" s="206" customFormat="1" x14ac:dyDescent="0.2">
      <c r="A35" s="687"/>
      <c r="B35" s="429"/>
      <c r="C35" s="431" t="s">
        <v>673</v>
      </c>
      <c r="D35" s="135"/>
      <c r="E35" s="423">
        <v>13</v>
      </c>
      <c r="F35" s="430"/>
      <c r="G35" s="135"/>
      <c r="H35" s="135"/>
      <c r="I35" s="135"/>
    </row>
    <row r="36" spans="1:9" s="206" customFormat="1" ht="13.5" thickBot="1" x14ac:dyDescent="0.25">
      <c r="A36" s="687"/>
      <c r="B36" s="704" t="s">
        <v>729</v>
      </c>
      <c r="C36" s="444">
        <v>0</v>
      </c>
      <c r="D36" s="429"/>
      <c r="E36" s="135"/>
      <c r="F36" s="430"/>
      <c r="G36" s="135"/>
      <c r="H36" s="89" t="s">
        <v>879</v>
      </c>
      <c r="I36" s="89"/>
    </row>
    <row r="37" spans="1:9" s="206" customFormat="1" x14ac:dyDescent="0.2">
      <c r="A37" s="687"/>
      <c r="B37" s="135"/>
      <c r="C37" s="89"/>
      <c r="D37" s="430"/>
      <c r="E37" s="431" t="s">
        <v>673</v>
      </c>
      <c r="F37" s="434"/>
      <c r="G37" s="423">
        <v>13</v>
      </c>
      <c r="H37" s="437" t="s">
        <v>749</v>
      </c>
      <c r="I37" s="438"/>
    </row>
    <row r="38" spans="1:9" s="206" customFormat="1" x14ac:dyDescent="0.2">
      <c r="A38" s="687" t="s">
        <v>601</v>
      </c>
      <c r="B38" s="135" t="s">
        <v>884</v>
      </c>
      <c r="C38" s="432">
        <v>7</v>
      </c>
      <c r="D38" s="430"/>
      <c r="E38" s="433"/>
      <c r="F38" s="425"/>
      <c r="G38" s="135"/>
      <c r="H38" s="135"/>
      <c r="I38" s="135"/>
    </row>
    <row r="39" spans="1:9" s="206" customFormat="1" x14ac:dyDescent="0.2">
      <c r="A39" s="687"/>
      <c r="B39" s="429"/>
      <c r="C39" s="427" t="s">
        <v>885</v>
      </c>
      <c r="D39" s="434"/>
      <c r="E39" s="432">
        <v>12</v>
      </c>
      <c r="F39" s="89"/>
      <c r="G39" s="135"/>
      <c r="H39" s="135"/>
      <c r="I39" s="135"/>
    </row>
    <row r="40" spans="1:9" s="206" customFormat="1" x14ac:dyDescent="0.2">
      <c r="A40" s="687" t="s">
        <v>599</v>
      </c>
      <c r="B40" s="704" t="s">
        <v>885</v>
      </c>
      <c r="C40" s="432">
        <v>13</v>
      </c>
      <c r="D40" s="135"/>
      <c r="E40" s="89"/>
      <c r="F40" s="89"/>
      <c r="G40" s="135"/>
      <c r="H40" s="135"/>
      <c r="I40" s="135"/>
    </row>
    <row r="41" spans="1:9" s="206" customFormat="1" x14ac:dyDescent="0.2">
      <c r="A41" s="432"/>
      <c r="B41" s="135"/>
      <c r="C41" s="89"/>
      <c r="D41" s="89"/>
      <c r="E41" s="135" t="s">
        <v>585</v>
      </c>
      <c r="F41" s="135"/>
      <c r="G41" s="432">
        <v>5</v>
      </c>
      <c r="H41" s="135"/>
      <c r="I41" s="135"/>
    </row>
    <row r="42" spans="1:9" s="206" customFormat="1" ht="13.5" thickBot="1" x14ac:dyDescent="0.25">
      <c r="A42" s="135"/>
      <c r="B42" s="135"/>
      <c r="C42" s="89"/>
      <c r="D42" s="89"/>
      <c r="E42" s="425"/>
      <c r="F42" s="429"/>
      <c r="G42" s="439"/>
      <c r="H42" s="439" t="s">
        <v>885</v>
      </c>
      <c r="I42" s="439"/>
    </row>
    <row r="43" spans="1:9" s="206" customFormat="1" x14ac:dyDescent="0.2">
      <c r="A43" s="423"/>
      <c r="B43" s="135"/>
      <c r="C43" s="89"/>
      <c r="D43" s="89"/>
      <c r="E43" s="427" t="s">
        <v>885</v>
      </c>
      <c r="F43" s="434"/>
      <c r="G43" s="423">
        <v>13</v>
      </c>
      <c r="H43" s="441" t="s">
        <v>750</v>
      </c>
      <c r="I43" s="89"/>
    </row>
    <row r="44" spans="1:9" s="206" customFormat="1" x14ac:dyDescent="0.2">
      <c r="A44" s="89"/>
      <c r="B44" s="89"/>
      <c r="C44" s="432"/>
      <c r="D44" s="89"/>
      <c r="E44" s="135"/>
      <c r="F44" s="135"/>
      <c r="G44" s="135"/>
      <c r="H44" s="89"/>
      <c r="I44" s="89"/>
    </row>
    <row r="45" spans="1:9" s="206" customFormat="1" ht="13.5" thickBot="1" x14ac:dyDescent="0.25">
      <c r="A45" s="432"/>
      <c r="B45" s="89"/>
      <c r="C45" s="89"/>
      <c r="D45" s="89"/>
      <c r="E45" s="89"/>
      <c r="F45" s="89"/>
      <c r="G45" s="135"/>
      <c r="H45" s="439" t="s">
        <v>585</v>
      </c>
      <c r="I45" s="439"/>
    </row>
    <row r="46" spans="1:9" s="206" customFormat="1" x14ac:dyDescent="0.2">
      <c r="A46" s="89"/>
      <c r="B46" s="89"/>
      <c r="C46" s="89"/>
      <c r="D46" s="89"/>
      <c r="E46" s="89"/>
      <c r="F46" s="89"/>
      <c r="G46" s="135"/>
      <c r="H46" s="63" t="s">
        <v>414</v>
      </c>
      <c r="I46" s="135"/>
    </row>
    <row r="47" spans="1:9" s="206" customFormat="1" x14ac:dyDescent="0.2">
      <c r="A47" s="116"/>
      <c r="B47" s="116"/>
      <c r="C47" s="685" t="s">
        <v>886</v>
      </c>
      <c r="D47" s="423"/>
      <c r="E47" s="423">
        <v>13</v>
      </c>
      <c r="F47" s="423"/>
      <c r="G47" s="423"/>
      <c r="H47" s="135"/>
      <c r="I47" s="135"/>
    </row>
    <row r="48" spans="1:9" s="206" customFormat="1" x14ac:dyDescent="0.2">
      <c r="A48" s="116"/>
      <c r="B48" s="116"/>
      <c r="C48" s="444"/>
      <c r="D48" s="445"/>
      <c r="E48" s="683" t="s">
        <v>886</v>
      </c>
      <c r="F48" s="423"/>
      <c r="G48" s="686">
        <v>11</v>
      </c>
      <c r="H48" s="135"/>
      <c r="I48" s="135"/>
    </row>
    <row r="49" spans="1:10" s="206" customFormat="1" x14ac:dyDescent="0.2">
      <c r="A49" s="116"/>
      <c r="B49" s="116"/>
      <c r="C49" s="683" t="s">
        <v>729</v>
      </c>
      <c r="D49" s="447"/>
      <c r="E49" s="423">
        <v>0</v>
      </c>
      <c r="F49" s="445"/>
      <c r="G49" s="423"/>
      <c r="H49" s="135"/>
      <c r="I49" s="135"/>
    </row>
    <row r="50" spans="1:10" s="206" customFormat="1" ht="13.5" thickBot="1" x14ac:dyDescent="0.25">
      <c r="A50" s="116"/>
      <c r="B50" s="116"/>
      <c r="C50" s="423"/>
      <c r="D50" s="423"/>
      <c r="E50" s="432"/>
      <c r="F50" s="448"/>
      <c r="G50" s="423"/>
      <c r="H50" s="135" t="s">
        <v>884</v>
      </c>
      <c r="I50" s="135"/>
    </row>
    <row r="51" spans="1:10" s="206" customFormat="1" x14ac:dyDescent="0.2">
      <c r="A51" s="116"/>
      <c r="B51" s="116"/>
      <c r="C51" s="686" t="s">
        <v>729</v>
      </c>
      <c r="D51" s="423"/>
      <c r="E51" s="423">
        <v>0</v>
      </c>
      <c r="F51" s="448"/>
      <c r="G51" s="449"/>
      <c r="H51" s="437" t="s">
        <v>415</v>
      </c>
      <c r="I51" s="438"/>
    </row>
    <row r="52" spans="1:10" s="206" customFormat="1" x14ac:dyDescent="0.2">
      <c r="A52" s="116"/>
      <c r="B52" s="116"/>
      <c r="C52" s="444"/>
      <c r="D52" s="445"/>
      <c r="E52" s="423" t="s">
        <v>884</v>
      </c>
      <c r="F52" s="447"/>
      <c r="G52" s="432">
        <v>13</v>
      </c>
      <c r="H52" s="135"/>
      <c r="I52" s="135"/>
    </row>
    <row r="53" spans="1:10" s="206" customFormat="1" ht="13.5" thickBot="1" x14ac:dyDescent="0.25">
      <c r="A53" s="116"/>
      <c r="B53" s="116"/>
      <c r="C53" s="683" t="s">
        <v>884</v>
      </c>
      <c r="D53" s="447"/>
      <c r="E53" s="444">
        <v>13</v>
      </c>
      <c r="F53" s="423"/>
      <c r="G53" s="432"/>
      <c r="H53" s="89" t="s">
        <v>886</v>
      </c>
      <c r="I53" s="89"/>
    </row>
    <row r="54" spans="1:10" s="206" customFormat="1" x14ac:dyDescent="0.2">
      <c r="A54" s="116"/>
      <c r="B54" s="116"/>
      <c r="C54" s="423"/>
      <c r="D54" s="423"/>
      <c r="E54" s="423"/>
      <c r="F54" s="423"/>
      <c r="G54" s="432"/>
      <c r="H54" s="437" t="s">
        <v>416</v>
      </c>
      <c r="I54" s="438"/>
    </row>
    <row r="55" spans="1:10" s="206" customFormat="1" x14ac:dyDescent="0.2">
      <c r="A55" s="116"/>
      <c r="B55" s="116"/>
      <c r="C55" s="423"/>
      <c r="D55" s="432"/>
      <c r="E55" s="423"/>
      <c r="F55" s="423"/>
      <c r="G55" s="432"/>
      <c r="H55" s="89"/>
      <c r="I55" s="89"/>
    </row>
    <row r="56" spans="1:10" s="206" customFormat="1" ht="13.5" thickBot="1" x14ac:dyDescent="0.25">
      <c r="A56" s="116"/>
      <c r="B56" s="116"/>
      <c r="C56" s="423"/>
      <c r="D56" s="432"/>
      <c r="E56" s="444"/>
      <c r="F56" s="445"/>
      <c r="G56" s="450"/>
      <c r="H56" s="439"/>
      <c r="I56" s="439"/>
    </row>
    <row r="57" spans="1:10" s="206" customFormat="1" x14ac:dyDescent="0.2">
      <c r="A57" s="116"/>
      <c r="B57" s="116"/>
      <c r="C57" s="423"/>
      <c r="D57" s="432"/>
      <c r="E57" s="446"/>
      <c r="F57" s="447"/>
      <c r="G57" s="423"/>
      <c r="H57" s="441"/>
      <c r="I57" s="89"/>
    </row>
    <row r="58" spans="1:10" s="206" customFormat="1" x14ac:dyDescent="0.2">
      <c r="A58" s="116"/>
      <c r="B58" s="116"/>
      <c r="C58" s="135"/>
      <c r="D58" s="89"/>
      <c r="E58" s="135"/>
      <c r="F58" s="135"/>
      <c r="G58" s="135"/>
      <c r="H58" s="89"/>
      <c r="I58" s="89"/>
    </row>
    <row r="59" spans="1:10" s="206" customFormat="1" ht="13.5" thickBot="1" x14ac:dyDescent="0.25">
      <c r="A59" s="116"/>
      <c r="B59" s="116"/>
      <c r="C59" s="63"/>
      <c r="D59" s="135"/>
      <c r="E59" s="89"/>
      <c r="F59" s="89"/>
      <c r="G59" s="135"/>
      <c r="H59" s="439"/>
      <c r="I59" s="439"/>
    </row>
    <row r="60" spans="1:10" s="206" customFormat="1" x14ac:dyDescent="0.2">
      <c r="A60" s="116"/>
      <c r="B60" s="116"/>
      <c r="C60" s="63"/>
      <c r="D60" s="135"/>
      <c r="E60" s="89"/>
      <c r="F60" s="89"/>
      <c r="G60" s="135"/>
      <c r="H60" s="89"/>
      <c r="I60" s="89"/>
    </row>
    <row r="61" spans="1:10" s="206" customFormat="1" x14ac:dyDescent="0.2">
      <c r="A61" s="116"/>
      <c r="B61" s="116"/>
      <c r="C61" s="63"/>
      <c r="D61" s="135"/>
      <c r="E61" s="89"/>
      <c r="F61" s="89"/>
      <c r="G61" s="135"/>
      <c r="H61" s="89"/>
      <c r="I61" s="89"/>
    </row>
    <row r="62" spans="1:10" s="206" customFormat="1" x14ac:dyDescent="0.2">
      <c r="A62" s="421" t="s">
        <v>882</v>
      </c>
      <c r="B62" s="116"/>
      <c r="C62" s="63"/>
      <c r="D62" s="135"/>
      <c r="E62" s="89"/>
      <c r="F62" s="89"/>
      <c r="G62" s="135"/>
      <c r="H62" s="135"/>
      <c r="I62" s="135"/>
      <c r="J62" s="441"/>
    </row>
    <row r="63" spans="1:10" s="206" customFormat="1" x14ac:dyDescent="0.2">
      <c r="A63" s="116"/>
      <c r="B63" s="116"/>
      <c r="C63" s="63"/>
      <c r="D63" s="135"/>
      <c r="E63" s="89"/>
      <c r="F63" s="89"/>
      <c r="G63" s="135"/>
      <c r="H63" s="135"/>
      <c r="I63" s="135"/>
      <c r="J63" s="441"/>
    </row>
    <row r="64" spans="1:10" s="206" customFormat="1" x14ac:dyDescent="0.2">
      <c r="A64" s="116"/>
      <c r="B64" s="468" t="s">
        <v>736</v>
      </c>
      <c r="C64" s="443" t="s">
        <v>931</v>
      </c>
      <c r="D64" s="423"/>
      <c r="E64" s="423">
        <v>10</v>
      </c>
      <c r="F64" s="423"/>
      <c r="G64" s="423"/>
      <c r="H64" s="135"/>
    </row>
    <row r="65" spans="1:9" s="206" customFormat="1" x14ac:dyDescent="0.2">
      <c r="A65" s="116"/>
      <c r="B65" s="468"/>
      <c r="C65" s="444"/>
      <c r="D65" s="445"/>
      <c r="E65" s="683" t="s">
        <v>1014</v>
      </c>
      <c r="F65" s="423"/>
      <c r="G65" s="423">
        <v>9</v>
      </c>
      <c r="H65" s="135"/>
    </row>
    <row r="66" spans="1:9" s="206" customFormat="1" x14ac:dyDescent="0.2">
      <c r="A66" s="116"/>
      <c r="B66" s="468" t="s">
        <v>756</v>
      </c>
      <c r="C66" s="683" t="s">
        <v>1014</v>
      </c>
      <c r="D66" s="447"/>
      <c r="E66" s="423">
        <v>13</v>
      </c>
      <c r="F66" s="445"/>
      <c r="G66" s="423"/>
      <c r="H66" s="135"/>
    </row>
    <row r="67" spans="1:9" s="206" customFormat="1" ht="13.5" thickBot="1" x14ac:dyDescent="0.25">
      <c r="A67" s="116"/>
      <c r="B67" s="468"/>
      <c r="C67" s="423"/>
      <c r="D67" s="423"/>
      <c r="E67" s="432"/>
      <c r="F67" s="448"/>
      <c r="G67" s="705"/>
      <c r="H67" s="364" t="s">
        <v>883</v>
      </c>
      <c r="I67" s="344"/>
    </row>
    <row r="68" spans="1:9" s="206" customFormat="1" x14ac:dyDescent="0.2">
      <c r="A68" s="116"/>
      <c r="B68" s="468" t="s">
        <v>735</v>
      </c>
      <c r="C68" s="423" t="s">
        <v>887</v>
      </c>
      <c r="D68" s="423"/>
      <c r="E68" s="423">
        <v>4</v>
      </c>
      <c r="F68" s="448"/>
      <c r="G68" s="449"/>
      <c r="H68" s="342" t="s">
        <v>417</v>
      </c>
      <c r="I68" s="343"/>
    </row>
    <row r="69" spans="1:9" s="206" customFormat="1" x14ac:dyDescent="0.2">
      <c r="A69" s="116"/>
      <c r="B69" s="468"/>
      <c r="C69" s="444"/>
      <c r="D69" s="445"/>
      <c r="E69" s="423" t="s">
        <v>883</v>
      </c>
      <c r="F69" s="447"/>
      <c r="G69" s="432">
        <v>13</v>
      </c>
      <c r="H69" s="126"/>
      <c r="I69" s="126"/>
    </row>
    <row r="70" spans="1:9" s="206" customFormat="1" ht="13.5" thickBot="1" x14ac:dyDescent="0.25">
      <c r="A70" s="116"/>
      <c r="B70" s="468" t="s">
        <v>740</v>
      </c>
      <c r="C70" s="446" t="s">
        <v>883</v>
      </c>
      <c r="D70" s="447"/>
      <c r="E70" s="444">
        <v>13</v>
      </c>
      <c r="F70" s="423"/>
      <c r="G70" s="432"/>
      <c r="H70" s="344" t="s">
        <v>1014</v>
      </c>
      <c r="I70" s="344"/>
    </row>
    <row r="71" spans="1:9" s="206" customFormat="1" x14ac:dyDescent="0.2">
      <c r="A71" s="116"/>
      <c r="B71" s="116"/>
      <c r="C71" s="423"/>
      <c r="D71" s="423"/>
      <c r="E71" s="423"/>
      <c r="F71" s="423"/>
      <c r="G71" s="432"/>
      <c r="H71" s="342" t="s">
        <v>418</v>
      </c>
      <c r="I71" s="343"/>
    </row>
    <row r="72" spans="1:9" s="206" customFormat="1" x14ac:dyDescent="0.2">
      <c r="A72" s="116"/>
      <c r="B72" s="116"/>
      <c r="C72" s="423"/>
      <c r="D72" s="432"/>
      <c r="E72" s="686" t="s">
        <v>931</v>
      </c>
      <c r="F72" s="423"/>
      <c r="G72" s="432">
        <v>8</v>
      </c>
      <c r="H72" s="126"/>
      <c r="I72" s="126"/>
    </row>
    <row r="73" spans="1:9" s="206" customFormat="1" ht="13.5" thickBot="1" x14ac:dyDescent="0.25">
      <c r="A73" s="116"/>
      <c r="B73" s="116"/>
      <c r="C73" s="423"/>
      <c r="D73" s="432"/>
      <c r="E73" s="444"/>
      <c r="F73" s="445"/>
      <c r="G73" s="705"/>
      <c r="H73" s="364" t="s">
        <v>887</v>
      </c>
      <c r="I73" s="344"/>
    </row>
    <row r="74" spans="1:9" s="206" customFormat="1" x14ac:dyDescent="0.2">
      <c r="A74" s="116"/>
      <c r="B74" s="116"/>
      <c r="C74" s="423"/>
      <c r="D74" s="432"/>
      <c r="E74" s="446" t="s">
        <v>887</v>
      </c>
      <c r="F74" s="447"/>
      <c r="G74" s="449">
        <v>13</v>
      </c>
      <c r="H74" s="342" t="s">
        <v>419</v>
      </c>
      <c r="I74" s="343"/>
    </row>
    <row r="75" spans="1:9" s="206" customFormat="1" x14ac:dyDescent="0.2">
      <c r="A75" s="116"/>
      <c r="B75" s="116"/>
      <c r="C75" s="63"/>
      <c r="D75" s="135"/>
      <c r="E75" s="89"/>
      <c r="F75" s="89"/>
      <c r="G75" s="135"/>
      <c r="I75" s="89"/>
    </row>
    <row r="76" spans="1:9" s="206" customFormat="1" ht="13.5" thickBot="1" x14ac:dyDescent="0.25">
      <c r="A76" s="116"/>
      <c r="B76" s="116"/>
      <c r="C76" s="63"/>
      <c r="D76" s="135"/>
      <c r="E76" s="89"/>
      <c r="F76" s="89"/>
      <c r="G76" s="135"/>
      <c r="H76" s="364" t="s">
        <v>931</v>
      </c>
      <c r="I76" s="344"/>
    </row>
    <row r="77" spans="1:9" s="206" customFormat="1" x14ac:dyDescent="0.2">
      <c r="A77" s="116"/>
      <c r="B77" s="116"/>
      <c r="C77" s="63"/>
      <c r="D77" s="135"/>
      <c r="E77" s="89"/>
      <c r="F77" s="89"/>
      <c r="G77" s="135"/>
      <c r="H77" s="342" t="s">
        <v>420</v>
      </c>
      <c r="I77" s="343"/>
    </row>
    <row r="78" spans="1:9" s="206" customFormat="1" x14ac:dyDescent="0.2">
      <c r="A78" s="116"/>
      <c r="B78" s="116"/>
      <c r="C78" s="63"/>
      <c r="D78" s="135"/>
      <c r="E78" s="89"/>
      <c r="F78" s="89"/>
      <c r="G78" s="135"/>
      <c r="H78" s="89"/>
      <c r="I78" s="89"/>
    </row>
    <row r="79" spans="1:9" s="206" customFormat="1" x14ac:dyDescent="0.2">
      <c r="A79" s="116"/>
      <c r="B79" s="116"/>
      <c r="C79" s="63"/>
      <c r="D79" s="135"/>
      <c r="E79" s="89"/>
      <c r="F79" s="89"/>
      <c r="G79" s="135"/>
      <c r="H79" s="89"/>
      <c r="I79" s="89"/>
    </row>
    <row r="80" spans="1:9" s="206" customFormat="1" x14ac:dyDescent="0.2">
      <c r="A80" s="116"/>
      <c r="B80" s="116"/>
      <c r="C80" s="63"/>
      <c r="D80" s="135"/>
      <c r="E80" s="89"/>
      <c r="F80" s="89"/>
      <c r="G80" s="135"/>
      <c r="H80" s="89"/>
      <c r="I80" s="89"/>
    </row>
    <row r="81" spans="1:9" s="206" customFormat="1" x14ac:dyDescent="0.2">
      <c r="A81" s="116"/>
      <c r="B81" s="116"/>
      <c r="C81" s="63"/>
      <c r="D81" s="135"/>
      <c r="E81" s="89"/>
      <c r="F81" s="89"/>
      <c r="G81" s="135"/>
      <c r="H81" s="89"/>
      <c r="I81" s="89"/>
    </row>
    <row r="82" spans="1:9" s="206" customFormat="1" x14ac:dyDescent="0.2">
      <c r="A82" s="116"/>
      <c r="B82" s="116"/>
      <c r="C82" s="63"/>
      <c r="D82" s="135"/>
      <c r="E82" s="89"/>
      <c r="F82" s="89"/>
      <c r="G82" s="135"/>
      <c r="H82" s="441"/>
      <c r="I82" s="441"/>
    </row>
    <row r="83" spans="1:9" x14ac:dyDescent="0.2">
      <c r="A83" s="120"/>
      <c r="B83" s="120"/>
      <c r="C83" s="120"/>
      <c r="D83" s="120"/>
      <c r="E83" s="120"/>
      <c r="H83" s="120"/>
      <c r="I83" s="97"/>
    </row>
    <row r="84" spans="1:9" x14ac:dyDescent="0.2">
      <c r="A84" s="66">
        <v>1</v>
      </c>
      <c r="B84" s="129" t="s">
        <v>673</v>
      </c>
      <c r="C84" s="95"/>
      <c r="D84" s="95"/>
      <c r="E84" s="95"/>
      <c r="F84" s="95"/>
      <c r="G84" s="95"/>
    </row>
    <row r="85" spans="1:9" x14ac:dyDescent="0.2">
      <c r="A85" s="66">
        <v>2</v>
      </c>
      <c r="B85" s="68" t="s">
        <v>879</v>
      </c>
      <c r="C85" s="95"/>
      <c r="D85" s="95"/>
      <c r="E85" s="95"/>
      <c r="F85" s="95"/>
      <c r="G85" s="95"/>
    </row>
    <row r="86" spans="1:9" x14ac:dyDescent="0.2">
      <c r="A86" s="66">
        <v>3</v>
      </c>
      <c r="B86" s="114" t="s">
        <v>885</v>
      </c>
      <c r="C86" s="95"/>
      <c r="D86" s="95"/>
      <c r="E86" s="95"/>
      <c r="F86" s="95"/>
      <c r="G86" s="95"/>
    </row>
    <row r="87" spans="1:9" x14ac:dyDescent="0.2">
      <c r="A87" s="66">
        <v>4</v>
      </c>
      <c r="B87" s="25" t="s">
        <v>585</v>
      </c>
      <c r="C87" s="95"/>
      <c r="D87" s="95"/>
      <c r="E87" s="95"/>
      <c r="F87" s="95"/>
      <c r="G87" s="95"/>
    </row>
    <row r="88" spans="1:9" x14ac:dyDescent="0.2">
      <c r="A88" s="66">
        <v>5</v>
      </c>
      <c r="B88" s="118" t="s">
        <v>884</v>
      </c>
      <c r="C88" s="95"/>
      <c r="D88" s="95"/>
      <c r="E88" s="95"/>
      <c r="F88" s="95"/>
      <c r="G88" s="95"/>
    </row>
    <row r="89" spans="1:9" x14ac:dyDescent="0.2">
      <c r="A89" s="66">
        <v>6</v>
      </c>
      <c r="B89" s="118" t="s">
        <v>886</v>
      </c>
      <c r="C89" s="95"/>
      <c r="D89" s="95"/>
      <c r="E89" s="95"/>
      <c r="F89" s="95"/>
      <c r="G89" s="95"/>
    </row>
    <row r="90" spans="1:9" x14ac:dyDescent="0.2">
      <c r="A90" s="66">
        <v>7</v>
      </c>
      <c r="B90" s="118" t="s">
        <v>883</v>
      </c>
      <c r="C90" s="95"/>
      <c r="D90" s="95"/>
      <c r="E90" s="95"/>
      <c r="F90" s="95"/>
      <c r="G90" s="95"/>
    </row>
    <row r="91" spans="1:9" x14ac:dyDescent="0.2">
      <c r="A91" s="66">
        <v>8</v>
      </c>
      <c r="B91" s="118" t="s">
        <v>1014</v>
      </c>
      <c r="C91" s="95"/>
      <c r="D91" s="95"/>
      <c r="E91" s="95"/>
      <c r="F91" s="95"/>
      <c r="G91" s="95"/>
    </row>
    <row r="92" spans="1:9" x14ac:dyDescent="0.2">
      <c r="A92" s="66">
        <v>9</v>
      </c>
      <c r="B92" s="119" t="s">
        <v>887</v>
      </c>
      <c r="C92" s="95"/>
      <c r="D92" s="95"/>
      <c r="E92" s="95"/>
      <c r="F92" s="95"/>
      <c r="G92" s="95"/>
    </row>
    <row r="93" spans="1:9" x14ac:dyDescent="0.2">
      <c r="A93" s="66">
        <v>10</v>
      </c>
      <c r="B93" s="119" t="s">
        <v>931</v>
      </c>
      <c r="C93" s="95"/>
      <c r="D93" s="95"/>
      <c r="E93" s="95"/>
      <c r="F93" s="95"/>
      <c r="G93" s="95"/>
    </row>
  </sheetData>
  <conditionalFormatting sqref="C7:F9 D10 F10">
    <cfRule type="cellIs" dxfId="99" priority="20" operator="greaterThan">
      <formula>13</formula>
    </cfRule>
  </conditionalFormatting>
  <conditionalFormatting sqref="B7:B10">
    <cfRule type="duplicateValues" dxfId="98" priority="19"/>
  </conditionalFormatting>
  <conditionalFormatting sqref="C10">
    <cfRule type="cellIs" dxfId="97" priority="18" operator="greaterThan">
      <formula>13</formula>
    </cfRule>
  </conditionalFormatting>
  <conditionalFormatting sqref="E10">
    <cfRule type="cellIs" dxfId="96" priority="17" operator="greaterThan">
      <formula>13</formula>
    </cfRule>
  </conditionalFormatting>
  <conditionalFormatting sqref="E22">
    <cfRule type="cellIs" dxfId="95" priority="12" operator="greaterThan">
      <formula>13</formula>
    </cfRule>
  </conditionalFormatting>
  <conditionalFormatting sqref="C19:F21 D22 F22">
    <cfRule type="cellIs" dxfId="94" priority="15" operator="greaterThan">
      <formula>13</formula>
    </cfRule>
  </conditionalFormatting>
  <conditionalFormatting sqref="B19 B22">
    <cfRule type="duplicateValues" dxfId="93" priority="14"/>
  </conditionalFormatting>
  <conditionalFormatting sqref="C22">
    <cfRule type="cellIs" dxfId="92" priority="13" operator="greaterThan">
      <formula>13</formula>
    </cfRule>
  </conditionalFormatting>
  <conditionalFormatting sqref="C13:F15 D16 F16">
    <cfRule type="cellIs" dxfId="91" priority="10" operator="greaterThan">
      <formula>13</formula>
    </cfRule>
  </conditionalFormatting>
  <conditionalFormatting sqref="B13 B15:B16">
    <cfRule type="duplicateValues" dxfId="90" priority="9"/>
  </conditionalFormatting>
  <conditionalFormatting sqref="C16">
    <cfRule type="cellIs" dxfId="89" priority="8" operator="greaterThan">
      <formula>13</formula>
    </cfRule>
  </conditionalFormatting>
  <conditionalFormatting sqref="E16">
    <cfRule type="cellIs" dxfId="88" priority="7" operator="greaterThan">
      <formula>13</formula>
    </cfRule>
  </conditionalFormatting>
  <conditionalFormatting sqref="C7:G61 C75:G82">
    <cfRule type="cellIs" dxfId="87" priority="6" operator="equal">
      <formula>13</formula>
    </cfRule>
  </conditionalFormatting>
  <conditionalFormatting sqref="G7:G10">
    <cfRule type="duplicateValues" dxfId="86" priority="13350"/>
  </conditionalFormatting>
  <conditionalFormatting sqref="G19:G22">
    <cfRule type="duplicateValues" dxfId="85" priority="13351"/>
  </conditionalFormatting>
  <conditionalFormatting sqref="G13:G16">
    <cfRule type="duplicateValues" dxfId="84" priority="13352"/>
  </conditionalFormatting>
  <conditionalFormatting sqref="C62:I63">
    <cfRule type="cellIs" dxfId="83" priority="4" operator="equal">
      <formula>13</formula>
    </cfRule>
  </conditionalFormatting>
  <conditionalFormatting sqref="C64:G72 C73:F74">
    <cfRule type="cellIs" dxfId="82" priority="3" operator="equal">
      <formula>13</formula>
    </cfRule>
  </conditionalFormatting>
  <conditionalFormatting sqref="G73:G74">
    <cfRule type="cellIs" dxfId="81" priority="2" operator="equal">
      <formula>13</formula>
    </cfRule>
  </conditionalFormatting>
  <pageMargins left="0.31496062992125984" right="0.31496062992125984" top="0.78740157480314965" bottom="0.31496062992125984" header="0.59055118110236227" footer="0"/>
  <pageSetup paperSize="9" fitToHeight="0" orientation="landscape" r:id="rId1"/>
  <headerFooter>
    <oddHeader>&amp;RPage &amp;P of &amp;N</oddHeader>
  </headerFooter>
  <rowBreaks count="2" manualBreakCount="2">
    <brk id="22" max="16383" man="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2"/>
  <sheetViews>
    <sheetView showGridLines="0" showRowColHeaders="0" zoomScaleNormal="100" workbookViewId="0">
      <pane ySplit="2" topLeftCell="A3" activePane="bottomLeft" state="frozen"/>
      <selection pane="bottomLeft" activeCell="H1" sqref="H1"/>
    </sheetView>
  </sheetViews>
  <sheetFormatPr defaultRowHeight="12.75" x14ac:dyDescent="0.2"/>
  <cols>
    <col min="1" max="1" width="3.28515625" style="93" customWidth="1"/>
    <col min="2" max="2" width="40.140625" style="93" bestFit="1" customWidth="1"/>
    <col min="3" max="3" width="7.28515625" style="93" customWidth="1"/>
    <col min="4" max="4" width="7.42578125" style="93" bestFit="1" customWidth="1"/>
    <col min="5" max="5" width="9.140625" style="93" bestFit="1" customWidth="1"/>
    <col min="6" max="6" width="6.7109375" style="93" bestFit="1" customWidth="1"/>
    <col min="7" max="7" width="5.140625" style="93" bestFit="1" customWidth="1"/>
    <col min="8" max="8" width="9.140625" style="93"/>
    <col min="9" max="9" width="4.7109375" style="93" customWidth="1"/>
    <col min="10" max="16384" width="9.140625" style="93"/>
  </cols>
  <sheetData>
    <row r="1" spans="1:7" x14ac:dyDescent="0.2">
      <c r="A1" s="117" t="str">
        <f>UPPER((Kalend!E22)&amp;" - "&amp;(Kalend!C22)&amp;" - "&amp;(Kalend!D22))</f>
        <v>10 - EESTI REITINGUVÕISTLUS, 4. VIRU KARIKAS - DUO</v>
      </c>
      <c r="F1" s="85" t="str">
        <f>HYPERLINK("#Üldreiting!I1","Reiting")</f>
        <v>Reiting</v>
      </c>
      <c r="G1" s="206"/>
    </row>
    <row r="2" spans="1:7" x14ac:dyDescent="0.2">
      <c r="A2" s="116" t="str">
        <f>"Toimumisaeg: "&amp;(Kalend!A22)&amp;" kell "&amp;(Kalend!B22)</f>
        <v>Toimumisaeg: P, 20.08.2017 kell 10:00</v>
      </c>
    </row>
    <row r="3" spans="1:7" x14ac:dyDescent="0.2">
      <c r="A3" s="116" t="str">
        <f>"Toimumiskoht: "&amp;(Kalend!H22)</f>
        <v>Toimumiskoht: Kohtla-Järve, Järveküla tee 44</v>
      </c>
      <c r="F3" s="126"/>
    </row>
    <row r="4" spans="1:7" x14ac:dyDescent="0.2">
      <c r="A4" s="116" t="str">
        <f>"Korraldaja: "&amp;(Kalend!I22)</f>
        <v>Korraldaja: Kohtla-Järve SHK, Ivar Viljaste</v>
      </c>
      <c r="F4" s="126"/>
    </row>
    <row r="5" spans="1:7" s="97" customFormat="1" x14ac:dyDescent="0.2"/>
    <row r="6" spans="1:7" s="206" customFormat="1" x14ac:dyDescent="0.2">
      <c r="A6" s="320" t="s">
        <v>402</v>
      </c>
      <c r="B6" s="320"/>
      <c r="C6" s="319" t="s">
        <v>403</v>
      </c>
      <c r="D6" s="319" t="s">
        <v>404</v>
      </c>
      <c r="E6" s="319" t="s">
        <v>405</v>
      </c>
      <c r="F6" s="319" t="s">
        <v>406</v>
      </c>
      <c r="G6" s="319" t="s">
        <v>26</v>
      </c>
    </row>
    <row r="7" spans="1:7" s="206" customFormat="1" x14ac:dyDescent="0.2">
      <c r="A7" s="320">
        <v>1</v>
      </c>
      <c r="B7" s="25" t="s">
        <v>947</v>
      </c>
      <c r="C7" s="321">
        <v>13</v>
      </c>
      <c r="D7" s="321">
        <v>3</v>
      </c>
      <c r="E7" s="321"/>
      <c r="F7" s="321">
        <v>13</v>
      </c>
      <c r="G7" s="321" t="str">
        <f>IF(AND(COUNTIF(C7:F7,13)=0,COUNT(C7:F7)=2),"IV",IF(AND(COUNTIF(C7:F7,13)=1,COUNT(C7:F7)=3),"III",IF(AND(COUNTIF(C7:F7,13)=2,COUNT(C7:F7)=3),"II",IF(AND(COUNTIF(C7:F7,13)=2,COUNT(C7:F7)=2),"I"))))</f>
        <v>II</v>
      </c>
    </row>
    <row r="8" spans="1:7" s="206" customFormat="1" x14ac:dyDescent="0.2">
      <c r="A8" s="320">
        <v>2</v>
      </c>
      <c r="B8" s="25" t="s">
        <v>668</v>
      </c>
      <c r="C8" s="321">
        <v>13</v>
      </c>
      <c r="D8" s="321">
        <v>13</v>
      </c>
      <c r="E8" s="321"/>
      <c r="F8" s="321"/>
      <c r="G8" s="321" t="str">
        <f t="shared" ref="G8:G9" si="0">IF(AND(COUNTIF(C8:F8,13)=0,COUNT(C8:F8)=2),"IV",IF(AND(COUNTIF(C8:F8,13)=1,COUNT(C8:F8)=3),"III",IF(AND(COUNTIF(C8:F8,13)=2,COUNT(C8:F8)=3),"II",IF(AND(COUNTIF(C8:F8,13)=2,COUNT(C8:F8)=2),"I"))))</f>
        <v>I</v>
      </c>
    </row>
    <row r="9" spans="1:7" s="206" customFormat="1" x14ac:dyDescent="0.2">
      <c r="A9" s="320">
        <v>3</v>
      </c>
      <c r="B9" s="25" t="s">
        <v>948</v>
      </c>
      <c r="C9" s="321">
        <v>6</v>
      </c>
      <c r="D9" s="321"/>
      <c r="E9" s="321">
        <v>13</v>
      </c>
      <c r="F9" s="321">
        <v>2</v>
      </c>
      <c r="G9" s="321" t="str">
        <f t="shared" si="0"/>
        <v>III</v>
      </c>
    </row>
    <row r="10" spans="1:7" s="206" customFormat="1" x14ac:dyDescent="0.2">
      <c r="A10" s="320">
        <v>4</v>
      </c>
      <c r="B10" s="323"/>
      <c r="C10" s="321">
        <v>0</v>
      </c>
      <c r="D10" s="321"/>
      <c r="E10" s="321">
        <v>0</v>
      </c>
      <c r="F10" s="321"/>
      <c r="G10" s="321"/>
    </row>
    <row r="11" spans="1:7" s="206" customFormat="1" x14ac:dyDescent="0.2">
      <c r="A11" s="324"/>
      <c r="B11" s="325"/>
      <c r="C11" s="326"/>
      <c r="D11" s="326"/>
      <c r="E11" s="326"/>
      <c r="F11" s="327"/>
      <c r="G11" s="458"/>
    </row>
    <row r="12" spans="1:7" s="206" customFormat="1" x14ac:dyDescent="0.2">
      <c r="A12" s="317" t="s">
        <v>407</v>
      </c>
      <c r="B12" s="318"/>
      <c r="C12" s="319" t="s">
        <v>403</v>
      </c>
      <c r="D12" s="319" t="s">
        <v>404</v>
      </c>
      <c r="E12" s="319" t="s">
        <v>405</v>
      </c>
      <c r="F12" s="319" t="s">
        <v>406</v>
      </c>
      <c r="G12" s="680" t="s">
        <v>26</v>
      </c>
    </row>
    <row r="13" spans="1:7" s="206" customFormat="1" x14ac:dyDescent="0.2">
      <c r="A13" s="320">
        <v>1</v>
      </c>
      <c r="B13" s="677" t="s">
        <v>949</v>
      </c>
      <c r="C13" s="321">
        <v>13</v>
      </c>
      <c r="D13" s="321">
        <v>13</v>
      </c>
      <c r="E13" s="321"/>
      <c r="F13" s="321"/>
      <c r="G13" s="321" t="str">
        <f>IF(AND(COUNTIF(C13:F13,13)=0,COUNT(C13:F13)=2),"IV",IF(AND(COUNTIF(C13:F13,13)=1,COUNT(C13:F13)=3),"III",IF(AND(COUNTIF(C13:F13,13)=2,COUNT(C13:F13)=3),"II",IF(AND(COUNTIF(C13:F13,13)=2,COUNT(C13:F13)=2),"I"))))</f>
        <v>I</v>
      </c>
    </row>
    <row r="14" spans="1:7" s="206" customFormat="1" x14ac:dyDescent="0.2">
      <c r="A14" s="320">
        <v>2</v>
      </c>
      <c r="B14" s="453" t="s">
        <v>941</v>
      </c>
      <c r="C14" s="321">
        <v>13</v>
      </c>
      <c r="D14" s="321">
        <v>12</v>
      </c>
      <c r="E14" s="321"/>
      <c r="F14" s="321">
        <v>13</v>
      </c>
      <c r="G14" s="321" t="str">
        <f t="shared" ref="G14:G15" si="1">IF(AND(COUNTIF(C14:F14,13)=0,COUNT(C14:F14)=2),"IV",IF(AND(COUNTIF(C14:F14,13)=1,COUNT(C14:F14)=3),"III",IF(AND(COUNTIF(C14:F14,13)=2,COUNT(C14:F14)=3),"II",IF(AND(COUNTIF(C14:F14,13)=2,COUNT(C14:F14)=2),"I"))))</f>
        <v>II</v>
      </c>
    </row>
    <row r="15" spans="1:7" s="206" customFormat="1" x14ac:dyDescent="0.2">
      <c r="A15" s="320">
        <v>3</v>
      </c>
      <c r="B15" s="677" t="s">
        <v>950</v>
      </c>
      <c r="C15" s="321">
        <v>11</v>
      </c>
      <c r="D15" s="321"/>
      <c r="E15" s="321">
        <v>13</v>
      </c>
      <c r="F15" s="321">
        <v>3</v>
      </c>
      <c r="G15" s="321" t="str">
        <f t="shared" si="1"/>
        <v>III</v>
      </c>
    </row>
    <row r="16" spans="1:7" s="206" customFormat="1" x14ac:dyDescent="0.2">
      <c r="A16" s="320">
        <v>4</v>
      </c>
      <c r="B16" s="323"/>
      <c r="C16" s="321">
        <v>0</v>
      </c>
      <c r="D16" s="321"/>
      <c r="E16" s="321">
        <v>0</v>
      </c>
      <c r="F16" s="321"/>
      <c r="G16" s="321"/>
    </row>
    <row r="17" spans="1:7" s="206" customFormat="1" x14ac:dyDescent="0.2">
      <c r="A17" s="420"/>
      <c r="B17" s="420"/>
      <c r="C17" s="420"/>
      <c r="D17" s="420"/>
      <c r="E17" s="420"/>
      <c r="F17" s="420"/>
      <c r="G17" s="700"/>
    </row>
    <row r="18" spans="1:7" s="206" customFormat="1" x14ac:dyDescent="0.2">
      <c r="A18" s="320" t="s">
        <v>408</v>
      </c>
      <c r="B18" s="320"/>
      <c r="C18" s="319" t="s">
        <v>403</v>
      </c>
      <c r="D18" s="319" t="s">
        <v>404</v>
      </c>
      <c r="E18" s="319" t="s">
        <v>405</v>
      </c>
      <c r="F18" s="319" t="s">
        <v>406</v>
      </c>
      <c r="G18" s="680" t="s">
        <v>26</v>
      </c>
    </row>
    <row r="19" spans="1:7" s="206" customFormat="1" x14ac:dyDescent="0.2">
      <c r="A19" s="320">
        <v>1</v>
      </c>
      <c r="B19" s="25" t="s">
        <v>792</v>
      </c>
      <c r="C19" s="321">
        <v>13</v>
      </c>
      <c r="D19" s="321">
        <v>13</v>
      </c>
      <c r="E19" s="321"/>
      <c r="F19" s="321"/>
      <c r="G19" s="321" t="str">
        <f>IF(AND(COUNTIF(C19:F19,13)=0,COUNT(C19:F19)=2),"IV",IF(AND(COUNTIF(C19:F19,13)=1,COUNT(C19:F19)=3),"III",IF(AND(COUNTIF(C19:F19,13)=2,COUNT(C19:F19)=3),"II",IF(AND(COUNTIF(C19:F19,13)=2,COUNT(C19:F19)=2),"I"))))</f>
        <v>I</v>
      </c>
    </row>
    <row r="20" spans="1:7" s="206" customFormat="1" x14ac:dyDescent="0.2">
      <c r="A20" s="320">
        <v>2</v>
      </c>
      <c r="B20" s="25" t="s">
        <v>808</v>
      </c>
      <c r="C20" s="321">
        <v>13</v>
      </c>
      <c r="D20" s="321">
        <v>9</v>
      </c>
      <c r="E20" s="321"/>
      <c r="F20" s="321">
        <v>13</v>
      </c>
      <c r="G20" s="321" t="str">
        <f t="shared" ref="G20:G21" si="2">IF(AND(COUNTIF(C20:F20,13)=0,COUNT(C20:F20)=2),"IV",IF(AND(COUNTIF(C20:F20,13)=1,COUNT(C20:F20)=3),"III",IF(AND(COUNTIF(C20:F20,13)=2,COUNT(C20:F20)=3),"II",IF(AND(COUNTIF(C20:F20,13)=2,COUNT(C20:F20)=2),"I"))))</f>
        <v>II</v>
      </c>
    </row>
    <row r="21" spans="1:7" s="206" customFormat="1" x14ac:dyDescent="0.2">
      <c r="A21" s="320">
        <v>3</v>
      </c>
      <c r="B21" s="25" t="s">
        <v>951</v>
      </c>
      <c r="C21" s="321">
        <v>0</v>
      </c>
      <c r="D21" s="321"/>
      <c r="E21" s="321">
        <v>13</v>
      </c>
      <c r="F21" s="321">
        <v>7</v>
      </c>
      <c r="G21" s="321" t="str">
        <f t="shared" si="2"/>
        <v>III</v>
      </c>
    </row>
    <row r="22" spans="1:7" s="206" customFormat="1" x14ac:dyDescent="0.2">
      <c r="A22" s="320">
        <v>4</v>
      </c>
      <c r="B22" s="25"/>
      <c r="C22" s="321">
        <v>0</v>
      </c>
      <c r="D22" s="321"/>
      <c r="E22" s="321">
        <v>0</v>
      </c>
      <c r="F22" s="321"/>
      <c r="G22" s="321"/>
    </row>
    <row r="23" spans="1:7" s="206" customFormat="1" x14ac:dyDescent="0.2">
      <c r="A23" s="324"/>
      <c r="B23" s="457"/>
      <c r="C23" s="327"/>
      <c r="D23" s="327"/>
      <c r="E23" s="327"/>
      <c r="F23" s="327"/>
      <c r="G23" s="458"/>
    </row>
    <row r="24" spans="1:7" s="206" customFormat="1" x14ac:dyDescent="0.2">
      <c r="A24" s="317" t="s">
        <v>409</v>
      </c>
      <c r="B24" s="318"/>
      <c r="C24" s="319" t="s">
        <v>403</v>
      </c>
      <c r="D24" s="319" t="s">
        <v>404</v>
      </c>
      <c r="E24" s="319" t="s">
        <v>405</v>
      </c>
      <c r="F24" s="319" t="s">
        <v>406</v>
      </c>
      <c r="G24" s="680" t="s">
        <v>26</v>
      </c>
    </row>
    <row r="25" spans="1:7" s="206" customFormat="1" x14ac:dyDescent="0.2">
      <c r="A25" s="320">
        <v>1</v>
      </c>
      <c r="B25" s="453" t="s">
        <v>663</v>
      </c>
      <c r="C25" s="321">
        <v>13</v>
      </c>
      <c r="D25" s="321">
        <v>13</v>
      </c>
      <c r="E25" s="321"/>
      <c r="F25" s="321"/>
      <c r="G25" s="321" t="str">
        <f>IF(AND(COUNTIF(C25:F25,13)=0,COUNT(C25:F25)=2),"IV",IF(AND(COUNTIF(C25:F25,13)=1,COUNT(C25:F25)=3),"III",IF(AND(COUNTIF(C25:F25,13)=2,COUNT(C25:F25)=3),"II",IF(AND(COUNTIF(C25:F25,13)=2,COUNT(C25:F25)=2),"I"))))</f>
        <v>I</v>
      </c>
    </row>
    <row r="26" spans="1:7" s="206" customFormat="1" x14ac:dyDescent="0.2">
      <c r="A26" s="320">
        <v>2</v>
      </c>
      <c r="B26" s="677" t="s">
        <v>952</v>
      </c>
      <c r="C26" s="321">
        <v>7</v>
      </c>
      <c r="D26" s="321"/>
      <c r="E26" s="321">
        <v>13</v>
      </c>
      <c r="F26" s="353">
        <v>13</v>
      </c>
      <c r="G26" s="321" t="str">
        <f t="shared" ref="G26:G27" si="3">IF(AND(COUNTIF(C26:F26,13)=0,COUNT(C26:F26)=2),"IV",IF(AND(COUNTIF(C26:F26,13)=1,COUNT(C26:F26)=3),"III",IF(AND(COUNTIF(C26:F26,13)=2,COUNT(C26:F26)=3),"II",IF(AND(COUNTIF(C26:F26,13)=2,COUNT(C26:F26)=2),"I"))))</f>
        <v>II</v>
      </c>
    </row>
    <row r="27" spans="1:7" s="206" customFormat="1" x14ac:dyDescent="0.2">
      <c r="A27" s="320">
        <v>3</v>
      </c>
      <c r="B27" s="453" t="s">
        <v>953</v>
      </c>
      <c r="C27" s="321">
        <v>13</v>
      </c>
      <c r="D27" s="321">
        <v>6</v>
      </c>
      <c r="E27" s="321"/>
      <c r="F27" s="321">
        <v>5</v>
      </c>
      <c r="G27" s="321" t="str">
        <f t="shared" si="3"/>
        <v>III</v>
      </c>
    </row>
    <row r="28" spans="1:7" s="206" customFormat="1" x14ac:dyDescent="0.2">
      <c r="A28" s="320">
        <v>4</v>
      </c>
      <c r="B28" s="454"/>
      <c r="C28" s="321">
        <v>0</v>
      </c>
      <c r="D28" s="321"/>
      <c r="E28" s="321">
        <v>0</v>
      </c>
      <c r="F28" s="321"/>
      <c r="G28" s="321"/>
    </row>
    <row r="29" spans="1:7" s="206" customFormat="1" x14ac:dyDescent="0.2">
      <c r="A29" s="324"/>
      <c r="B29" s="325"/>
      <c r="C29" s="326"/>
      <c r="D29" s="326"/>
      <c r="E29" s="326"/>
      <c r="F29" s="327"/>
      <c r="G29" s="458"/>
    </row>
    <row r="30" spans="1:7" s="206" customFormat="1" x14ac:dyDescent="0.2">
      <c r="A30" s="317" t="s">
        <v>642</v>
      </c>
      <c r="B30" s="318"/>
      <c r="C30" s="319" t="s">
        <v>403</v>
      </c>
      <c r="D30" s="319" t="s">
        <v>404</v>
      </c>
      <c r="E30" s="319" t="s">
        <v>405</v>
      </c>
      <c r="F30" s="319" t="s">
        <v>406</v>
      </c>
      <c r="G30" s="680" t="s">
        <v>26</v>
      </c>
    </row>
    <row r="31" spans="1:7" s="206" customFormat="1" x14ac:dyDescent="0.2">
      <c r="A31" s="320">
        <v>1</v>
      </c>
      <c r="B31" s="453" t="s">
        <v>816</v>
      </c>
      <c r="C31" s="321">
        <v>13</v>
      </c>
      <c r="D31" s="321">
        <v>13</v>
      </c>
      <c r="E31" s="321"/>
      <c r="F31" s="321"/>
      <c r="G31" s="321" t="str">
        <f>IF(AND(COUNTIF(C31:F31,13)=0,COUNT(C31:F31)=2),"IV",IF(AND(COUNTIF(C31:F31,13)=1,COUNT(C31:F31)=3),"III",IF(AND(COUNTIF(C31:F31,13)=2,COUNT(C31:F31)=3),"II",IF(AND(COUNTIF(C31:F31,13)=2,COUNT(C31:F31)=2),"I"))))</f>
        <v>I</v>
      </c>
    </row>
    <row r="32" spans="1:7" s="206" customFormat="1" x14ac:dyDescent="0.2">
      <c r="A32" s="320">
        <v>2</v>
      </c>
      <c r="B32" s="453" t="s">
        <v>656</v>
      </c>
      <c r="C32" s="321">
        <v>8</v>
      </c>
      <c r="D32" s="321"/>
      <c r="E32" s="321">
        <v>13</v>
      </c>
      <c r="F32" s="321">
        <v>11</v>
      </c>
      <c r="G32" s="321" t="str">
        <f t="shared" ref="G32:G33" si="4">IF(AND(COUNTIF(C32:F32,13)=0,COUNT(C32:F32)=2),"IV",IF(AND(COUNTIF(C32:F32,13)=1,COUNT(C32:F32)=3),"III",IF(AND(COUNTIF(C32:F32,13)=2,COUNT(C32:F32)=3),"II",IF(AND(COUNTIF(C32:F32,13)=2,COUNT(C32:F32)=2),"I"))))</f>
        <v>III</v>
      </c>
    </row>
    <row r="33" spans="1:13" s="206" customFormat="1" x14ac:dyDescent="0.2">
      <c r="A33" s="320">
        <v>3</v>
      </c>
      <c r="B33" s="453" t="s">
        <v>954</v>
      </c>
      <c r="C33" s="321">
        <v>13</v>
      </c>
      <c r="D33" s="321">
        <v>0</v>
      </c>
      <c r="E33" s="321"/>
      <c r="F33" s="321">
        <v>13</v>
      </c>
      <c r="G33" s="321" t="str">
        <f t="shared" si="4"/>
        <v>II</v>
      </c>
    </row>
    <row r="34" spans="1:13" s="206" customFormat="1" x14ac:dyDescent="0.2">
      <c r="A34" s="320">
        <v>4</v>
      </c>
      <c r="B34" s="454"/>
      <c r="C34" s="321">
        <v>0</v>
      </c>
      <c r="D34" s="321"/>
      <c r="E34" s="321">
        <v>0</v>
      </c>
      <c r="F34" s="321"/>
      <c r="G34" s="321"/>
    </row>
    <row r="35" spans="1:13" s="206" customFormat="1" x14ac:dyDescent="0.2">
      <c r="A35" s="324"/>
      <c r="B35" s="325"/>
      <c r="C35" s="326"/>
      <c r="D35" s="326"/>
      <c r="E35" s="326"/>
      <c r="F35" s="327"/>
      <c r="G35" s="458"/>
    </row>
    <row r="36" spans="1:13" s="206" customFormat="1" x14ac:dyDescent="0.2">
      <c r="A36" s="317" t="s">
        <v>643</v>
      </c>
      <c r="B36" s="318"/>
      <c r="C36" s="319" t="s">
        <v>403</v>
      </c>
      <c r="D36" s="319" t="s">
        <v>404</v>
      </c>
      <c r="E36" s="319" t="s">
        <v>405</v>
      </c>
      <c r="F36" s="319" t="s">
        <v>406</v>
      </c>
      <c r="G36" s="680" t="s">
        <v>26</v>
      </c>
    </row>
    <row r="37" spans="1:13" s="206" customFormat="1" x14ac:dyDescent="0.2">
      <c r="A37" s="320">
        <v>1</v>
      </c>
      <c r="B37" s="453" t="s">
        <v>955</v>
      </c>
      <c r="C37" s="321">
        <v>13</v>
      </c>
      <c r="D37" s="321">
        <v>13</v>
      </c>
      <c r="E37" s="321"/>
      <c r="F37" s="321"/>
      <c r="G37" s="321" t="str">
        <f>IF(AND(COUNTIF(C37:F37,13)=0,COUNT(C37:F37)=2),"IV",IF(AND(COUNTIF(C37:F37,13)=1,COUNT(C37:F37)=3),"III",IF(AND(COUNTIF(C37:F37,13)=2,COUNT(C37:F37)=3),"II",IF(AND(COUNTIF(C37:F37,13)=2,COUNT(C37:F37)=2),"I"))))</f>
        <v>I</v>
      </c>
    </row>
    <row r="38" spans="1:13" s="206" customFormat="1" x14ac:dyDescent="0.2">
      <c r="A38" s="320">
        <v>2</v>
      </c>
      <c r="B38" s="453" t="s">
        <v>956</v>
      </c>
      <c r="C38" s="321">
        <v>12</v>
      </c>
      <c r="D38" s="321"/>
      <c r="E38" s="321">
        <v>13</v>
      </c>
      <c r="F38" s="321">
        <v>6</v>
      </c>
      <c r="G38" s="321" t="str">
        <f t="shared" ref="G38:G39" si="5">IF(AND(COUNTIF(C38:F38,13)=0,COUNT(C38:F38)=2),"IV",IF(AND(COUNTIF(C38:F38,13)=1,COUNT(C38:F38)=3),"III",IF(AND(COUNTIF(C38:F38,13)=2,COUNT(C38:F38)=3),"II",IF(AND(COUNTIF(C38:F38,13)=2,COUNT(C38:F38)=2),"I"))))</f>
        <v>III</v>
      </c>
    </row>
    <row r="39" spans="1:13" s="206" customFormat="1" x14ac:dyDescent="0.2">
      <c r="A39" s="320">
        <v>3</v>
      </c>
      <c r="B39" s="453" t="s">
        <v>957</v>
      </c>
      <c r="C39" s="321">
        <v>13</v>
      </c>
      <c r="D39" s="321">
        <v>4</v>
      </c>
      <c r="E39" s="321"/>
      <c r="F39" s="321">
        <v>13</v>
      </c>
      <c r="G39" s="321" t="str">
        <f t="shared" si="5"/>
        <v>II</v>
      </c>
    </row>
    <row r="40" spans="1:13" s="206" customFormat="1" x14ac:dyDescent="0.2">
      <c r="A40" s="320">
        <v>4</v>
      </c>
      <c r="B40" s="454"/>
      <c r="C40" s="321">
        <v>0</v>
      </c>
      <c r="D40" s="321"/>
      <c r="E40" s="321">
        <v>0</v>
      </c>
      <c r="F40" s="321"/>
      <c r="G40" s="321"/>
    </row>
    <row r="41" spans="1:13" s="206" customFormat="1" x14ac:dyDescent="0.2">
      <c r="A41" s="324"/>
      <c r="B41" s="325"/>
      <c r="C41" s="326"/>
      <c r="D41" s="326"/>
      <c r="E41" s="326"/>
      <c r="F41" s="327"/>
      <c r="G41" s="458"/>
    </row>
    <row r="42" spans="1:13" s="206" customFormat="1" x14ac:dyDescent="0.2">
      <c r="A42" s="317" t="s">
        <v>745</v>
      </c>
      <c r="B42" s="318"/>
      <c r="C42" s="319" t="s">
        <v>403</v>
      </c>
      <c r="D42" s="319" t="s">
        <v>404</v>
      </c>
      <c r="E42" s="319" t="s">
        <v>405</v>
      </c>
      <c r="F42" s="319" t="s">
        <v>406</v>
      </c>
      <c r="G42" s="680" t="s">
        <v>26</v>
      </c>
    </row>
    <row r="43" spans="1:13" s="206" customFormat="1" x14ac:dyDescent="0.2">
      <c r="A43" s="320">
        <v>1</v>
      </c>
      <c r="B43" s="453" t="s">
        <v>958</v>
      </c>
      <c r="C43" s="321">
        <v>13</v>
      </c>
      <c r="D43" s="321">
        <v>13</v>
      </c>
      <c r="E43" s="321"/>
      <c r="F43" s="321"/>
      <c r="G43" s="321" t="str">
        <f>IF(AND(COUNTIF(C43:F43,13)=0,COUNT(C43:F43)=2),"IV",IF(AND(COUNTIF(C43:F43,13)=1,COUNT(C43:F43)=3),"III",IF(AND(COUNTIF(C43:F43,13)=2,COUNT(C43:F43)=3),"II",IF(AND(COUNTIF(C43:F43,13)=2,COUNT(C43:F43)=2),"I"))))</f>
        <v>I</v>
      </c>
    </row>
    <row r="44" spans="1:13" s="206" customFormat="1" x14ac:dyDescent="0.2">
      <c r="A44" s="320">
        <v>2</v>
      </c>
      <c r="B44" s="453" t="s">
        <v>959</v>
      </c>
      <c r="C44" s="321">
        <v>13</v>
      </c>
      <c r="D44" s="321">
        <v>2</v>
      </c>
      <c r="E44" s="321"/>
      <c r="F44" s="321">
        <v>13</v>
      </c>
      <c r="G44" s="321" t="str">
        <f t="shared" ref="G44:G45" si="6">IF(AND(COUNTIF(C44:F44,13)=0,COUNT(C44:F44)=2),"IV",IF(AND(COUNTIF(C44:F44,13)=1,COUNT(C44:F44)=3),"III",IF(AND(COUNTIF(C44:F44,13)=2,COUNT(C44:F44)=3),"II",IF(AND(COUNTIF(C44:F44,13)=2,COUNT(C44:F44)=2),"I"))))</f>
        <v>II</v>
      </c>
    </row>
    <row r="45" spans="1:13" s="206" customFormat="1" x14ac:dyDescent="0.2">
      <c r="A45" s="320">
        <v>3</v>
      </c>
      <c r="B45" s="453" t="s">
        <v>960</v>
      </c>
      <c r="C45" s="321">
        <v>5</v>
      </c>
      <c r="D45" s="321"/>
      <c r="E45" s="321">
        <v>13</v>
      </c>
      <c r="F45" s="321">
        <v>4</v>
      </c>
      <c r="G45" s="321" t="str">
        <f t="shared" si="6"/>
        <v>III</v>
      </c>
    </row>
    <row r="46" spans="1:13" s="206" customFormat="1" x14ac:dyDescent="0.2">
      <c r="A46" s="320">
        <v>4</v>
      </c>
      <c r="B46" s="454"/>
      <c r="C46" s="321">
        <v>0</v>
      </c>
      <c r="D46" s="321"/>
      <c r="E46" s="321">
        <v>0</v>
      </c>
      <c r="F46" s="321"/>
      <c r="G46" s="321"/>
    </row>
    <row r="47" spans="1:13" s="206" customFormat="1" x14ac:dyDescent="0.2"/>
    <row r="48" spans="1:13" s="420" customFormat="1" x14ac:dyDescent="0.2">
      <c r="A48" s="421" t="s">
        <v>644</v>
      </c>
      <c r="B48" s="89"/>
      <c r="C48" s="326"/>
      <c r="D48" s="326"/>
      <c r="E48" s="326"/>
      <c r="F48" s="327"/>
      <c r="G48" s="328"/>
      <c r="H48" s="135"/>
      <c r="I48" s="135"/>
      <c r="J48" s="135"/>
      <c r="K48" s="135"/>
      <c r="L48" s="135"/>
      <c r="M48" s="135"/>
    </row>
    <row r="49" spans="1:13" s="420" customFormat="1" x14ac:dyDescent="0.2">
      <c r="A49" s="135"/>
      <c r="B49" s="135"/>
      <c r="C49" s="135"/>
      <c r="D49" s="135"/>
      <c r="E49" s="135"/>
      <c r="F49" s="135"/>
      <c r="G49" s="135"/>
      <c r="H49" s="135"/>
      <c r="I49" s="135"/>
      <c r="J49" s="135"/>
      <c r="K49" s="135"/>
      <c r="L49" s="135"/>
      <c r="M49" s="135"/>
    </row>
    <row r="50" spans="1:13" s="420" customFormat="1" x14ac:dyDescent="0.2">
      <c r="A50" s="422" t="s">
        <v>732</v>
      </c>
      <c r="B50" s="452" t="s">
        <v>955</v>
      </c>
      <c r="C50" s="423">
        <v>13</v>
      </c>
      <c r="D50" s="135"/>
      <c r="E50" s="135"/>
      <c r="F50" s="135"/>
      <c r="G50" s="135"/>
      <c r="H50" s="135"/>
      <c r="I50" s="135"/>
      <c r="J50" s="135"/>
      <c r="K50" s="135"/>
      <c r="L50" s="135"/>
      <c r="M50" s="135"/>
    </row>
    <row r="51" spans="1:13" s="420" customFormat="1" x14ac:dyDescent="0.2">
      <c r="A51" s="424"/>
      <c r="B51" s="425"/>
      <c r="C51" s="426" t="s">
        <v>955</v>
      </c>
      <c r="D51" s="135"/>
      <c r="E51" s="423">
        <v>13</v>
      </c>
      <c r="F51" s="135"/>
      <c r="G51" s="135"/>
      <c r="H51" s="135"/>
      <c r="I51" s="135"/>
      <c r="J51" s="135"/>
      <c r="K51" s="135"/>
      <c r="L51" s="135"/>
    </row>
    <row r="52" spans="1:13" s="420" customFormat="1" x14ac:dyDescent="0.2">
      <c r="A52" s="424" t="s">
        <v>599</v>
      </c>
      <c r="B52" s="681" t="s">
        <v>941</v>
      </c>
      <c r="C52" s="428">
        <v>9</v>
      </c>
      <c r="D52" s="429"/>
      <c r="E52" s="135"/>
      <c r="F52" s="135"/>
      <c r="G52" s="135"/>
      <c r="H52" s="135"/>
      <c r="I52" s="135"/>
      <c r="J52" s="135"/>
      <c r="K52" s="135"/>
      <c r="L52" s="135"/>
    </row>
    <row r="53" spans="1:13" s="420" customFormat="1" x14ac:dyDescent="0.2">
      <c r="A53" s="424"/>
      <c r="B53" s="135"/>
      <c r="C53" s="135"/>
      <c r="D53" s="430"/>
      <c r="E53" s="431" t="s">
        <v>955</v>
      </c>
      <c r="F53" s="135"/>
      <c r="G53" s="423">
        <v>6</v>
      </c>
      <c r="H53" s="135"/>
      <c r="I53" s="135"/>
      <c r="J53" s="135"/>
      <c r="K53" s="135"/>
    </row>
    <row r="54" spans="1:13" s="420" customFormat="1" x14ac:dyDescent="0.2">
      <c r="A54" s="424" t="s">
        <v>761</v>
      </c>
      <c r="B54" s="135" t="s">
        <v>958</v>
      </c>
      <c r="C54" s="432">
        <v>13</v>
      </c>
      <c r="D54" s="430"/>
      <c r="E54" s="433"/>
      <c r="F54" s="429"/>
      <c r="G54" s="135"/>
      <c r="H54" s="135"/>
      <c r="I54" s="135"/>
      <c r="J54" s="135"/>
      <c r="K54" s="135"/>
    </row>
    <row r="55" spans="1:13" s="420" customFormat="1" x14ac:dyDescent="0.2">
      <c r="A55" s="424"/>
      <c r="B55" s="425"/>
      <c r="C55" s="431" t="s">
        <v>958</v>
      </c>
      <c r="D55" s="434"/>
      <c r="E55" s="432">
        <v>12</v>
      </c>
      <c r="F55" s="430"/>
      <c r="G55" s="135"/>
      <c r="H55" s="135"/>
      <c r="I55" s="135"/>
      <c r="J55" s="135"/>
      <c r="K55" s="135"/>
    </row>
    <row r="56" spans="1:13" s="420" customFormat="1" x14ac:dyDescent="0.2">
      <c r="A56" s="424"/>
      <c r="B56" s="681" t="s">
        <v>729</v>
      </c>
      <c r="C56" s="435">
        <v>0</v>
      </c>
      <c r="D56" s="135"/>
      <c r="E56" s="89"/>
      <c r="F56" s="430"/>
      <c r="G56" s="135"/>
      <c r="H56" s="135"/>
      <c r="I56" s="135"/>
      <c r="J56" s="135"/>
      <c r="K56" s="135"/>
    </row>
    <row r="57" spans="1:13" s="420" customFormat="1" x14ac:dyDescent="0.2">
      <c r="A57" s="63"/>
      <c r="B57" s="135"/>
      <c r="C57" s="135"/>
      <c r="D57" s="135"/>
      <c r="E57" s="89"/>
      <c r="F57" s="430"/>
      <c r="G57" s="431" t="s">
        <v>792</v>
      </c>
      <c r="H57" s="135"/>
      <c r="I57" s="423">
        <v>13</v>
      </c>
      <c r="J57" s="135"/>
      <c r="K57" s="135"/>
    </row>
    <row r="58" spans="1:13" s="420" customFormat="1" x14ac:dyDescent="0.2">
      <c r="A58" s="422" t="s">
        <v>598</v>
      </c>
      <c r="B58" s="135" t="s">
        <v>792</v>
      </c>
      <c r="C58" s="423">
        <v>13</v>
      </c>
      <c r="D58" s="135"/>
      <c r="E58" s="89"/>
      <c r="F58" s="430"/>
      <c r="G58" s="425"/>
      <c r="H58" s="429"/>
      <c r="I58" s="135"/>
      <c r="J58" s="135"/>
      <c r="K58" s="135"/>
    </row>
    <row r="59" spans="1:13" s="420" customFormat="1" x14ac:dyDescent="0.2">
      <c r="A59" s="424"/>
      <c r="B59" s="425"/>
      <c r="C59" s="426" t="s">
        <v>792</v>
      </c>
      <c r="D59" s="135"/>
      <c r="E59" s="432">
        <v>13</v>
      </c>
      <c r="F59" s="430"/>
      <c r="G59" s="89"/>
      <c r="H59" s="430"/>
      <c r="I59" s="135"/>
      <c r="J59" s="135"/>
      <c r="K59" s="135"/>
    </row>
    <row r="60" spans="1:13" s="420" customFormat="1" x14ac:dyDescent="0.2">
      <c r="A60" s="424" t="s">
        <v>601</v>
      </c>
      <c r="B60" s="427" t="s">
        <v>947</v>
      </c>
      <c r="C60" s="428">
        <v>7</v>
      </c>
      <c r="D60" s="429"/>
      <c r="E60" s="89"/>
      <c r="F60" s="430"/>
      <c r="G60" s="89"/>
      <c r="H60" s="430"/>
      <c r="I60" s="135"/>
      <c r="J60" s="135"/>
      <c r="K60" s="135"/>
    </row>
    <row r="61" spans="1:13" s="420" customFormat="1" x14ac:dyDescent="0.2">
      <c r="A61" s="424"/>
      <c r="B61" s="135"/>
      <c r="C61" s="135"/>
      <c r="D61" s="430"/>
      <c r="E61" s="427" t="s">
        <v>792</v>
      </c>
      <c r="F61" s="434"/>
      <c r="G61" s="432">
        <v>13</v>
      </c>
      <c r="H61" s="430"/>
      <c r="I61" s="135"/>
      <c r="J61" s="135"/>
      <c r="K61" s="135"/>
    </row>
    <row r="62" spans="1:13" s="420" customFormat="1" x14ac:dyDescent="0.2">
      <c r="A62" s="424" t="s">
        <v>731</v>
      </c>
      <c r="B62" s="135" t="s">
        <v>816</v>
      </c>
      <c r="C62" s="432">
        <v>11</v>
      </c>
      <c r="D62" s="430"/>
      <c r="E62" s="431"/>
      <c r="F62" s="89"/>
      <c r="G62" s="89"/>
      <c r="H62" s="430"/>
      <c r="I62" s="135"/>
      <c r="J62" s="135"/>
      <c r="K62" s="135"/>
    </row>
    <row r="63" spans="1:13" s="420" customFormat="1" x14ac:dyDescent="0.2">
      <c r="A63" s="424"/>
      <c r="B63" s="425"/>
      <c r="C63" s="431" t="s">
        <v>952</v>
      </c>
      <c r="D63" s="434"/>
      <c r="E63" s="432">
        <v>3</v>
      </c>
      <c r="F63" s="135"/>
      <c r="G63" s="89"/>
      <c r="H63" s="430"/>
      <c r="I63" s="135"/>
      <c r="J63" s="135"/>
      <c r="K63" s="135"/>
    </row>
    <row r="64" spans="1:13" s="420" customFormat="1" x14ac:dyDescent="0.2">
      <c r="A64" s="424" t="s">
        <v>595</v>
      </c>
      <c r="B64" s="681" t="s">
        <v>952</v>
      </c>
      <c r="C64" s="435">
        <v>13</v>
      </c>
      <c r="D64" s="135"/>
      <c r="E64" s="89"/>
      <c r="F64" s="89"/>
      <c r="G64" s="89"/>
      <c r="H64" s="430"/>
      <c r="I64" s="135"/>
      <c r="J64" s="135"/>
      <c r="K64" s="135"/>
    </row>
    <row r="65" spans="1:11" s="420" customFormat="1" ht="13.5" thickBot="1" x14ac:dyDescent="0.25">
      <c r="A65" s="135"/>
      <c r="B65" s="135"/>
      <c r="C65" s="135"/>
      <c r="D65" s="135"/>
      <c r="E65" s="135"/>
      <c r="F65" s="135"/>
      <c r="G65" s="89"/>
      <c r="H65" s="430"/>
      <c r="I65" s="135"/>
      <c r="J65" s="135" t="s">
        <v>792</v>
      </c>
      <c r="K65" s="135"/>
    </row>
    <row r="66" spans="1:11" s="420" customFormat="1" x14ac:dyDescent="0.2">
      <c r="A66" s="422" t="s">
        <v>733</v>
      </c>
      <c r="B66" s="135" t="s">
        <v>954</v>
      </c>
      <c r="C66" s="423">
        <v>13</v>
      </c>
      <c r="D66" s="135"/>
      <c r="E66" s="135"/>
      <c r="F66" s="135"/>
      <c r="G66" s="89"/>
      <c r="H66" s="430"/>
      <c r="I66" s="436"/>
      <c r="J66" s="437" t="s">
        <v>411</v>
      </c>
      <c r="K66" s="438"/>
    </row>
    <row r="67" spans="1:11" s="420" customFormat="1" x14ac:dyDescent="0.2">
      <c r="A67" s="424"/>
      <c r="B67" s="425"/>
      <c r="C67" s="426" t="s">
        <v>954</v>
      </c>
      <c r="D67" s="135"/>
      <c r="E67" s="423">
        <v>3</v>
      </c>
      <c r="F67" s="135"/>
      <c r="G67" s="89"/>
      <c r="H67" s="430"/>
      <c r="I67" s="135"/>
      <c r="J67" s="135"/>
      <c r="K67" s="135"/>
    </row>
    <row r="68" spans="1:11" s="420" customFormat="1" x14ac:dyDescent="0.2">
      <c r="A68" s="424" t="s">
        <v>597</v>
      </c>
      <c r="B68" s="681" t="s">
        <v>808</v>
      </c>
      <c r="C68" s="428">
        <v>4</v>
      </c>
      <c r="D68" s="429"/>
      <c r="E68" s="135"/>
      <c r="F68" s="135"/>
      <c r="G68" s="89"/>
      <c r="H68" s="430"/>
      <c r="I68" s="135"/>
      <c r="J68" s="135"/>
      <c r="K68" s="135"/>
    </row>
    <row r="69" spans="1:11" s="420" customFormat="1" x14ac:dyDescent="0.2">
      <c r="A69" s="424"/>
      <c r="B69" s="135"/>
      <c r="C69" s="135"/>
      <c r="D69" s="430"/>
      <c r="E69" s="135" t="s">
        <v>663</v>
      </c>
      <c r="F69" s="135"/>
      <c r="G69" s="432">
        <v>5</v>
      </c>
      <c r="H69" s="430"/>
      <c r="I69" s="135"/>
      <c r="J69" s="135"/>
      <c r="K69" s="135"/>
    </row>
    <row r="70" spans="1:11" s="420" customFormat="1" x14ac:dyDescent="0.2">
      <c r="A70" s="424" t="s">
        <v>600</v>
      </c>
      <c r="B70" s="135" t="s">
        <v>663</v>
      </c>
      <c r="C70" s="432">
        <v>13</v>
      </c>
      <c r="D70" s="430"/>
      <c r="E70" s="433"/>
      <c r="F70" s="429"/>
      <c r="G70" s="89"/>
      <c r="H70" s="430"/>
      <c r="I70" s="135"/>
      <c r="J70" s="135"/>
      <c r="K70" s="135"/>
    </row>
    <row r="71" spans="1:11" s="420" customFormat="1" x14ac:dyDescent="0.2">
      <c r="A71" s="424"/>
      <c r="B71" s="425"/>
      <c r="C71" s="431" t="s">
        <v>663</v>
      </c>
      <c r="D71" s="434"/>
      <c r="E71" s="432">
        <v>13</v>
      </c>
      <c r="F71" s="430"/>
      <c r="G71" s="89"/>
      <c r="H71" s="430"/>
      <c r="I71" s="135"/>
      <c r="J71" s="135"/>
      <c r="K71" s="135"/>
    </row>
    <row r="72" spans="1:11" s="420" customFormat="1" x14ac:dyDescent="0.2">
      <c r="A72" s="424" t="s">
        <v>730</v>
      </c>
      <c r="B72" s="681" t="s">
        <v>957</v>
      </c>
      <c r="C72" s="435">
        <v>10</v>
      </c>
      <c r="D72" s="135"/>
      <c r="E72" s="89"/>
      <c r="F72" s="430"/>
      <c r="G72" s="89"/>
      <c r="H72" s="430"/>
      <c r="I72" s="135"/>
      <c r="J72" s="135"/>
      <c r="K72" s="135"/>
    </row>
    <row r="73" spans="1:11" s="420" customFormat="1" x14ac:dyDescent="0.2">
      <c r="A73" s="135"/>
      <c r="B73" s="135"/>
      <c r="C73" s="135"/>
      <c r="D73" s="135"/>
      <c r="E73" s="89"/>
      <c r="F73" s="430"/>
      <c r="G73" s="427" t="s">
        <v>949</v>
      </c>
      <c r="H73" s="434"/>
      <c r="I73" s="423">
        <v>2</v>
      </c>
      <c r="J73" s="135"/>
      <c r="K73" s="135"/>
    </row>
    <row r="74" spans="1:11" s="420" customFormat="1" ht="13.5" thickBot="1" x14ac:dyDescent="0.25">
      <c r="A74" s="422" t="s">
        <v>589</v>
      </c>
      <c r="B74" s="135" t="s">
        <v>949</v>
      </c>
      <c r="C74" s="423">
        <v>13</v>
      </c>
      <c r="D74" s="135"/>
      <c r="E74" s="89"/>
      <c r="F74" s="430"/>
      <c r="G74" s="135"/>
      <c r="H74" s="135"/>
      <c r="I74" s="135"/>
      <c r="J74" s="89" t="s">
        <v>949</v>
      </c>
      <c r="K74" s="439"/>
    </row>
    <row r="75" spans="1:11" s="420" customFormat="1" x14ac:dyDescent="0.2">
      <c r="A75" s="424"/>
      <c r="B75" s="425"/>
      <c r="C75" s="440" t="s">
        <v>949</v>
      </c>
      <c r="D75" s="135"/>
      <c r="E75" s="432">
        <v>13</v>
      </c>
      <c r="F75" s="430"/>
      <c r="G75" s="135"/>
      <c r="H75" s="135"/>
      <c r="I75" s="135"/>
      <c r="J75" s="437" t="s">
        <v>412</v>
      </c>
      <c r="K75" s="89"/>
    </row>
    <row r="76" spans="1:11" s="420" customFormat="1" x14ac:dyDescent="0.2">
      <c r="A76" s="424"/>
      <c r="B76" s="681" t="s">
        <v>729</v>
      </c>
      <c r="C76" s="428">
        <v>0</v>
      </c>
      <c r="D76" s="429"/>
      <c r="E76" s="89"/>
      <c r="F76" s="430"/>
      <c r="G76" s="135"/>
      <c r="H76" s="135"/>
      <c r="I76" s="135"/>
      <c r="J76" s="135"/>
      <c r="K76" s="135"/>
    </row>
    <row r="77" spans="1:11" s="420" customFormat="1" x14ac:dyDescent="0.2">
      <c r="A77" s="424"/>
      <c r="B77" s="135"/>
      <c r="C77" s="135"/>
      <c r="D77" s="430"/>
      <c r="E77" s="427" t="s">
        <v>949</v>
      </c>
      <c r="F77" s="434"/>
      <c r="G77" s="423">
        <v>13</v>
      </c>
      <c r="H77" s="135"/>
      <c r="I77" s="135"/>
      <c r="J77" s="135"/>
      <c r="K77" s="135"/>
    </row>
    <row r="78" spans="1:11" s="420" customFormat="1" x14ac:dyDescent="0.2">
      <c r="A78" s="424" t="s">
        <v>596</v>
      </c>
      <c r="B78" s="135" t="s">
        <v>668</v>
      </c>
      <c r="C78" s="432">
        <v>13</v>
      </c>
      <c r="D78" s="430"/>
      <c r="E78" s="431"/>
      <c r="F78" s="89"/>
      <c r="G78" s="135"/>
      <c r="H78" s="135"/>
      <c r="I78" s="135"/>
      <c r="J78" s="135"/>
      <c r="K78" s="135"/>
    </row>
    <row r="79" spans="1:11" s="420" customFormat="1" x14ac:dyDescent="0.2">
      <c r="A79" s="424"/>
      <c r="B79" s="425"/>
      <c r="C79" s="431" t="s">
        <v>668</v>
      </c>
      <c r="D79" s="434"/>
      <c r="E79" s="432">
        <v>3</v>
      </c>
      <c r="F79" s="135"/>
      <c r="G79" s="135" t="s">
        <v>955</v>
      </c>
      <c r="H79" s="135"/>
      <c r="I79" s="432">
        <v>13</v>
      </c>
      <c r="J79" s="135"/>
      <c r="K79" s="135"/>
    </row>
    <row r="80" spans="1:11" s="420" customFormat="1" ht="13.5" thickBot="1" x14ac:dyDescent="0.25">
      <c r="A80" s="424" t="s">
        <v>762</v>
      </c>
      <c r="B80" s="427" t="s">
        <v>959</v>
      </c>
      <c r="C80" s="435">
        <v>7</v>
      </c>
      <c r="D80" s="135"/>
      <c r="E80" s="89"/>
      <c r="F80" s="89"/>
      <c r="G80" s="425"/>
      <c r="H80" s="429"/>
      <c r="I80" s="439"/>
      <c r="J80" s="439" t="s">
        <v>955</v>
      </c>
      <c r="K80" s="439"/>
    </row>
    <row r="81" spans="1:13" s="420" customFormat="1" x14ac:dyDescent="0.2">
      <c r="A81" s="135"/>
      <c r="B81" s="135"/>
      <c r="C81" s="135"/>
      <c r="D81" s="135"/>
      <c r="E81" s="135"/>
      <c r="F81" s="89"/>
      <c r="G81" s="427" t="s">
        <v>663</v>
      </c>
      <c r="H81" s="434"/>
      <c r="I81" s="423">
        <v>4</v>
      </c>
      <c r="J81" s="441" t="s">
        <v>413</v>
      </c>
      <c r="K81" s="89"/>
    </row>
    <row r="82" spans="1:13" s="420" customFormat="1" x14ac:dyDescent="0.2">
      <c r="A82" s="135"/>
      <c r="B82" s="135"/>
      <c r="C82" s="135"/>
      <c r="D82" s="135"/>
      <c r="E82" s="135"/>
      <c r="F82" s="89"/>
      <c r="G82" s="135"/>
      <c r="H82" s="135"/>
      <c r="I82" s="135"/>
      <c r="J82" s="89"/>
      <c r="K82" s="89"/>
    </row>
    <row r="83" spans="1:13" s="420" customFormat="1" ht="13.5" thickBot="1" x14ac:dyDescent="0.25">
      <c r="A83" s="135"/>
      <c r="B83" s="135"/>
      <c r="C83" s="135"/>
      <c r="D83" s="135"/>
      <c r="E83" s="135"/>
      <c r="F83" s="89"/>
      <c r="G83" s="89"/>
      <c r="H83" s="89"/>
      <c r="I83" s="135"/>
      <c r="J83" s="439" t="s">
        <v>663</v>
      </c>
      <c r="K83" s="439"/>
    </row>
    <row r="84" spans="1:13" s="420" customFormat="1" x14ac:dyDescent="0.2">
      <c r="A84" s="135"/>
      <c r="B84" s="135"/>
      <c r="C84" s="135"/>
      <c r="D84" s="135"/>
      <c r="E84" s="135"/>
      <c r="F84" s="135"/>
      <c r="G84" s="89"/>
      <c r="H84" s="89"/>
      <c r="I84" s="135"/>
      <c r="J84" s="63" t="s">
        <v>414</v>
      </c>
      <c r="K84" s="135"/>
    </row>
    <row r="85" spans="1:13" s="206" customFormat="1" x14ac:dyDescent="0.2"/>
    <row r="86" spans="1:13" s="420" customFormat="1" x14ac:dyDescent="0.2">
      <c r="A86" s="421" t="s">
        <v>734</v>
      </c>
      <c r="B86" s="89"/>
      <c r="C86" s="326"/>
      <c r="D86" s="326"/>
      <c r="E86" s="326"/>
      <c r="F86" s="327"/>
      <c r="G86" s="328"/>
      <c r="H86" s="135"/>
      <c r="I86" s="135"/>
      <c r="J86" s="135"/>
      <c r="K86" s="135"/>
      <c r="L86" s="135"/>
      <c r="M86" s="135"/>
    </row>
    <row r="87" spans="1:13" s="420" customFormat="1" x14ac:dyDescent="0.2">
      <c r="A87" s="442"/>
      <c r="B87" s="135"/>
      <c r="C87" s="135"/>
      <c r="D87" s="135"/>
      <c r="E87" s="135"/>
      <c r="F87" s="135"/>
      <c r="G87" s="89"/>
      <c r="H87" s="89"/>
      <c r="I87" s="135"/>
      <c r="J87" s="63"/>
      <c r="K87" s="135"/>
    </row>
    <row r="88" spans="1:13" s="420" customFormat="1" x14ac:dyDescent="0.2">
      <c r="A88" s="135"/>
      <c r="B88" s="135"/>
      <c r="C88" s="135"/>
      <c r="D88" s="135"/>
      <c r="E88" s="443" t="s">
        <v>958</v>
      </c>
      <c r="F88" s="423"/>
      <c r="G88" s="423">
        <v>13</v>
      </c>
      <c r="H88" s="423"/>
      <c r="I88" s="423"/>
      <c r="J88" s="135"/>
      <c r="K88" s="135"/>
    </row>
    <row r="89" spans="1:13" s="420" customFormat="1" x14ac:dyDescent="0.2">
      <c r="A89" s="135"/>
      <c r="B89" s="135"/>
      <c r="C89" s="135"/>
      <c r="D89" s="135"/>
      <c r="E89" s="444"/>
      <c r="F89" s="445"/>
      <c r="G89" s="446" t="s">
        <v>958</v>
      </c>
      <c r="H89" s="423"/>
      <c r="I89" s="423">
        <v>13</v>
      </c>
      <c r="J89" s="135"/>
      <c r="K89" s="135"/>
    </row>
    <row r="90" spans="1:13" s="420" customFormat="1" x14ac:dyDescent="0.2">
      <c r="A90" s="135"/>
      <c r="B90" s="135"/>
      <c r="C90" s="135"/>
      <c r="D90" s="135"/>
      <c r="E90" s="446" t="s">
        <v>952</v>
      </c>
      <c r="F90" s="447"/>
      <c r="G90" s="423">
        <v>5</v>
      </c>
      <c r="H90" s="445"/>
      <c r="I90" s="423"/>
      <c r="J90" s="135"/>
      <c r="K90" s="135"/>
    </row>
    <row r="91" spans="1:13" s="420" customFormat="1" ht="13.5" thickBot="1" x14ac:dyDescent="0.25">
      <c r="A91" s="135"/>
      <c r="B91" s="135"/>
      <c r="C91" s="135"/>
      <c r="D91" s="135"/>
      <c r="E91" s="423"/>
      <c r="F91" s="423"/>
      <c r="G91" s="432"/>
      <c r="H91" s="448"/>
      <c r="I91" s="423"/>
      <c r="J91" s="135" t="s">
        <v>958</v>
      </c>
      <c r="K91" s="135"/>
    </row>
    <row r="92" spans="1:13" s="420" customFormat="1" x14ac:dyDescent="0.2">
      <c r="A92" s="135"/>
      <c r="B92" s="135"/>
      <c r="C92" s="135"/>
      <c r="D92" s="135"/>
      <c r="E92" s="686" t="s">
        <v>954</v>
      </c>
      <c r="F92" s="423"/>
      <c r="G92" s="423">
        <v>13</v>
      </c>
      <c r="H92" s="448"/>
      <c r="I92" s="449"/>
      <c r="J92" s="437" t="s">
        <v>415</v>
      </c>
      <c r="K92" s="438"/>
    </row>
    <row r="93" spans="1:13" s="420" customFormat="1" x14ac:dyDescent="0.2">
      <c r="A93" s="135"/>
      <c r="B93" s="135"/>
      <c r="C93" s="135"/>
      <c r="D93" s="135"/>
      <c r="E93" s="444"/>
      <c r="F93" s="445"/>
      <c r="G93" s="423" t="s">
        <v>954</v>
      </c>
      <c r="H93" s="447"/>
      <c r="I93" s="432">
        <v>7</v>
      </c>
      <c r="J93" s="135"/>
      <c r="K93" s="135"/>
    </row>
    <row r="94" spans="1:13" s="420" customFormat="1" ht="13.5" thickBot="1" x14ac:dyDescent="0.25">
      <c r="A94" s="135"/>
      <c r="B94" s="135"/>
      <c r="C94" s="135"/>
      <c r="D94" s="135"/>
      <c r="E94" s="446" t="s">
        <v>668</v>
      </c>
      <c r="F94" s="447"/>
      <c r="G94" s="444">
        <v>11</v>
      </c>
      <c r="H94" s="423"/>
      <c r="I94" s="432"/>
      <c r="J94" s="89" t="s">
        <v>954</v>
      </c>
      <c r="K94" s="439"/>
    </row>
    <row r="95" spans="1:13" s="420" customFormat="1" x14ac:dyDescent="0.2">
      <c r="A95" s="135"/>
      <c r="B95" s="135"/>
      <c r="C95" s="135"/>
      <c r="D95" s="135"/>
      <c r="E95" s="423"/>
      <c r="F95" s="423"/>
      <c r="G95" s="423"/>
      <c r="H95" s="423"/>
      <c r="I95" s="432"/>
      <c r="J95" s="437" t="s">
        <v>416</v>
      </c>
      <c r="K95" s="89"/>
    </row>
    <row r="96" spans="1:13" s="420" customFormat="1" x14ac:dyDescent="0.2">
      <c r="A96" s="135"/>
      <c r="B96" s="135"/>
      <c r="C96" s="135"/>
      <c r="D96" s="135"/>
      <c r="E96" s="423"/>
      <c r="F96" s="432"/>
      <c r="G96" s="686" t="s">
        <v>952</v>
      </c>
      <c r="H96" s="423"/>
      <c r="I96" s="432">
        <v>11</v>
      </c>
      <c r="J96" s="89"/>
      <c r="K96" s="89"/>
    </row>
    <row r="97" spans="1:11" s="420" customFormat="1" ht="13.5" thickBot="1" x14ac:dyDescent="0.25">
      <c r="A97" s="135"/>
      <c r="B97" s="135"/>
      <c r="C97" s="135"/>
      <c r="D97" s="135"/>
      <c r="E97" s="423"/>
      <c r="F97" s="432"/>
      <c r="G97" s="444"/>
      <c r="H97" s="445"/>
      <c r="I97" s="450"/>
      <c r="J97" s="439" t="s">
        <v>668</v>
      </c>
      <c r="K97" s="439"/>
    </row>
    <row r="98" spans="1:11" s="420" customFormat="1" x14ac:dyDescent="0.2">
      <c r="A98" s="135"/>
      <c r="B98" s="135"/>
      <c r="C98" s="135"/>
      <c r="D98" s="135"/>
      <c r="E98" s="423"/>
      <c r="F98" s="432"/>
      <c r="G98" s="446" t="s">
        <v>668</v>
      </c>
      <c r="H98" s="447"/>
      <c r="I98" s="423">
        <v>13</v>
      </c>
      <c r="J98" s="441" t="s">
        <v>417</v>
      </c>
      <c r="K98" s="89"/>
    </row>
    <row r="99" spans="1:11" s="420" customFormat="1" x14ac:dyDescent="0.2">
      <c r="A99" s="135"/>
      <c r="B99" s="135"/>
      <c r="C99" s="135"/>
      <c r="D99" s="135"/>
      <c r="E99" s="135"/>
      <c r="F99" s="89"/>
      <c r="G99" s="135"/>
      <c r="H99" s="135"/>
      <c r="I99" s="135"/>
      <c r="J99" s="89"/>
      <c r="K99" s="89"/>
    </row>
    <row r="100" spans="1:11" s="420" customFormat="1" ht="13.5" thickBot="1" x14ac:dyDescent="0.25">
      <c r="A100" s="135"/>
      <c r="B100" s="135"/>
      <c r="C100" s="135"/>
      <c r="D100" s="135"/>
      <c r="E100" s="135"/>
      <c r="F100" s="135"/>
      <c r="G100" s="89"/>
      <c r="H100" s="89"/>
      <c r="I100" s="135"/>
      <c r="J100" s="439" t="s">
        <v>952</v>
      </c>
      <c r="K100" s="439"/>
    </row>
    <row r="101" spans="1:11" s="420" customFormat="1" x14ac:dyDescent="0.2">
      <c r="A101" s="135"/>
      <c r="B101" s="135"/>
      <c r="C101" s="135"/>
      <c r="D101" s="135"/>
      <c r="E101" s="135"/>
      <c r="F101" s="135"/>
      <c r="G101" s="89"/>
      <c r="H101" s="89"/>
      <c r="I101" s="135"/>
      <c r="J101" s="441" t="s">
        <v>418</v>
      </c>
      <c r="K101" s="135"/>
    </row>
    <row r="102" spans="1:11" s="420" customFormat="1" x14ac:dyDescent="0.2">
      <c r="A102" s="135"/>
      <c r="B102" s="135"/>
      <c r="C102" s="135"/>
      <c r="D102" s="135"/>
      <c r="E102" s="135"/>
      <c r="F102" s="135"/>
      <c r="G102" s="89"/>
      <c r="H102" s="89"/>
      <c r="I102" s="135"/>
      <c r="J102" s="441"/>
      <c r="K102" s="135"/>
    </row>
    <row r="103" spans="1:11" s="420" customFormat="1" x14ac:dyDescent="0.2">
      <c r="A103" s="421" t="s">
        <v>763</v>
      </c>
      <c r="B103" s="135"/>
      <c r="C103" s="135"/>
      <c r="D103" s="135"/>
      <c r="E103" s="135"/>
      <c r="F103" s="135"/>
      <c r="G103" s="135"/>
      <c r="H103" s="135"/>
      <c r="I103" s="135"/>
      <c r="J103" s="135"/>
      <c r="K103" s="135"/>
    </row>
    <row r="104" spans="1:11" s="420" customFormat="1" x14ac:dyDescent="0.2">
      <c r="A104" s="135"/>
      <c r="B104" s="89"/>
      <c r="C104" s="681" t="s">
        <v>941</v>
      </c>
      <c r="D104" s="135"/>
      <c r="E104" s="423">
        <v>13</v>
      </c>
      <c r="F104" s="135"/>
      <c r="G104" s="135"/>
      <c r="H104" s="135"/>
      <c r="I104" s="135"/>
      <c r="J104" s="135"/>
      <c r="K104" s="135"/>
    </row>
    <row r="105" spans="1:11" s="420" customFormat="1" x14ac:dyDescent="0.2">
      <c r="A105" s="135"/>
      <c r="B105" s="89"/>
      <c r="C105" s="425"/>
      <c r="D105" s="429"/>
      <c r="E105" s="431" t="s">
        <v>941</v>
      </c>
      <c r="F105" s="135"/>
      <c r="G105" s="423">
        <v>6</v>
      </c>
      <c r="H105" s="135"/>
      <c r="I105" s="135"/>
      <c r="J105" s="135"/>
      <c r="K105" s="135"/>
    </row>
    <row r="106" spans="1:11" s="420" customFormat="1" x14ac:dyDescent="0.2">
      <c r="A106" s="135"/>
      <c r="B106" s="89"/>
      <c r="C106" s="681" t="s">
        <v>729</v>
      </c>
      <c r="D106" s="434"/>
      <c r="E106" s="444">
        <v>0</v>
      </c>
      <c r="F106" s="429"/>
      <c r="G106" s="135"/>
      <c r="H106" s="135"/>
      <c r="I106" s="135"/>
      <c r="J106" s="135"/>
      <c r="K106" s="135"/>
    </row>
    <row r="107" spans="1:11" s="420" customFormat="1" x14ac:dyDescent="0.2">
      <c r="A107" s="135"/>
      <c r="B107" s="89"/>
      <c r="C107" s="135"/>
      <c r="D107" s="135"/>
      <c r="E107" s="89"/>
      <c r="F107" s="430"/>
      <c r="G107" s="431" t="s">
        <v>947</v>
      </c>
      <c r="H107" s="135"/>
      <c r="I107" s="423">
        <v>0</v>
      </c>
      <c r="J107" s="135"/>
      <c r="K107" s="135"/>
    </row>
    <row r="108" spans="1:11" s="420" customFormat="1" x14ac:dyDescent="0.2">
      <c r="A108" s="135"/>
      <c r="B108" s="89"/>
      <c r="C108" s="681" t="s">
        <v>947</v>
      </c>
      <c r="D108" s="135"/>
      <c r="E108" s="432">
        <v>13</v>
      </c>
      <c r="F108" s="430"/>
      <c r="G108" s="433"/>
      <c r="H108" s="429"/>
      <c r="I108" s="135"/>
      <c r="J108" s="135"/>
      <c r="K108" s="135"/>
    </row>
    <row r="109" spans="1:11" s="420" customFormat="1" x14ac:dyDescent="0.2">
      <c r="A109" s="135"/>
      <c r="B109" s="89"/>
      <c r="C109" s="135"/>
      <c r="D109" s="429"/>
      <c r="E109" s="427" t="s">
        <v>947</v>
      </c>
      <c r="F109" s="434"/>
      <c r="G109" s="432">
        <v>13</v>
      </c>
      <c r="H109" s="430"/>
      <c r="I109" s="135"/>
      <c r="J109" s="135"/>
      <c r="K109" s="135"/>
    </row>
    <row r="110" spans="1:11" s="420" customFormat="1" x14ac:dyDescent="0.2">
      <c r="A110" s="135"/>
      <c r="B110" s="89"/>
      <c r="C110" s="684" t="s">
        <v>816</v>
      </c>
      <c r="D110" s="434"/>
      <c r="E110" s="432">
        <v>2</v>
      </c>
      <c r="F110" s="135"/>
      <c r="G110" s="89"/>
      <c r="H110" s="430"/>
      <c r="I110" s="135"/>
      <c r="J110" s="135"/>
      <c r="K110" s="135"/>
    </row>
    <row r="111" spans="1:11" s="420" customFormat="1" ht="13.5" thickBot="1" x14ac:dyDescent="0.25">
      <c r="A111" s="135"/>
      <c r="B111" s="89"/>
      <c r="C111" s="444"/>
      <c r="D111" s="135"/>
      <c r="E111" s="89"/>
      <c r="F111" s="89"/>
      <c r="G111" s="89"/>
      <c r="H111" s="430"/>
      <c r="I111" s="135"/>
      <c r="J111" s="135" t="s">
        <v>959</v>
      </c>
      <c r="K111" s="135"/>
    </row>
    <row r="112" spans="1:11" s="420" customFormat="1" x14ac:dyDescent="0.2">
      <c r="A112" s="135"/>
      <c r="B112" s="89"/>
      <c r="C112" s="684" t="s">
        <v>808</v>
      </c>
      <c r="D112" s="135"/>
      <c r="E112" s="423">
        <v>12</v>
      </c>
      <c r="F112" s="135"/>
      <c r="G112" s="135"/>
      <c r="H112" s="430"/>
      <c r="I112" s="438"/>
      <c r="J112" s="437" t="s">
        <v>419</v>
      </c>
      <c r="K112" s="438"/>
    </row>
    <row r="113" spans="1:11" s="420" customFormat="1" x14ac:dyDescent="0.2">
      <c r="A113" s="135"/>
      <c r="B113" s="89"/>
      <c r="C113" s="425"/>
      <c r="D113" s="429"/>
      <c r="E113" s="702" t="s">
        <v>957</v>
      </c>
      <c r="F113" s="135"/>
      <c r="G113" s="423">
        <v>5</v>
      </c>
      <c r="H113" s="430"/>
      <c r="I113" s="135"/>
      <c r="J113" s="135"/>
      <c r="K113" s="135"/>
    </row>
    <row r="114" spans="1:11" s="420" customFormat="1" ht="13.5" thickBot="1" x14ac:dyDescent="0.25">
      <c r="A114" s="135"/>
      <c r="B114" s="89"/>
      <c r="C114" s="681" t="s">
        <v>957</v>
      </c>
      <c r="D114" s="434"/>
      <c r="E114" s="444">
        <v>13</v>
      </c>
      <c r="F114" s="429"/>
      <c r="G114" s="135"/>
      <c r="H114" s="430"/>
      <c r="I114" s="423"/>
      <c r="J114" s="89" t="s">
        <v>947</v>
      </c>
      <c r="K114" s="439"/>
    </row>
    <row r="115" spans="1:11" s="420" customFormat="1" x14ac:dyDescent="0.2">
      <c r="A115" s="135"/>
      <c r="B115" s="89"/>
      <c r="C115" s="135"/>
      <c r="D115" s="135"/>
      <c r="E115" s="89"/>
      <c r="F115" s="430"/>
      <c r="G115" s="431" t="s">
        <v>959</v>
      </c>
      <c r="H115" s="434"/>
      <c r="I115" s="423">
        <v>13</v>
      </c>
      <c r="J115" s="437" t="s">
        <v>420</v>
      </c>
      <c r="K115" s="89"/>
    </row>
    <row r="116" spans="1:11" s="420" customFormat="1" x14ac:dyDescent="0.2">
      <c r="A116" s="135"/>
      <c r="B116" s="89"/>
      <c r="C116" s="681" t="s">
        <v>729</v>
      </c>
      <c r="D116" s="135"/>
      <c r="E116" s="432">
        <v>0</v>
      </c>
      <c r="F116" s="430"/>
      <c r="G116" s="433"/>
      <c r="H116" s="425"/>
      <c r="I116" s="135"/>
      <c r="J116" s="135"/>
      <c r="K116" s="135"/>
    </row>
    <row r="117" spans="1:11" s="420" customFormat="1" x14ac:dyDescent="0.2">
      <c r="A117" s="135"/>
      <c r="B117" s="89"/>
      <c r="C117" s="135"/>
      <c r="D117" s="429"/>
      <c r="E117" s="427" t="s">
        <v>959</v>
      </c>
      <c r="F117" s="434"/>
      <c r="G117" s="432">
        <v>13</v>
      </c>
      <c r="H117" s="89"/>
      <c r="I117" s="135"/>
      <c r="J117" s="135"/>
      <c r="K117" s="135"/>
    </row>
    <row r="118" spans="1:11" s="420" customFormat="1" x14ac:dyDescent="0.2">
      <c r="A118" s="135"/>
      <c r="B118" s="89"/>
      <c r="C118" s="89" t="s">
        <v>959</v>
      </c>
      <c r="D118" s="434"/>
      <c r="E118" s="432">
        <v>13</v>
      </c>
      <c r="F118" s="135"/>
      <c r="G118" s="89"/>
      <c r="H118" s="89"/>
      <c r="I118" s="135"/>
      <c r="J118" s="135"/>
      <c r="K118" s="135"/>
    </row>
    <row r="119" spans="1:11" s="420" customFormat="1" x14ac:dyDescent="0.2">
      <c r="A119" s="135"/>
      <c r="B119" s="89"/>
      <c r="C119" s="444"/>
      <c r="D119" s="135"/>
      <c r="E119" s="89"/>
      <c r="F119" s="89"/>
      <c r="G119" s="452" t="s">
        <v>941</v>
      </c>
      <c r="H119" s="135"/>
      <c r="I119" s="432">
        <v>0</v>
      </c>
      <c r="J119" s="135"/>
      <c r="K119" s="135"/>
    </row>
    <row r="120" spans="1:11" s="420" customFormat="1" ht="13.5" thickBot="1" x14ac:dyDescent="0.25">
      <c r="A120" s="135"/>
      <c r="B120" s="89"/>
      <c r="C120" s="135"/>
      <c r="D120" s="135"/>
      <c r="E120" s="89"/>
      <c r="F120" s="89"/>
      <c r="G120" s="425"/>
      <c r="H120" s="429"/>
      <c r="I120" s="439"/>
      <c r="J120" s="439" t="s">
        <v>957</v>
      </c>
      <c r="K120" s="439"/>
    </row>
    <row r="121" spans="1:11" s="420" customFormat="1" x14ac:dyDescent="0.2">
      <c r="A121" s="135"/>
      <c r="B121" s="89"/>
      <c r="C121" s="423"/>
      <c r="D121" s="135"/>
      <c r="E121" s="89"/>
      <c r="F121" s="89"/>
      <c r="G121" s="427" t="s">
        <v>957</v>
      </c>
      <c r="H121" s="434"/>
      <c r="I121" s="423">
        <v>13</v>
      </c>
      <c r="J121" s="441" t="s">
        <v>421</v>
      </c>
      <c r="K121" s="89"/>
    </row>
    <row r="122" spans="1:11" s="420" customFormat="1" x14ac:dyDescent="0.2">
      <c r="A122" s="135"/>
      <c r="B122" s="89"/>
      <c r="C122" s="89"/>
      <c r="D122" s="89"/>
      <c r="E122" s="432"/>
      <c r="F122" s="89"/>
      <c r="G122" s="135"/>
      <c r="H122" s="135"/>
      <c r="I122" s="135"/>
      <c r="J122" s="89"/>
      <c r="K122" s="89"/>
    </row>
    <row r="123" spans="1:11" s="420" customFormat="1" ht="13.5" thickBot="1" x14ac:dyDescent="0.25">
      <c r="A123" s="135"/>
      <c r="B123" s="89"/>
      <c r="C123" s="432"/>
      <c r="D123" s="89"/>
      <c r="E123" s="89"/>
      <c r="F123" s="89"/>
      <c r="G123" s="89"/>
      <c r="H123" s="89"/>
      <c r="I123" s="135"/>
      <c r="J123" s="439" t="s">
        <v>941</v>
      </c>
      <c r="K123" s="439"/>
    </row>
    <row r="124" spans="1:11" s="420" customFormat="1" x14ac:dyDescent="0.2">
      <c r="A124" s="135"/>
      <c r="B124" s="89"/>
      <c r="C124" s="89"/>
      <c r="D124" s="89"/>
      <c r="E124" s="89"/>
      <c r="F124" s="135"/>
      <c r="G124" s="423"/>
      <c r="H124" s="135"/>
      <c r="I124" s="135"/>
      <c r="J124" s="63" t="s">
        <v>645</v>
      </c>
      <c r="K124" s="135"/>
    </row>
    <row r="125" spans="1:11" s="420" customFormat="1" x14ac:dyDescent="0.2">
      <c r="A125" s="135"/>
      <c r="B125" s="135"/>
      <c r="C125" s="135"/>
      <c r="D125" s="135"/>
      <c r="E125" s="685" t="s">
        <v>729</v>
      </c>
      <c r="F125" s="423"/>
      <c r="G125" s="423">
        <v>0</v>
      </c>
      <c r="H125" s="423"/>
      <c r="I125" s="423"/>
      <c r="J125" s="135"/>
      <c r="K125" s="135"/>
    </row>
    <row r="126" spans="1:11" s="420" customFormat="1" x14ac:dyDescent="0.2">
      <c r="A126" s="135"/>
      <c r="B126" s="135"/>
      <c r="C126" s="135"/>
      <c r="D126" s="135"/>
      <c r="E126" s="444"/>
      <c r="F126" s="445"/>
      <c r="G126" s="446" t="s">
        <v>816</v>
      </c>
      <c r="H126" s="423"/>
      <c r="I126" s="423">
        <v>0</v>
      </c>
      <c r="J126" s="135"/>
      <c r="K126" s="135"/>
    </row>
    <row r="127" spans="1:11" s="420" customFormat="1" x14ac:dyDescent="0.2">
      <c r="A127" s="135"/>
      <c r="B127" s="135"/>
      <c r="C127" s="135"/>
      <c r="D127" s="135"/>
      <c r="E127" s="446" t="s">
        <v>816</v>
      </c>
      <c r="F127" s="447"/>
      <c r="G127" s="423">
        <v>13</v>
      </c>
      <c r="H127" s="445"/>
      <c r="I127" s="423"/>
      <c r="J127" s="135"/>
      <c r="K127" s="135"/>
    </row>
    <row r="128" spans="1:11" s="420" customFormat="1" ht="13.5" thickBot="1" x14ac:dyDescent="0.25">
      <c r="A128" s="135"/>
      <c r="B128" s="135"/>
      <c r="C128" s="135"/>
      <c r="D128" s="135"/>
      <c r="E128" s="423"/>
      <c r="F128" s="423"/>
      <c r="G128" s="432"/>
      <c r="H128" s="448"/>
      <c r="I128" s="423"/>
      <c r="J128" s="135" t="s">
        <v>808</v>
      </c>
      <c r="K128" s="135"/>
    </row>
    <row r="129" spans="1:11" s="420" customFormat="1" x14ac:dyDescent="0.2">
      <c r="A129" s="135"/>
      <c r="B129" s="135"/>
      <c r="C129" s="135"/>
      <c r="D129" s="135"/>
      <c r="E129" s="686" t="s">
        <v>808</v>
      </c>
      <c r="F129" s="423"/>
      <c r="G129" s="423">
        <v>13</v>
      </c>
      <c r="H129" s="448"/>
      <c r="I129" s="449"/>
      <c r="J129" s="437" t="s">
        <v>646</v>
      </c>
      <c r="K129" s="438"/>
    </row>
    <row r="130" spans="1:11" s="420" customFormat="1" x14ac:dyDescent="0.2">
      <c r="A130" s="135"/>
      <c r="B130" s="135"/>
      <c r="C130" s="135"/>
      <c r="D130" s="135"/>
      <c r="E130" s="444"/>
      <c r="F130" s="445"/>
      <c r="G130" s="423" t="s">
        <v>808</v>
      </c>
      <c r="H130" s="447"/>
      <c r="I130" s="432">
        <v>13</v>
      </c>
      <c r="J130" s="135"/>
      <c r="K130" s="135"/>
    </row>
    <row r="131" spans="1:11" s="420" customFormat="1" ht="13.5" thickBot="1" x14ac:dyDescent="0.25">
      <c r="A131" s="135"/>
      <c r="B131" s="135"/>
      <c r="C131" s="135"/>
      <c r="D131" s="135"/>
      <c r="E131" s="683" t="s">
        <v>729</v>
      </c>
      <c r="F131" s="447"/>
      <c r="G131" s="444">
        <v>0</v>
      </c>
      <c r="H131" s="423"/>
      <c r="I131" s="432"/>
      <c r="J131" s="89" t="s">
        <v>816</v>
      </c>
      <c r="K131" s="439"/>
    </row>
    <row r="132" spans="1:11" s="420" customFormat="1" x14ac:dyDescent="0.2">
      <c r="A132" s="135"/>
      <c r="B132" s="135"/>
      <c r="C132" s="135"/>
      <c r="D132" s="135"/>
      <c r="E132" s="423"/>
      <c r="F132" s="423"/>
      <c r="G132" s="423"/>
      <c r="H132" s="423"/>
      <c r="I132" s="432"/>
      <c r="J132" s="437" t="s">
        <v>647</v>
      </c>
      <c r="K132" s="89"/>
    </row>
    <row r="133" spans="1:11" s="420" customFormat="1" x14ac:dyDescent="0.2">
      <c r="A133" s="135"/>
      <c r="B133" s="135"/>
      <c r="C133" s="135"/>
      <c r="D133" s="135"/>
      <c r="E133" s="423"/>
      <c r="F133" s="432"/>
      <c r="G133" s="423"/>
      <c r="H133" s="423"/>
      <c r="I133" s="432"/>
      <c r="J133" s="89"/>
      <c r="K133" s="89"/>
    </row>
    <row r="134" spans="1:11" s="420" customFormat="1" ht="13.5" thickBot="1" x14ac:dyDescent="0.25">
      <c r="A134" s="135"/>
      <c r="B134" s="135"/>
      <c r="C134" s="135"/>
      <c r="D134" s="135"/>
      <c r="E134" s="423"/>
      <c r="F134" s="432"/>
      <c r="G134" s="444"/>
      <c r="H134" s="445"/>
      <c r="I134" s="450"/>
      <c r="J134" s="439"/>
      <c r="K134" s="439"/>
    </row>
    <row r="135" spans="1:11" s="420" customFormat="1" x14ac:dyDescent="0.2">
      <c r="A135" s="135"/>
      <c r="B135" s="135"/>
      <c r="C135" s="135"/>
      <c r="D135" s="135"/>
      <c r="E135" s="423"/>
      <c r="F135" s="432"/>
      <c r="G135" s="446"/>
      <c r="H135" s="447"/>
      <c r="I135" s="423"/>
      <c r="J135" s="441"/>
      <c r="K135" s="89"/>
    </row>
    <row r="136" spans="1:11" s="420" customFormat="1" x14ac:dyDescent="0.2">
      <c r="A136" s="135"/>
      <c r="B136" s="135"/>
      <c r="C136" s="135"/>
      <c r="D136" s="135"/>
      <c r="E136" s="135"/>
      <c r="F136" s="89"/>
      <c r="G136" s="135"/>
      <c r="H136" s="135"/>
      <c r="I136" s="135"/>
      <c r="J136" s="89"/>
      <c r="K136" s="89"/>
    </row>
    <row r="137" spans="1:11" s="420" customFormat="1" ht="13.5" thickBot="1" x14ac:dyDescent="0.25">
      <c r="A137" s="135"/>
      <c r="B137" s="135"/>
      <c r="C137" s="135"/>
      <c r="D137" s="135"/>
      <c r="E137" s="135"/>
      <c r="F137" s="135"/>
      <c r="G137" s="89"/>
      <c r="H137" s="89"/>
      <c r="I137" s="135"/>
      <c r="J137" s="439"/>
      <c r="K137" s="439"/>
    </row>
    <row r="138" spans="1:11" s="420" customFormat="1" x14ac:dyDescent="0.2">
      <c r="A138" s="135"/>
      <c r="B138" s="135"/>
      <c r="C138" s="135"/>
      <c r="D138" s="135"/>
      <c r="E138" s="135"/>
      <c r="F138" s="135"/>
      <c r="G138" s="89"/>
      <c r="H138" s="89"/>
      <c r="I138" s="135"/>
      <c r="J138" s="63"/>
      <c r="K138" s="135"/>
    </row>
    <row r="139" spans="1:11" s="420" customFormat="1" x14ac:dyDescent="0.2">
      <c r="A139" s="135"/>
      <c r="B139" s="89"/>
      <c r="C139" s="89"/>
      <c r="D139" s="89"/>
      <c r="E139" s="89"/>
      <c r="F139" s="135"/>
      <c r="G139" s="423"/>
      <c r="H139" s="135"/>
      <c r="I139" s="135"/>
      <c r="J139" s="63"/>
      <c r="K139" s="135"/>
    </row>
    <row r="140" spans="1:11" s="420" customFormat="1" x14ac:dyDescent="0.2">
      <c r="A140" s="421" t="s">
        <v>961</v>
      </c>
      <c r="B140" s="89"/>
      <c r="C140" s="89"/>
      <c r="D140" s="89"/>
      <c r="E140" s="89"/>
      <c r="F140" s="135"/>
      <c r="G140" s="423"/>
      <c r="H140" s="135"/>
      <c r="I140" s="135"/>
      <c r="J140" s="63"/>
      <c r="K140" s="135"/>
    </row>
    <row r="141" spans="1:11" s="420" customFormat="1" x14ac:dyDescent="0.2">
      <c r="A141" s="135"/>
      <c r="B141" s="703" t="s">
        <v>735</v>
      </c>
      <c r="C141" s="135" t="s">
        <v>951</v>
      </c>
      <c r="D141" s="135"/>
      <c r="E141" s="423">
        <v>3</v>
      </c>
      <c r="F141" s="135"/>
      <c r="G141" s="135"/>
      <c r="H141" s="135"/>
      <c r="I141" s="135"/>
      <c r="J141" s="135"/>
      <c r="K141" s="135"/>
    </row>
    <row r="142" spans="1:11" s="420" customFormat="1" x14ac:dyDescent="0.2">
      <c r="A142" s="135"/>
      <c r="B142" s="424"/>
      <c r="C142" s="425"/>
      <c r="D142" s="429"/>
      <c r="E142" s="426" t="s">
        <v>950</v>
      </c>
      <c r="F142" s="135"/>
      <c r="G142" s="423">
        <v>13</v>
      </c>
      <c r="H142" s="135"/>
      <c r="I142" s="135"/>
      <c r="J142" s="135"/>
      <c r="K142" s="135"/>
    </row>
    <row r="143" spans="1:11" s="420" customFormat="1" x14ac:dyDescent="0.2">
      <c r="A143" s="135"/>
      <c r="B143" s="424" t="s">
        <v>736</v>
      </c>
      <c r="C143" s="681" t="s">
        <v>950</v>
      </c>
      <c r="D143" s="434"/>
      <c r="E143" s="460">
        <v>13</v>
      </c>
      <c r="F143" s="429"/>
      <c r="G143" s="135"/>
      <c r="H143" s="135"/>
      <c r="I143" s="135"/>
      <c r="J143" s="135"/>
      <c r="K143" s="135"/>
    </row>
    <row r="144" spans="1:11" s="420" customFormat="1" x14ac:dyDescent="0.2">
      <c r="A144" s="135"/>
      <c r="B144" s="687"/>
      <c r="C144" s="135"/>
      <c r="D144" s="135"/>
      <c r="E144" s="89"/>
      <c r="F144" s="430"/>
      <c r="G144" s="431" t="s">
        <v>950</v>
      </c>
      <c r="H144" s="135"/>
      <c r="I144" s="423">
        <v>0</v>
      </c>
      <c r="J144" s="135"/>
      <c r="K144" s="135"/>
    </row>
    <row r="145" spans="1:11" s="420" customFormat="1" x14ac:dyDescent="0.2">
      <c r="A145" s="135"/>
      <c r="B145" s="687" t="s">
        <v>766</v>
      </c>
      <c r="C145" s="681" t="s">
        <v>960</v>
      </c>
      <c r="D145" s="135"/>
      <c r="E145" s="432">
        <v>13</v>
      </c>
      <c r="F145" s="430"/>
      <c r="G145" s="433"/>
      <c r="H145" s="429"/>
      <c r="I145" s="135"/>
      <c r="J145" s="135"/>
      <c r="K145" s="135"/>
    </row>
    <row r="146" spans="1:11" s="420" customFormat="1" x14ac:dyDescent="0.2">
      <c r="A146" s="135"/>
      <c r="B146" s="687"/>
      <c r="C146" s="135"/>
      <c r="D146" s="429"/>
      <c r="E146" s="427" t="s">
        <v>960</v>
      </c>
      <c r="F146" s="434"/>
      <c r="G146" s="432">
        <v>10</v>
      </c>
      <c r="H146" s="430"/>
      <c r="I146" s="135"/>
      <c r="J146" s="135"/>
      <c r="K146" s="135"/>
    </row>
    <row r="147" spans="1:11" s="420" customFormat="1" x14ac:dyDescent="0.2">
      <c r="A147" s="135"/>
      <c r="B147" s="687" t="s">
        <v>737</v>
      </c>
      <c r="C147" s="684" t="s">
        <v>953</v>
      </c>
      <c r="D147" s="434"/>
      <c r="E147" s="432">
        <v>10</v>
      </c>
      <c r="F147" s="135"/>
      <c r="G147" s="89"/>
      <c r="H147" s="430"/>
      <c r="I147" s="135"/>
      <c r="J147" s="135"/>
      <c r="K147" s="135"/>
    </row>
    <row r="148" spans="1:11" s="420" customFormat="1" ht="13.5" thickBot="1" x14ac:dyDescent="0.25">
      <c r="A148" s="135"/>
      <c r="B148" s="687"/>
      <c r="C148" s="444"/>
      <c r="D148" s="135"/>
      <c r="E148" s="89"/>
      <c r="F148" s="89"/>
      <c r="G148" s="89"/>
      <c r="H148" s="430"/>
      <c r="I148" s="135"/>
      <c r="J148" s="452" t="s">
        <v>656</v>
      </c>
      <c r="K148" s="135"/>
    </row>
    <row r="149" spans="1:11" s="420" customFormat="1" x14ac:dyDescent="0.2">
      <c r="A149" s="135"/>
      <c r="B149" s="687" t="s">
        <v>738</v>
      </c>
      <c r="C149" s="684" t="s">
        <v>956</v>
      </c>
      <c r="D149" s="135"/>
      <c r="E149" s="423">
        <v>13</v>
      </c>
      <c r="F149" s="135"/>
      <c r="G149" s="135"/>
      <c r="H149" s="430"/>
      <c r="I149" s="438"/>
      <c r="J149" s="437" t="s">
        <v>648</v>
      </c>
      <c r="K149" s="438"/>
    </row>
    <row r="150" spans="1:11" s="420" customFormat="1" x14ac:dyDescent="0.2">
      <c r="A150" s="135"/>
      <c r="B150" s="687"/>
      <c r="C150" s="425"/>
      <c r="D150" s="429"/>
      <c r="E150" s="702" t="s">
        <v>956</v>
      </c>
      <c r="F150" s="135"/>
      <c r="G150" s="423">
        <v>10</v>
      </c>
      <c r="H150" s="430"/>
      <c r="I150" s="135"/>
      <c r="J150" s="135"/>
      <c r="K150" s="135"/>
    </row>
    <row r="151" spans="1:11" s="420" customFormat="1" ht="13.5" thickBot="1" x14ac:dyDescent="0.25">
      <c r="A151" s="135"/>
      <c r="B151" s="687" t="s">
        <v>740</v>
      </c>
      <c r="C151" s="681" t="s">
        <v>948</v>
      </c>
      <c r="D151" s="434"/>
      <c r="E151" s="444">
        <v>12</v>
      </c>
      <c r="F151" s="429"/>
      <c r="G151" s="135"/>
      <c r="H151" s="430"/>
      <c r="I151" s="423"/>
      <c r="J151" s="89" t="s">
        <v>950</v>
      </c>
      <c r="K151" s="439"/>
    </row>
    <row r="152" spans="1:11" s="420" customFormat="1" x14ac:dyDescent="0.2">
      <c r="A152" s="135"/>
      <c r="B152" s="687"/>
      <c r="C152" s="135"/>
      <c r="D152" s="135"/>
      <c r="E152" s="89"/>
      <c r="F152" s="430"/>
      <c r="G152" s="431" t="s">
        <v>656</v>
      </c>
      <c r="H152" s="434"/>
      <c r="I152" s="423">
        <v>13</v>
      </c>
      <c r="J152" s="437" t="s">
        <v>649</v>
      </c>
      <c r="K152" s="89"/>
    </row>
    <row r="153" spans="1:11" s="420" customFormat="1" x14ac:dyDescent="0.2">
      <c r="A153" s="135"/>
      <c r="B153" s="687" t="s">
        <v>739</v>
      </c>
      <c r="C153" s="427" t="s">
        <v>656</v>
      </c>
      <c r="D153" s="135"/>
      <c r="E153" s="432">
        <v>13</v>
      </c>
      <c r="F153" s="430"/>
      <c r="G153" s="433"/>
      <c r="H153" s="425"/>
      <c r="I153" s="135"/>
      <c r="J153" s="135"/>
      <c r="K153" s="135"/>
    </row>
    <row r="154" spans="1:11" s="420" customFormat="1" x14ac:dyDescent="0.2">
      <c r="A154" s="135"/>
      <c r="B154" s="687"/>
      <c r="C154" s="135"/>
      <c r="D154" s="429"/>
      <c r="E154" s="427" t="s">
        <v>656</v>
      </c>
      <c r="F154" s="434"/>
      <c r="G154" s="432">
        <v>13</v>
      </c>
      <c r="H154" s="89"/>
      <c r="I154" s="135"/>
      <c r="J154" s="135"/>
      <c r="K154" s="135"/>
    </row>
    <row r="155" spans="1:11" s="420" customFormat="1" x14ac:dyDescent="0.2">
      <c r="A155" s="135"/>
      <c r="B155" s="687"/>
      <c r="C155" s="684" t="s">
        <v>729</v>
      </c>
      <c r="D155" s="434"/>
      <c r="E155" s="432">
        <v>0</v>
      </c>
      <c r="F155" s="135"/>
      <c r="G155" s="89"/>
      <c r="H155" s="89"/>
      <c r="I155" s="135"/>
      <c r="J155" s="135"/>
      <c r="K155" s="135"/>
    </row>
    <row r="156" spans="1:11" s="420" customFormat="1" x14ac:dyDescent="0.2">
      <c r="A156" s="66">
        <v>1</v>
      </c>
      <c r="B156" s="67" t="s">
        <v>792</v>
      </c>
      <c r="C156" s="444"/>
      <c r="D156" s="135"/>
      <c r="E156" s="89"/>
      <c r="F156" s="89"/>
      <c r="G156" s="452" t="s">
        <v>960</v>
      </c>
      <c r="H156" s="135"/>
      <c r="I156" s="432">
        <v>13</v>
      </c>
      <c r="J156" s="135"/>
      <c r="K156" s="135"/>
    </row>
    <row r="157" spans="1:11" s="420" customFormat="1" ht="13.5" thickBot="1" x14ac:dyDescent="0.25">
      <c r="A157" s="66">
        <v>2</v>
      </c>
      <c r="B157" s="127" t="s">
        <v>949</v>
      </c>
      <c r="C157" s="135"/>
      <c r="D157" s="135"/>
      <c r="E157" s="89"/>
      <c r="F157" s="89"/>
      <c r="G157" s="425"/>
      <c r="H157" s="429"/>
      <c r="I157" s="439"/>
      <c r="J157" s="439" t="s">
        <v>960</v>
      </c>
      <c r="K157" s="439"/>
    </row>
    <row r="158" spans="1:11" s="420" customFormat="1" x14ac:dyDescent="0.2">
      <c r="A158" s="66">
        <v>3</v>
      </c>
      <c r="B158" s="128" t="s">
        <v>955</v>
      </c>
      <c r="C158" s="423"/>
      <c r="D158" s="135"/>
      <c r="E158" s="89"/>
      <c r="F158" s="89"/>
      <c r="G158" s="427" t="s">
        <v>956</v>
      </c>
      <c r="H158" s="434"/>
      <c r="I158" s="423">
        <v>11</v>
      </c>
      <c r="J158" s="441" t="s">
        <v>650</v>
      </c>
      <c r="K158" s="89"/>
    </row>
    <row r="159" spans="1:11" s="420" customFormat="1" x14ac:dyDescent="0.2">
      <c r="A159" s="66">
        <v>4</v>
      </c>
      <c r="B159" s="98" t="s">
        <v>663</v>
      </c>
      <c r="C159" s="89"/>
      <c r="D159" s="89"/>
      <c r="E159" s="432"/>
      <c r="F159" s="89"/>
      <c r="G159" s="135"/>
      <c r="H159" s="135"/>
      <c r="I159" s="135"/>
      <c r="J159" s="89"/>
      <c r="K159" s="89"/>
    </row>
    <row r="160" spans="1:11" s="420" customFormat="1" ht="13.5" thickBot="1" x14ac:dyDescent="0.25">
      <c r="A160" s="66">
        <v>5</v>
      </c>
      <c r="B160" s="124" t="s">
        <v>958</v>
      </c>
      <c r="C160" s="432"/>
      <c r="D160" s="89"/>
      <c r="E160" s="89"/>
      <c r="F160" s="89"/>
      <c r="G160" s="89"/>
      <c r="H160" s="89"/>
      <c r="I160" s="135"/>
      <c r="J160" s="439" t="s">
        <v>956</v>
      </c>
      <c r="K160" s="439"/>
    </row>
    <row r="161" spans="1:11" s="420" customFormat="1" x14ac:dyDescent="0.2">
      <c r="A161" s="66">
        <v>6</v>
      </c>
      <c r="B161" s="124" t="s">
        <v>954</v>
      </c>
      <c r="C161" s="89"/>
      <c r="D161" s="89"/>
      <c r="E161" s="89"/>
      <c r="F161" s="135"/>
      <c r="G161" s="423"/>
      <c r="H161" s="135"/>
      <c r="I161" s="135"/>
      <c r="J161" s="63" t="s">
        <v>651</v>
      </c>
      <c r="K161" s="135"/>
    </row>
    <row r="162" spans="1:11" s="420" customFormat="1" x14ac:dyDescent="0.2">
      <c r="A162" s="66">
        <v>7</v>
      </c>
      <c r="B162" s="124" t="s">
        <v>668</v>
      </c>
      <c r="C162" s="135"/>
      <c r="D162" s="135"/>
      <c r="E162" s="685" t="s">
        <v>951</v>
      </c>
      <c r="F162" s="423"/>
      <c r="G162" s="686" t="s">
        <v>6</v>
      </c>
      <c r="H162" s="423"/>
      <c r="I162" s="423"/>
      <c r="J162" s="135"/>
      <c r="K162" s="135"/>
    </row>
    <row r="163" spans="1:11" s="420" customFormat="1" x14ac:dyDescent="0.2">
      <c r="A163" s="66">
        <v>8</v>
      </c>
      <c r="B163" s="124" t="s">
        <v>952</v>
      </c>
      <c r="C163" s="135"/>
      <c r="D163" s="135"/>
      <c r="E163" s="444"/>
      <c r="F163" s="445"/>
      <c r="G163" s="446" t="s">
        <v>953</v>
      </c>
      <c r="H163" s="423"/>
      <c r="I163" s="423">
        <v>6</v>
      </c>
      <c r="J163" s="135"/>
      <c r="K163" s="135"/>
    </row>
    <row r="164" spans="1:11" s="420" customFormat="1" x14ac:dyDescent="0.2">
      <c r="A164" s="66">
        <v>9</v>
      </c>
      <c r="B164" s="125" t="s">
        <v>959</v>
      </c>
      <c r="C164" s="135"/>
      <c r="D164" s="135"/>
      <c r="E164" s="683" t="s">
        <v>953</v>
      </c>
      <c r="F164" s="447"/>
      <c r="G164" s="423">
        <v>13</v>
      </c>
      <c r="H164" s="445"/>
      <c r="I164" s="423"/>
      <c r="J164" s="135"/>
      <c r="K164" s="135"/>
    </row>
    <row r="165" spans="1:11" s="420" customFormat="1" ht="13.5" thickBot="1" x14ac:dyDescent="0.25">
      <c r="A165" s="66">
        <v>10</v>
      </c>
      <c r="B165" s="125" t="s">
        <v>947</v>
      </c>
      <c r="C165" s="135"/>
      <c r="D165" s="135"/>
      <c r="E165" s="423"/>
      <c r="F165" s="423"/>
      <c r="G165" s="432"/>
      <c r="H165" s="448"/>
      <c r="I165" s="423"/>
      <c r="J165" s="135" t="s">
        <v>948</v>
      </c>
      <c r="K165" s="135"/>
    </row>
    <row r="166" spans="1:11" s="420" customFormat="1" x14ac:dyDescent="0.2">
      <c r="A166" s="66">
        <v>11</v>
      </c>
      <c r="B166" s="123" t="s">
        <v>957</v>
      </c>
      <c r="C166" s="135"/>
      <c r="D166" s="135"/>
      <c r="E166" s="686" t="s">
        <v>948</v>
      </c>
      <c r="F166" s="423"/>
      <c r="G166" s="423">
        <v>13</v>
      </c>
      <c r="H166" s="448"/>
      <c r="I166" s="449"/>
      <c r="J166" s="437" t="s">
        <v>652</v>
      </c>
      <c r="K166" s="438"/>
    </row>
    <row r="167" spans="1:11" s="420" customFormat="1" x14ac:dyDescent="0.2">
      <c r="A167" s="66">
        <v>12</v>
      </c>
      <c r="B167" s="125" t="s">
        <v>941</v>
      </c>
      <c r="C167" s="135"/>
      <c r="D167" s="135"/>
      <c r="E167" s="444"/>
      <c r="F167" s="445"/>
      <c r="G167" s="423" t="s">
        <v>948</v>
      </c>
      <c r="H167" s="447"/>
      <c r="I167" s="432">
        <v>13</v>
      </c>
      <c r="J167" s="135"/>
      <c r="K167" s="135"/>
    </row>
    <row r="168" spans="1:11" s="420" customFormat="1" ht="13.5" thickBot="1" x14ac:dyDescent="0.25">
      <c r="A168" s="66">
        <v>13</v>
      </c>
      <c r="B168" s="122" t="s">
        <v>808</v>
      </c>
      <c r="C168" s="135"/>
      <c r="D168" s="135"/>
      <c r="E168" s="683" t="s">
        <v>729</v>
      </c>
      <c r="F168" s="447"/>
      <c r="G168" s="444">
        <v>0</v>
      </c>
      <c r="H168" s="423"/>
      <c r="I168" s="432"/>
      <c r="J168" s="89" t="s">
        <v>953</v>
      </c>
      <c r="K168" s="439"/>
    </row>
    <row r="169" spans="1:11" s="420" customFormat="1" x14ac:dyDescent="0.2">
      <c r="A169" s="66">
        <v>14</v>
      </c>
      <c r="B169" s="123" t="s">
        <v>816</v>
      </c>
      <c r="C169" s="135"/>
      <c r="D169" s="135"/>
      <c r="E169" s="423"/>
      <c r="F169" s="423"/>
      <c r="G169" s="423"/>
      <c r="H169" s="423"/>
      <c r="I169" s="432"/>
      <c r="J169" s="437" t="s">
        <v>653</v>
      </c>
      <c r="K169" s="89"/>
    </row>
    <row r="170" spans="1:11" s="420" customFormat="1" x14ac:dyDescent="0.2">
      <c r="A170" s="66">
        <v>15</v>
      </c>
      <c r="B170" s="125" t="s">
        <v>656</v>
      </c>
      <c r="C170" s="135"/>
      <c r="D170" s="135"/>
      <c r="E170" s="423"/>
      <c r="F170" s="432"/>
      <c r="G170" s="423" t="s">
        <v>951</v>
      </c>
      <c r="H170" s="423"/>
      <c r="I170" s="432">
        <v>13</v>
      </c>
      <c r="J170" s="89"/>
      <c r="K170" s="89"/>
    </row>
    <row r="171" spans="1:11" s="420" customFormat="1" ht="13.5" thickBot="1" x14ac:dyDescent="0.25">
      <c r="A171" s="66">
        <v>16</v>
      </c>
      <c r="B171" s="122" t="s">
        <v>950</v>
      </c>
      <c r="C171" s="135"/>
      <c r="D171" s="135"/>
      <c r="E171" s="423"/>
      <c r="F171" s="432"/>
      <c r="G171" s="444"/>
      <c r="H171" s="445"/>
      <c r="I171" s="450"/>
      <c r="J171" s="439" t="s">
        <v>951</v>
      </c>
      <c r="K171" s="439"/>
    </row>
    <row r="172" spans="1:11" s="420" customFormat="1" x14ac:dyDescent="0.2">
      <c r="A172" s="66">
        <v>17</v>
      </c>
      <c r="B172" s="122" t="s">
        <v>960</v>
      </c>
      <c r="C172" s="135"/>
      <c r="D172" s="135"/>
      <c r="E172" s="423"/>
      <c r="F172" s="432"/>
      <c r="G172" s="683" t="s">
        <v>729</v>
      </c>
      <c r="H172" s="447"/>
      <c r="I172" s="423">
        <v>0</v>
      </c>
      <c r="J172" s="441" t="s">
        <v>741</v>
      </c>
      <c r="K172" s="89"/>
    </row>
    <row r="173" spans="1:11" s="420" customFormat="1" x14ac:dyDescent="0.2">
      <c r="A173" s="66">
        <v>18</v>
      </c>
      <c r="B173" s="123" t="s">
        <v>956</v>
      </c>
      <c r="C173" s="135"/>
      <c r="D173" s="135"/>
      <c r="E173" s="135"/>
      <c r="F173" s="89"/>
      <c r="G173" s="135"/>
      <c r="H173" s="135"/>
      <c r="I173" s="135"/>
      <c r="J173" s="89"/>
      <c r="K173" s="89"/>
    </row>
    <row r="174" spans="1:11" s="420" customFormat="1" ht="13.5" thickBot="1" x14ac:dyDescent="0.25">
      <c r="A174" s="66">
        <v>19</v>
      </c>
      <c r="B174" s="136" t="s">
        <v>948</v>
      </c>
      <c r="C174" s="135"/>
      <c r="D174" s="135"/>
      <c r="E174" s="135"/>
      <c r="F174" s="135"/>
      <c r="G174" s="89"/>
      <c r="H174" s="89"/>
      <c r="I174" s="135"/>
      <c r="J174" s="439"/>
      <c r="K174" s="439"/>
    </row>
    <row r="175" spans="1:11" s="420" customFormat="1" x14ac:dyDescent="0.2">
      <c r="A175" s="66">
        <v>20</v>
      </c>
      <c r="B175" s="122" t="s">
        <v>953</v>
      </c>
      <c r="C175" s="135"/>
      <c r="D175" s="135"/>
      <c r="E175" s="135"/>
      <c r="F175" s="135"/>
      <c r="G175" s="89"/>
      <c r="H175" s="89"/>
      <c r="I175" s="135"/>
      <c r="J175" s="63"/>
      <c r="K175" s="135"/>
    </row>
    <row r="176" spans="1:11" s="97" customFormat="1" x14ac:dyDescent="0.2">
      <c r="A176" s="66">
        <v>21</v>
      </c>
      <c r="B176" s="122" t="s">
        <v>951</v>
      </c>
      <c r="C176" s="126"/>
      <c r="D176" s="126"/>
      <c r="E176" s="126"/>
      <c r="F176" s="126"/>
      <c r="G176" s="126"/>
      <c r="H176" s="126"/>
    </row>
    <row r="177" spans="3:8" s="97" customFormat="1" x14ac:dyDescent="0.2">
      <c r="C177" s="121"/>
      <c r="D177" s="121"/>
      <c r="E177" s="121"/>
      <c r="F177" s="121"/>
      <c r="G177" s="121"/>
      <c r="H177" s="121"/>
    </row>
    <row r="178" spans="3:8" s="97" customFormat="1" x14ac:dyDescent="0.2">
      <c r="C178" s="121"/>
      <c r="D178" s="121"/>
      <c r="E178" s="121"/>
      <c r="F178" s="121"/>
      <c r="G178" s="121"/>
      <c r="H178" s="121"/>
    </row>
    <row r="179" spans="3:8" s="97" customFormat="1" x14ac:dyDescent="0.2">
      <c r="C179" s="121"/>
      <c r="D179" s="121"/>
      <c r="E179" s="121"/>
      <c r="F179" s="121"/>
      <c r="G179" s="121"/>
      <c r="H179" s="121"/>
    </row>
    <row r="180" spans="3:8" s="97" customFormat="1" x14ac:dyDescent="0.2">
      <c r="C180" s="121"/>
      <c r="D180" s="121"/>
      <c r="E180" s="121"/>
      <c r="F180" s="121"/>
      <c r="G180" s="121"/>
      <c r="H180" s="121"/>
    </row>
    <row r="181" spans="3:8" s="97" customFormat="1" x14ac:dyDescent="0.2">
      <c r="C181" s="121"/>
      <c r="D181" s="121"/>
      <c r="E181" s="121"/>
      <c r="F181" s="121"/>
      <c r="G181" s="121"/>
      <c r="H181" s="121"/>
    </row>
    <row r="182" spans="3:8" s="97" customFormat="1" x14ac:dyDescent="0.2">
      <c r="C182" s="121"/>
      <c r="D182" s="121"/>
      <c r="E182" s="121"/>
      <c r="F182" s="121"/>
      <c r="G182" s="121"/>
      <c r="H182" s="121"/>
    </row>
    <row r="183" spans="3:8" s="97" customFormat="1" x14ac:dyDescent="0.2">
      <c r="C183" s="121"/>
      <c r="D183" s="121"/>
      <c r="E183" s="121"/>
      <c r="F183" s="121"/>
      <c r="G183" s="121"/>
      <c r="H183" s="121"/>
    </row>
    <row r="184" spans="3:8" s="97" customFormat="1" x14ac:dyDescent="0.2">
      <c r="C184" s="121"/>
      <c r="D184" s="121"/>
      <c r="E184" s="121"/>
      <c r="F184" s="121"/>
      <c r="G184" s="121"/>
      <c r="H184" s="121"/>
    </row>
    <row r="185" spans="3:8" s="97" customFormat="1" x14ac:dyDescent="0.2">
      <c r="C185" s="121"/>
      <c r="D185" s="121"/>
      <c r="E185" s="121"/>
      <c r="F185" s="121"/>
      <c r="G185" s="121"/>
      <c r="H185" s="121"/>
    </row>
    <row r="186" spans="3:8" s="97" customFormat="1" x14ac:dyDescent="0.2">
      <c r="C186" s="121"/>
      <c r="D186" s="121"/>
      <c r="E186" s="121"/>
      <c r="F186" s="121"/>
      <c r="G186" s="121"/>
      <c r="H186" s="121"/>
    </row>
    <row r="187" spans="3:8" s="97" customFormat="1" x14ac:dyDescent="0.2">
      <c r="C187" s="121"/>
      <c r="D187" s="121"/>
      <c r="E187" s="121"/>
      <c r="F187" s="121"/>
      <c r="G187" s="121"/>
      <c r="H187" s="121"/>
    </row>
    <row r="188" spans="3:8" s="97" customFormat="1" x14ac:dyDescent="0.2">
      <c r="C188" s="121"/>
      <c r="D188" s="121"/>
      <c r="E188" s="121"/>
      <c r="F188" s="121"/>
      <c r="G188" s="121"/>
      <c r="H188" s="121"/>
    </row>
    <row r="189" spans="3:8" s="97" customFormat="1" x14ac:dyDescent="0.2">
      <c r="C189" s="121"/>
      <c r="D189" s="121"/>
      <c r="E189" s="121"/>
      <c r="F189" s="121"/>
      <c r="G189" s="121"/>
      <c r="H189" s="121"/>
    </row>
    <row r="190" spans="3:8" s="97" customFormat="1" x14ac:dyDescent="0.2"/>
    <row r="191" spans="3:8" s="97" customFormat="1" x14ac:dyDescent="0.2"/>
    <row r="192" spans="3:8" s="97" customFormat="1" x14ac:dyDescent="0.2"/>
  </sheetData>
  <conditionalFormatting sqref="G7:G10">
    <cfRule type="duplicateValues" dxfId="80" priority="5"/>
    <cfRule type="duplicateValues" dxfId="79" priority="19"/>
    <cfRule type="cellIs" dxfId="78" priority="20" operator="equal">
      <formula>13</formula>
    </cfRule>
  </conditionalFormatting>
  <conditionalFormatting sqref="G13:G16">
    <cfRule type="duplicateValues" dxfId="77" priority="6"/>
    <cfRule type="duplicateValues" dxfId="76" priority="17"/>
    <cfRule type="cellIs" dxfId="75" priority="18" operator="equal">
      <formula>13</formula>
    </cfRule>
  </conditionalFormatting>
  <conditionalFormatting sqref="G19:G22">
    <cfRule type="duplicateValues" dxfId="74" priority="7"/>
    <cfRule type="duplicateValues" dxfId="73" priority="15"/>
    <cfRule type="cellIs" dxfId="72" priority="16" operator="equal">
      <formula>13</formula>
    </cfRule>
  </conditionalFormatting>
  <conditionalFormatting sqref="G25:G28">
    <cfRule type="duplicateValues" dxfId="71" priority="8"/>
    <cfRule type="duplicateValues" dxfId="70" priority="13"/>
    <cfRule type="cellIs" dxfId="69" priority="14" operator="equal">
      <formula>13</formula>
    </cfRule>
  </conditionalFormatting>
  <conditionalFormatting sqref="G31:G34">
    <cfRule type="duplicateValues" dxfId="68" priority="9"/>
    <cfRule type="duplicateValues" dxfId="67" priority="11"/>
    <cfRule type="cellIs" dxfId="66" priority="12" operator="equal">
      <formula>13</formula>
    </cfRule>
  </conditionalFormatting>
  <conditionalFormatting sqref="C7:F34 C41:F46 F139:I172 D139:E161 C139:C173">
    <cfRule type="cellIs" dxfId="65" priority="10" operator="equal">
      <formula>13</formula>
    </cfRule>
  </conditionalFormatting>
  <conditionalFormatting sqref="G43:G46">
    <cfRule type="duplicateValues" dxfId="64" priority="21"/>
  </conditionalFormatting>
  <conditionalFormatting sqref="C35:F40">
    <cfRule type="cellIs" dxfId="63" priority="3" operator="equal">
      <formula>13</formula>
    </cfRule>
  </conditionalFormatting>
  <conditionalFormatting sqref="G37:G40">
    <cfRule type="duplicateValues" dxfId="62" priority="4"/>
  </conditionalFormatting>
  <conditionalFormatting sqref="C50:K50 E162:E172 D162:D173 C51:C84 D51:J52 D53:I84 C87:I124">
    <cfRule type="cellIs" dxfId="61" priority="2" operator="equal">
      <formula>13</formula>
    </cfRule>
  </conditionalFormatting>
  <conditionalFormatting sqref="E125:I135 C125:D136">
    <cfRule type="cellIs" dxfId="60" priority="1" operator="equal">
      <formula>13</formula>
    </cfRule>
  </conditionalFormatting>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6" manualBreakCount="6">
    <brk id="28" max="16383" man="1"/>
    <brk id="46" max="16383" man="1"/>
    <brk id="84" max="13" man="1"/>
    <brk id="101" max="16383" man="1"/>
    <brk id="138" max="16383" man="1"/>
    <brk id="176"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4"/>
  <sheetViews>
    <sheetView showGridLines="0" showRowColHeaders="0" zoomScaleNormal="100" workbookViewId="0">
      <pane ySplit="2" topLeftCell="A3" activePane="bottomLeft" state="frozen"/>
      <selection pane="bottomLeft" activeCell="H1" sqref="H1"/>
    </sheetView>
  </sheetViews>
  <sheetFormatPr defaultRowHeight="12.75" x14ac:dyDescent="0.2"/>
  <cols>
    <col min="1" max="1" width="3.28515625" style="93" customWidth="1"/>
    <col min="2" max="2" width="54.140625" style="93" customWidth="1"/>
    <col min="3" max="3" width="7.28515625" style="93" customWidth="1"/>
    <col min="4" max="4" width="7.42578125" style="93" bestFit="1" customWidth="1"/>
    <col min="5" max="5" width="9.140625" style="93"/>
    <col min="6" max="6" width="6.7109375" style="93" customWidth="1"/>
    <col min="7" max="7" width="5.140625" style="93" bestFit="1" customWidth="1"/>
    <col min="8" max="8" width="3.28515625" style="93" customWidth="1"/>
    <col min="9" max="11" width="9.140625" style="93" customWidth="1"/>
    <col min="12" max="16384" width="9.140625" style="93"/>
  </cols>
  <sheetData>
    <row r="1" spans="1:7" x14ac:dyDescent="0.2">
      <c r="A1" s="117" t="str">
        <f>UPPER((Kalend!E25)&amp;" - "&amp;(Kalend!C25)&amp;" - "&amp;(Kalend!D25))</f>
        <v>11 - 26. EESTI MV - TRIO</v>
      </c>
      <c r="F1" s="85" t="str">
        <f>HYPERLINK("#Üldreiting!I1","Reiting")</f>
        <v>Reiting</v>
      </c>
      <c r="G1" s="206"/>
    </row>
    <row r="2" spans="1:7" x14ac:dyDescent="0.2">
      <c r="A2" s="116" t="str">
        <f>"Toimumisaeg: "&amp;(Kalend!A25)&amp;" kell "&amp;(Kalend!B25)</f>
        <v xml:space="preserve">Toimumisaeg: L, 02.09.2017 kell </v>
      </c>
    </row>
    <row r="3" spans="1:7" x14ac:dyDescent="0.2">
      <c r="A3" s="116" t="str">
        <f>"Toimumiskoht: "&amp;(Kalend!H25)</f>
        <v>Toimumiskoht: Saku, Teaduse 2</v>
      </c>
    </row>
    <row r="4" spans="1:7" x14ac:dyDescent="0.2">
      <c r="A4" s="116" t="str">
        <f>"Korraldaja: "&amp;(Kalend!I25)</f>
        <v>Korraldaja: Saku PK</v>
      </c>
    </row>
    <row r="5" spans="1:7" s="206" customFormat="1" x14ac:dyDescent="0.2">
      <c r="A5" s="116"/>
    </row>
    <row r="6" spans="1:7" s="206" customFormat="1" x14ac:dyDescent="0.2">
      <c r="A6" s="317" t="s">
        <v>402</v>
      </c>
      <c r="B6" s="318"/>
      <c r="C6" s="319" t="s">
        <v>403</v>
      </c>
      <c r="D6" s="319" t="s">
        <v>404</v>
      </c>
      <c r="E6" s="319" t="s">
        <v>405</v>
      </c>
      <c r="F6" s="319" t="s">
        <v>406</v>
      </c>
      <c r="G6" s="319" t="s">
        <v>26</v>
      </c>
    </row>
    <row r="7" spans="1:7" s="206" customFormat="1" x14ac:dyDescent="0.2">
      <c r="A7" s="320">
        <v>1</v>
      </c>
      <c r="B7" s="348" t="s">
        <v>894</v>
      </c>
      <c r="C7" s="321">
        <v>13</v>
      </c>
      <c r="D7" s="321">
        <v>13</v>
      </c>
      <c r="E7" s="321"/>
      <c r="F7" s="321"/>
      <c r="G7" s="321" t="str">
        <f>IF(AND(COUNTIF(C7:F7,13)=0,COUNT(C7:F7)=2),"IV",IF(AND(COUNTIF(C7:F7,13)=1,COUNT(C7:F7)=3),"III",IF(AND(COUNTIF(C7:F7,13)=2,COUNT(C7:F7)=3),"II",IF(AND(COUNTIF(C7:F7,13)=2,COUNT(C7:F7)=2),"I"))))</f>
        <v>I</v>
      </c>
    </row>
    <row r="8" spans="1:7" s="206" customFormat="1" x14ac:dyDescent="0.2">
      <c r="A8" s="320">
        <v>2</v>
      </c>
      <c r="B8" s="361" t="s">
        <v>890</v>
      </c>
      <c r="C8" s="321">
        <v>6</v>
      </c>
      <c r="D8" s="321"/>
      <c r="E8" s="321">
        <v>11</v>
      </c>
      <c r="F8" s="321"/>
      <c r="G8" s="321" t="str">
        <f t="shared" ref="G8:G10" si="0">IF(AND(COUNTIF(C8:F8,13)=0,COUNT(C8:F8)=2),"IV",IF(AND(COUNTIF(C8:F8,13)=1,COUNT(C8:F8)=3),"III",IF(AND(COUNTIF(C8:F8,13)=2,COUNT(C8:F8)=3),"II",IF(AND(COUNTIF(C8:F8,13)=2,COUNT(C8:F8)=2),"I"))))</f>
        <v>IV</v>
      </c>
    </row>
    <row r="9" spans="1:7" s="206" customFormat="1" x14ac:dyDescent="0.2">
      <c r="A9" s="320">
        <v>3</v>
      </c>
      <c r="B9" s="361" t="s">
        <v>893</v>
      </c>
      <c r="C9" s="321">
        <v>13</v>
      </c>
      <c r="D9" s="321">
        <v>10</v>
      </c>
      <c r="E9" s="321"/>
      <c r="F9" s="321">
        <v>13</v>
      </c>
      <c r="G9" s="321" t="str">
        <f t="shared" si="0"/>
        <v>II</v>
      </c>
    </row>
    <row r="10" spans="1:7" s="206" customFormat="1" x14ac:dyDescent="0.2">
      <c r="A10" s="320">
        <v>4</v>
      </c>
      <c r="B10" s="361" t="s">
        <v>899</v>
      </c>
      <c r="C10" s="321">
        <v>12</v>
      </c>
      <c r="D10" s="321"/>
      <c r="E10" s="321">
        <v>13</v>
      </c>
      <c r="F10" s="321">
        <v>4</v>
      </c>
      <c r="G10" s="321" t="str">
        <f t="shared" si="0"/>
        <v>III</v>
      </c>
    </row>
    <row r="11" spans="1:7" s="206" customFormat="1" x14ac:dyDescent="0.2">
      <c r="A11" s="324"/>
      <c r="B11" s="325"/>
      <c r="C11" s="326"/>
      <c r="D11" s="326"/>
      <c r="E11" s="326"/>
      <c r="F11" s="327"/>
      <c r="G11" s="328"/>
    </row>
    <row r="12" spans="1:7" s="206" customFormat="1" x14ac:dyDescent="0.2">
      <c r="A12" s="317" t="s">
        <v>407</v>
      </c>
      <c r="B12" s="318"/>
      <c r="C12" s="319" t="s">
        <v>403</v>
      </c>
      <c r="D12" s="319" t="s">
        <v>404</v>
      </c>
      <c r="E12" s="319" t="s">
        <v>405</v>
      </c>
      <c r="F12" s="319" t="s">
        <v>406</v>
      </c>
      <c r="G12" s="319" t="s">
        <v>26</v>
      </c>
    </row>
    <row r="13" spans="1:7" s="206" customFormat="1" x14ac:dyDescent="0.2">
      <c r="A13" s="320">
        <v>1</v>
      </c>
      <c r="B13" s="361" t="s">
        <v>888</v>
      </c>
      <c r="C13" s="321">
        <v>13</v>
      </c>
      <c r="D13" s="321">
        <v>13</v>
      </c>
      <c r="E13" s="321"/>
      <c r="F13" s="321"/>
      <c r="G13" s="321" t="str">
        <f>IF(AND(COUNTIF(C13:F13,13)=0,COUNT(C13:F13)=2),"IV",IF(AND(COUNTIF(C13:F13,13)=1,COUNT(C13:F13)=3),"III",IF(AND(COUNTIF(C13:F13,13)=2,COUNT(C13:F13)=3),"II",IF(AND(COUNTIF(C13:F13,13)=2,COUNT(C13:F13)=2),"I"))))</f>
        <v>I</v>
      </c>
    </row>
    <row r="14" spans="1:7" s="206" customFormat="1" x14ac:dyDescent="0.2">
      <c r="A14" s="320">
        <v>2</v>
      </c>
      <c r="B14" s="361" t="s">
        <v>889</v>
      </c>
      <c r="C14" s="321">
        <v>13</v>
      </c>
      <c r="D14" s="321">
        <v>7</v>
      </c>
      <c r="E14" s="321"/>
      <c r="F14" s="321">
        <v>8</v>
      </c>
      <c r="G14" s="321" t="str">
        <f t="shared" ref="G14:G16" si="1">IF(AND(COUNTIF(C14:F14,13)=0,COUNT(C14:F14)=2),"IV",IF(AND(COUNTIF(C14:F14,13)=1,COUNT(C14:F14)=3),"III",IF(AND(COUNTIF(C14:F14,13)=2,COUNT(C14:F14)=3),"II",IF(AND(COUNTIF(C14:F14,13)=2,COUNT(C14:F14)=2),"I"))))</f>
        <v>III</v>
      </c>
    </row>
    <row r="15" spans="1:7" s="206" customFormat="1" x14ac:dyDescent="0.2">
      <c r="A15" s="320">
        <v>3</v>
      </c>
      <c r="B15" s="361" t="s">
        <v>632</v>
      </c>
      <c r="C15" s="321">
        <v>4</v>
      </c>
      <c r="D15" s="321"/>
      <c r="E15" s="321">
        <v>13</v>
      </c>
      <c r="F15" s="321">
        <v>13</v>
      </c>
      <c r="G15" s="321" t="str">
        <f t="shared" si="1"/>
        <v>II</v>
      </c>
    </row>
    <row r="16" spans="1:7" s="206" customFormat="1" x14ac:dyDescent="0.2">
      <c r="A16" s="320">
        <v>4</v>
      </c>
      <c r="B16" s="361" t="s">
        <v>898</v>
      </c>
      <c r="C16" s="321">
        <v>0</v>
      </c>
      <c r="D16" s="321"/>
      <c r="E16" s="321">
        <v>6</v>
      </c>
      <c r="F16" s="321"/>
      <c r="G16" s="321" t="str">
        <f t="shared" si="1"/>
        <v>IV</v>
      </c>
    </row>
    <row r="17" spans="1:10" s="206" customFormat="1" x14ac:dyDescent="0.2">
      <c r="A17" s="324"/>
      <c r="B17" s="325"/>
      <c r="C17" s="326"/>
      <c r="D17" s="326"/>
      <c r="E17" s="326"/>
      <c r="F17" s="327"/>
      <c r="G17" s="328"/>
    </row>
    <row r="18" spans="1:10" s="206" customFormat="1" x14ac:dyDescent="0.2">
      <c r="A18" s="317" t="s">
        <v>408</v>
      </c>
      <c r="B18" s="318"/>
      <c r="C18" s="319" t="s">
        <v>403</v>
      </c>
      <c r="D18" s="319" t="s">
        <v>404</v>
      </c>
      <c r="E18" s="319" t="s">
        <v>405</v>
      </c>
      <c r="F18" s="319" t="s">
        <v>406</v>
      </c>
      <c r="G18" s="319" t="s">
        <v>26</v>
      </c>
    </row>
    <row r="19" spans="1:10" s="206" customFormat="1" x14ac:dyDescent="0.2">
      <c r="A19" s="320">
        <v>1</v>
      </c>
      <c r="B19" s="361" t="s">
        <v>897</v>
      </c>
      <c r="C19" s="321">
        <v>12</v>
      </c>
      <c r="D19" s="321"/>
      <c r="E19" s="321">
        <v>13</v>
      </c>
      <c r="F19" s="321">
        <v>5</v>
      </c>
      <c r="G19" s="321" t="str">
        <f>IF(AND(COUNTIF(C19:F19,13)=0,COUNT(C19:F19)=2),"IV",IF(AND(COUNTIF(C19:F19,13)=1,COUNT(C19:F19)=3),"III",IF(AND(COUNTIF(C19:F19,13)=2,COUNT(C19:F19)=3),"II",IF(AND(COUNTIF(C19:F19,13)=2,COUNT(C19:F19)=2),"I"))))</f>
        <v>III</v>
      </c>
    </row>
    <row r="20" spans="1:10" s="206" customFormat="1" x14ac:dyDescent="0.2">
      <c r="A20" s="320">
        <v>2</v>
      </c>
      <c r="B20" s="361" t="s">
        <v>896</v>
      </c>
      <c r="C20" s="321">
        <v>4</v>
      </c>
      <c r="D20" s="321"/>
      <c r="E20" s="321">
        <v>11</v>
      </c>
      <c r="F20" s="321"/>
      <c r="G20" s="321" t="str">
        <f t="shared" ref="G20:G22" si="2">IF(AND(COUNTIF(C20:F20,13)=0,COUNT(C20:F20)=2),"IV",IF(AND(COUNTIF(C20:F20,13)=1,COUNT(C20:F20)=3),"III",IF(AND(COUNTIF(C20:F20,13)=2,COUNT(C20:F20)=3),"II",IF(AND(COUNTIF(C20:F20,13)=2,COUNT(C20:F20)=2),"I"))))</f>
        <v>IV</v>
      </c>
    </row>
    <row r="21" spans="1:10" s="206" customFormat="1" x14ac:dyDescent="0.2">
      <c r="A21" s="320">
        <v>3</v>
      </c>
      <c r="B21" s="350" t="s">
        <v>891</v>
      </c>
      <c r="C21" s="321">
        <v>13</v>
      </c>
      <c r="D21" s="321">
        <v>13</v>
      </c>
      <c r="E21" s="321"/>
      <c r="F21" s="321"/>
      <c r="G21" s="321" t="str">
        <f t="shared" si="2"/>
        <v>I</v>
      </c>
    </row>
    <row r="22" spans="1:10" s="206" customFormat="1" x14ac:dyDescent="0.2">
      <c r="A22" s="320">
        <v>4</v>
      </c>
      <c r="B22" s="454" t="s">
        <v>878</v>
      </c>
      <c r="C22" s="321">
        <v>13</v>
      </c>
      <c r="D22" s="321">
        <v>10</v>
      </c>
      <c r="E22" s="321"/>
      <c r="F22" s="321">
        <v>13</v>
      </c>
      <c r="G22" s="321" t="str">
        <f t="shared" si="2"/>
        <v>II</v>
      </c>
    </row>
    <row r="23" spans="1:10" s="206" customFormat="1" x14ac:dyDescent="0.2">
      <c r="A23" s="324"/>
      <c r="B23" s="325"/>
      <c r="C23" s="326"/>
      <c r="D23" s="326"/>
      <c r="E23" s="326"/>
      <c r="F23" s="327"/>
      <c r="G23" s="328"/>
    </row>
    <row r="24" spans="1:10" s="206" customFormat="1" x14ac:dyDescent="0.2">
      <c r="A24" s="317" t="s">
        <v>409</v>
      </c>
      <c r="B24" s="318"/>
      <c r="C24" s="319" t="s">
        <v>403</v>
      </c>
      <c r="D24" s="319" t="s">
        <v>404</v>
      </c>
      <c r="E24" s="319" t="s">
        <v>405</v>
      </c>
      <c r="F24" s="319" t="s">
        <v>406</v>
      </c>
      <c r="G24" s="319" t="s">
        <v>26</v>
      </c>
    </row>
    <row r="25" spans="1:10" s="206" customFormat="1" x14ac:dyDescent="0.2">
      <c r="A25" s="320">
        <v>1</v>
      </c>
      <c r="B25" s="349" t="s">
        <v>892</v>
      </c>
      <c r="C25" s="321">
        <v>13</v>
      </c>
      <c r="D25" s="321">
        <v>13</v>
      </c>
      <c r="E25" s="321"/>
      <c r="F25" s="321"/>
      <c r="G25" s="321" t="str">
        <f>IF(AND(COUNTIF(C25:F25,13)=0,COUNT(C25:F25)=2),"IV",IF(AND(COUNTIF(C25:F25,13)=1,COUNT(C25:F25)=3),"III",IF(AND(COUNTIF(C25:F25,13)=2,COUNT(C25:F25)=3),"II",IF(AND(COUNTIF(C25:F25,13)=2,COUNT(C25:F25)=2),"I"))))</f>
        <v>I</v>
      </c>
    </row>
    <row r="26" spans="1:10" s="206" customFormat="1" x14ac:dyDescent="0.2">
      <c r="A26" s="320">
        <v>2</v>
      </c>
      <c r="B26" s="361" t="s">
        <v>901</v>
      </c>
      <c r="C26" s="321">
        <v>4</v>
      </c>
      <c r="D26" s="321"/>
      <c r="E26" s="321">
        <v>13</v>
      </c>
      <c r="F26" s="321">
        <v>5</v>
      </c>
      <c r="G26" s="321" t="str">
        <f t="shared" ref="G26:G28" si="3">IF(AND(COUNTIF(C26:F26,13)=0,COUNT(C26:F26)=2),"IV",IF(AND(COUNTIF(C26:F26,13)=1,COUNT(C26:F26)=3),"III",IF(AND(COUNTIF(C26:F26,13)=2,COUNT(C26:F26)=3),"II",IF(AND(COUNTIF(C26:F26,13)=2,COUNT(C26:F26)=2),"I"))))</f>
        <v>III</v>
      </c>
    </row>
    <row r="27" spans="1:10" s="206" customFormat="1" x14ac:dyDescent="0.2">
      <c r="A27" s="320">
        <v>3</v>
      </c>
      <c r="B27" s="361" t="s">
        <v>895</v>
      </c>
      <c r="C27" s="353">
        <v>13</v>
      </c>
      <c r="D27" s="353">
        <v>5</v>
      </c>
      <c r="E27" s="353"/>
      <c r="F27" s="321">
        <v>13</v>
      </c>
      <c r="G27" s="321" t="str">
        <f t="shared" si="3"/>
        <v>II</v>
      </c>
    </row>
    <row r="28" spans="1:10" s="206" customFormat="1" x14ac:dyDescent="0.2">
      <c r="A28" s="320">
        <v>4</v>
      </c>
      <c r="B28" s="361" t="s">
        <v>900</v>
      </c>
      <c r="C28" s="321">
        <v>3</v>
      </c>
      <c r="D28" s="321"/>
      <c r="E28" s="321">
        <v>9</v>
      </c>
      <c r="F28" s="321"/>
      <c r="G28" s="321" t="str">
        <f t="shared" si="3"/>
        <v>IV</v>
      </c>
    </row>
    <row r="29" spans="1:10" s="206" customFormat="1" x14ac:dyDescent="0.2">
      <c r="A29" s="324"/>
      <c r="B29" s="459"/>
      <c r="C29" s="327"/>
      <c r="D29" s="327"/>
      <c r="E29" s="327"/>
      <c r="F29" s="327"/>
      <c r="G29" s="458"/>
    </row>
    <row r="30" spans="1:10" s="206" customFormat="1" x14ac:dyDescent="0.2">
      <c r="A30" s="329" t="s">
        <v>410</v>
      </c>
      <c r="B30" s="126"/>
      <c r="C30" s="126"/>
      <c r="D30" s="126"/>
      <c r="E30" s="126"/>
      <c r="F30" s="126"/>
      <c r="G30" s="126"/>
      <c r="H30" s="126"/>
      <c r="I30" s="126"/>
      <c r="J30" s="126"/>
    </row>
    <row r="31" spans="1:10" s="206" customFormat="1" x14ac:dyDescent="0.2">
      <c r="A31" s="329"/>
      <c r="B31" s="126"/>
      <c r="C31" s="126"/>
      <c r="D31" s="126"/>
      <c r="E31" s="126"/>
      <c r="F31" s="126"/>
      <c r="G31" s="126"/>
      <c r="H31" s="126"/>
      <c r="I31" s="126"/>
      <c r="J31" s="126"/>
    </row>
    <row r="32" spans="1:10" s="206" customFormat="1" x14ac:dyDescent="0.2">
      <c r="A32" s="64" t="s">
        <v>589</v>
      </c>
      <c r="B32" s="354" t="s">
        <v>888</v>
      </c>
      <c r="C32" s="333">
        <v>4</v>
      </c>
      <c r="D32" s="126"/>
      <c r="E32" s="126"/>
      <c r="F32" s="126"/>
      <c r="G32" s="126"/>
      <c r="H32" s="126"/>
      <c r="I32" s="126"/>
      <c r="J32" s="126"/>
    </row>
    <row r="33" spans="1:9" s="206" customFormat="1" x14ac:dyDescent="0.2">
      <c r="A33" s="126"/>
      <c r="B33" s="330"/>
      <c r="C33" s="331" t="s">
        <v>893</v>
      </c>
      <c r="D33" s="126"/>
      <c r="E33" s="333">
        <v>0</v>
      </c>
      <c r="F33" s="126"/>
      <c r="G33" s="126"/>
      <c r="H33" s="126"/>
      <c r="I33" s="126"/>
    </row>
    <row r="34" spans="1:9" s="206" customFormat="1" x14ac:dyDescent="0.2">
      <c r="A34" s="64" t="s">
        <v>601</v>
      </c>
      <c r="B34" s="334" t="s">
        <v>893</v>
      </c>
      <c r="C34" s="335">
        <v>13</v>
      </c>
      <c r="D34" s="336"/>
      <c r="E34" s="126"/>
      <c r="F34" s="126"/>
      <c r="G34" s="126"/>
      <c r="H34" s="126"/>
      <c r="I34" s="126"/>
    </row>
    <row r="35" spans="1:9" s="206" customFormat="1" x14ac:dyDescent="0.2">
      <c r="A35" s="126"/>
      <c r="B35" s="126"/>
      <c r="C35" s="126"/>
      <c r="D35" s="337"/>
      <c r="E35" s="126" t="s">
        <v>891</v>
      </c>
      <c r="F35" s="126"/>
      <c r="G35" s="333">
        <v>13</v>
      </c>
      <c r="H35" s="126"/>
      <c r="I35" s="126"/>
    </row>
    <row r="36" spans="1:9" s="206" customFormat="1" x14ac:dyDescent="0.2">
      <c r="A36" s="64" t="s">
        <v>598</v>
      </c>
      <c r="B36" s="363" t="s">
        <v>891</v>
      </c>
      <c r="C36" s="338">
        <v>13</v>
      </c>
      <c r="D36" s="337"/>
      <c r="E36" s="330"/>
      <c r="F36" s="336"/>
      <c r="G36" s="126"/>
      <c r="H36" s="126"/>
      <c r="I36" s="126"/>
    </row>
    <row r="37" spans="1:9" s="206" customFormat="1" x14ac:dyDescent="0.2">
      <c r="A37" s="126"/>
      <c r="B37" s="330"/>
      <c r="C37" s="339" t="s">
        <v>891</v>
      </c>
      <c r="D37" s="340"/>
      <c r="E37" s="338">
        <v>13</v>
      </c>
      <c r="F37" s="337"/>
      <c r="G37" s="126"/>
      <c r="H37" s="126"/>
      <c r="I37" s="126"/>
    </row>
    <row r="38" spans="1:9" s="206" customFormat="1" x14ac:dyDescent="0.2">
      <c r="A38" s="64" t="s">
        <v>595</v>
      </c>
      <c r="B38" s="334" t="s">
        <v>895</v>
      </c>
      <c r="C38" s="345">
        <v>1</v>
      </c>
      <c r="D38" s="126"/>
      <c r="E38" s="65"/>
      <c r="F38" s="337"/>
      <c r="G38" s="126"/>
      <c r="H38" s="126"/>
      <c r="I38" s="126"/>
    </row>
    <row r="39" spans="1:9" s="206" customFormat="1" ht="13.5" thickBot="1" x14ac:dyDescent="0.25">
      <c r="A39" s="126"/>
      <c r="B39" s="126"/>
      <c r="C39" s="126"/>
      <c r="D39" s="126"/>
      <c r="E39" s="65"/>
      <c r="F39" s="337"/>
      <c r="G39" s="126"/>
      <c r="H39" s="351" t="s">
        <v>891</v>
      </c>
      <c r="I39" s="126"/>
    </row>
    <row r="40" spans="1:9" s="206" customFormat="1" x14ac:dyDescent="0.2">
      <c r="A40" s="64" t="s">
        <v>596</v>
      </c>
      <c r="B40" s="354" t="s">
        <v>894</v>
      </c>
      <c r="C40" s="333">
        <v>5</v>
      </c>
      <c r="D40" s="126"/>
      <c r="E40" s="65"/>
      <c r="F40" s="337"/>
      <c r="G40" s="343"/>
      <c r="H40" s="342" t="s">
        <v>411</v>
      </c>
      <c r="I40" s="343"/>
    </row>
    <row r="41" spans="1:9" s="206" customFormat="1" x14ac:dyDescent="0.2">
      <c r="A41" s="126"/>
      <c r="B41" s="825" t="s">
        <v>151</v>
      </c>
      <c r="C41" s="331" t="s">
        <v>878</v>
      </c>
      <c r="D41" s="126"/>
      <c r="E41" s="338">
        <v>13</v>
      </c>
      <c r="F41" s="337"/>
      <c r="G41" s="126"/>
      <c r="H41" s="126"/>
      <c r="I41" s="126"/>
    </row>
    <row r="42" spans="1:9" s="206" customFormat="1" ht="13.5" thickBot="1" x14ac:dyDescent="0.25">
      <c r="A42" s="64" t="s">
        <v>597</v>
      </c>
      <c r="B42" s="332" t="s">
        <v>878</v>
      </c>
      <c r="C42" s="335">
        <v>13</v>
      </c>
      <c r="D42" s="336"/>
      <c r="E42" s="65"/>
      <c r="F42" s="337"/>
      <c r="G42" s="126"/>
      <c r="H42" s="364" t="s">
        <v>878</v>
      </c>
      <c r="I42" s="344"/>
    </row>
    <row r="43" spans="1:9" s="206" customFormat="1" x14ac:dyDescent="0.2">
      <c r="A43" s="126"/>
      <c r="B43" s="126"/>
      <c r="C43" s="126"/>
      <c r="D43" s="337"/>
      <c r="E43" s="332" t="s">
        <v>878</v>
      </c>
      <c r="F43" s="340"/>
      <c r="G43" s="333">
        <v>6</v>
      </c>
      <c r="H43" s="342" t="s">
        <v>412</v>
      </c>
      <c r="I43" s="126"/>
    </row>
    <row r="44" spans="1:9" s="206" customFormat="1" x14ac:dyDescent="0.2">
      <c r="A44" s="64" t="s">
        <v>600</v>
      </c>
      <c r="B44" s="126" t="s">
        <v>892</v>
      </c>
      <c r="C44" s="338">
        <v>13</v>
      </c>
      <c r="D44" s="337"/>
      <c r="E44" s="126"/>
      <c r="F44" s="126"/>
      <c r="G44" s="126"/>
      <c r="H44" s="126"/>
      <c r="I44" s="126"/>
    </row>
    <row r="45" spans="1:9" s="206" customFormat="1" x14ac:dyDescent="0.2">
      <c r="A45" s="126"/>
      <c r="B45" s="330"/>
      <c r="C45" s="339" t="s">
        <v>892</v>
      </c>
      <c r="D45" s="340"/>
      <c r="E45" s="333">
        <v>8</v>
      </c>
      <c r="F45" s="126"/>
      <c r="G45" s="126"/>
      <c r="H45" s="126"/>
      <c r="I45" s="126"/>
    </row>
    <row r="46" spans="1:9" s="206" customFormat="1" x14ac:dyDescent="0.2">
      <c r="A46" s="64" t="s">
        <v>599</v>
      </c>
      <c r="B46" s="332" t="s">
        <v>632</v>
      </c>
      <c r="C46" s="345">
        <v>8</v>
      </c>
      <c r="D46" s="126"/>
      <c r="E46" s="126"/>
      <c r="F46" s="126"/>
      <c r="G46" s="126"/>
      <c r="H46" s="126"/>
      <c r="I46" s="126"/>
    </row>
    <row r="47" spans="1:9" s="206" customFormat="1" x14ac:dyDescent="0.2">
      <c r="A47" s="126"/>
      <c r="B47" s="126"/>
      <c r="C47" s="126"/>
      <c r="D47" s="126"/>
      <c r="E47" s="126" t="s">
        <v>893</v>
      </c>
      <c r="F47" s="126"/>
      <c r="G47" s="338">
        <v>1</v>
      </c>
      <c r="H47" s="65"/>
      <c r="I47" s="65"/>
    </row>
    <row r="48" spans="1:9" s="206" customFormat="1" ht="13.5" thickBot="1" x14ac:dyDescent="0.25">
      <c r="A48" s="126"/>
      <c r="B48" s="126"/>
      <c r="C48" s="126"/>
      <c r="D48" s="126"/>
      <c r="E48" s="330"/>
      <c r="F48" s="336"/>
      <c r="G48" s="344"/>
      <c r="H48" s="364" t="s">
        <v>892</v>
      </c>
      <c r="I48" s="344"/>
    </row>
    <row r="49" spans="1:9" s="206" customFormat="1" x14ac:dyDescent="0.2">
      <c r="A49" s="126"/>
      <c r="B49" s="126"/>
      <c r="C49" s="126"/>
      <c r="D49" s="126"/>
      <c r="E49" s="332" t="s">
        <v>892</v>
      </c>
      <c r="F49" s="340"/>
      <c r="G49" s="333">
        <v>13</v>
      </c>
      <c r="H49" s="346" t="s">
        <v>413</v>
      </c>
      <c r="I49" s="65"/>
    </row>
    <row r="50" spans="1:9" s="206" customFormat="1" x14ac:dyDescent="0.2">
      <c r="A50" s="126"/>
      <c r="B50" s="126"/>
      <c r="C50" s="126"/>
      <c r="D50" s="126"/>
      <c r="E50" s="126"/>
      <c r="F50" s="126"/>
      <c r="G50" s="126"/>
      <c r="H50" s="65"/>
      <c r="I50" s="65"/>
    </row>
    <row r="51" spans="1:9" s="206" customFormat="1" ht="13.5" thickBot="1" x14ac:dyDescent="0.25">
      <c r="A51" s="126"/>
      <c r="B51" s="126"/>
      <c r="C51" s="126"/>
      <c r="D51" s="126"/>
      <c r="E51" s="126"/>
      <c r="F51" s="65"/>
      <c r="G51" s="126"/>
      <c r="H51" s="344" t="s">
        <v>893</v>
      </c>
      <c r="I51" s="344"/>
    </row>
    <row r="52" spans="1:9" s="206" customFormat="1" x14ac:dyDescent="0.2">
      <c r="A52" s="126"/>
      <c r="B52" s="126"/>
      <c r="C52" s="126" t="s">
        <v>888</v>
      </c>
      <c r="D52" s="126"/>
      <c r="E52" s="333">
        <v>13</v>
      </c>
      <c r="F52" s="126"/>
      <c r="G52" s="126"/>
      <c r="H52" s="64" t="s">
        <v>414</v>
      </c>
      <c r="I52" s="126"/>
    </row>
    <row r="53" spans="1:9" s="206" customFormat="1" x14ac:dyDescent="0.2">
      <c r="A53" s="126"/>
      <c r="B53" s="126"/>
      <c r="C53" s="330"/>
      <c r="D53" s="336"/>
      <c r="E53" s="331" t="s">
        <v>888</v>
      </c>
      <c r="F53" s="332"/>
      <c r="G53" s="333">
        <v>13</v>
      </c>
      <c r="H53" s="126"/>
      <c r="I53" s="126"/>
    </row>
    <row r="54" spans="1:9" s="206" customFormat="1" x14ac:dyDescent="0.2">
      <c r="A54" s="126"/>
      <c r="B54" s="126"/>
      <c r="C54" s="332" t="s">
        <v>895</v>
      </c>
      <c r="D54" s="340"/>
      <c r="E54" s="335">
        <v>4</v>
      </c>
      <c r="F54" s="336"/>
      <c r="G54" s="126"/>
      <c r="H54" s="126"/>
      <c r="I54" s="126"/>
    </row>
    <row r="55" spans="1:9" s="206" customFormat="1" ht="13.5" thickBot="1" x14ac:dyDescent="0.25">
      <c r="A55" s="126"/>
      <c r="B55" s="126"/>
      <c r="C55" s="126"/>
      <c r="D55" s="126"/>
      <c r="E55" s="65"/>
      <c r="F55" s="337"/>
      <c r="G55" s="126"/>
      <c r="H55" s="126" t="s">
        <v>888</v>
      </c>
      <c r="I55" s="126"/>
    </row>
    <row r="56" spans="1:9" s="206" customFormat="1" x14ac:dyDescent="0.2">
      <c r="A56" s="126"/>
      <c r="B56" s="126"/>
      <c r="C56" s="354" t="s">
        <v>894</v>
      </c>
      <c r="D56" s="126"/>
      <c r="E56" s="338">
        <v>3</v>
      </c>
      <c r="F56" s="337"/>
      <c r="G56" s="343"/>
      <c r="H56" s="342" t="s">
        <v>415</v>
      </c>
      <c r="I56" s="343"/>
    </row>
    <row r="57" spans="1:9" s="206" customFormat="1" x14ac:dyDescent="0.2">
      <c r="A57" s="126"/>
      <c r="B57" s="126"/>
      <c r="C57" s="330"/>
      <c r="D57" s="336"/>
      <c r="E57" s="339" t="s">
        <v>632</v>
      </c>
      <c r="F57" s="340"/>
      <c r="G57" s="338">
        <v>10</v>
      </c>
      <c r="H57" s="126"/>
      <c r="I57" s="126"/>
    </row>
    <row r="58" spans="1:9" s="206" customFormat="1" ht="13.5" thickBot="1" x14ac:dyDescent="0.25">
      <c r="A58" s="126"/>
      <c r="B58" s="126"/>
      <c r="C58" s="332" t="s">
        <v>632</v>
      </c>
      <c r="D58" s="340"/>
      <c r="E58" s="345">
        <v>13</v>
      </c>
      <c r="F58" s="330"/>
      <c r="G58" s="65"/>
      <c r="H58" s="65" t="s">
        <v>632</v>
      </c>
      <c r="I58" s="344"/>
    </row>
    <row r="59" spans="1:9" s="206" customFormat="1" x14ac:dyDescent="0.2">
      <c r="A59" s="126"/>
      <c r="B59" s="126"/>
      <c r="C59" s="126"/>
      <c r="D59" s="126"/>
      <c r="E59" s="126"/>
      <c r="F59" s="126"/>
      <c r="G59" s="65"/>
      <c r="H59" s="342" t="s">
        <v>416</v>
      </c>
      <c r="I59" s="65"/>
    </row>
    <row r="60" spans="1:9" s="206" customFormat="1" x14ac:dyDescent="0.2">
      <c r="A60" s="126"/>
      <c r="B60" s="126"/>
      <c r="C60" s="126"/>
      <c r="D60" s="126"/>
      <c r="E60" s="126" t="s">
        <v>895</v>
      </c>
      <c r="F60" s="126"/>
      <c r="G60" s="338">
        <v>9</v>
      </c>
      <c r="H60" s="65"/>
      <c r="I60" s="65"/>
    </row>
    <row r="61" spans="1:9" s="206" customFormat="1" ht="13.5" thickBot="1" x14ac:dyDescent="0.25">
      <c r="A61" s="126"/>
      <c r="B61" s="126"/>
      <c r="C61" s="126"/>
      <c r="D61" s="126"/>
      <c r="E61" s="330"/>
      <c r="F61" s="336"/>
      <c r="G61" s="344"/>
      <c r="H61" s="364" t="s">
        <v>946</v>
      </c>
      <c r="I61" s="344"/>
    </row>
    <row r="62" spans="1:9" s="206" customFormat="1" x14ac:dyDescent="0.2">
      <c r="A62" s="126"/>
      <c r="B62" s="126"/>
      <c r="C62" s="126"/>
      <c r="D62" s="126"/>
      <c r="E62" s="332" t="s">
        <v>894</v>
      </c>
      <c r="F62" s="340"/>
      <c r="G62" s="333">
        <v>13</v>
      </c>
      <c r="H62" s="346" t="s">
        <v>417</v>
      </c>
      <c r="I62" s="65"/>
    </row>
    <row r="63" spans="1:9" s="206" customFormat="1" x14ac:dyDescent="0.2">
      <c r="A63" s="126"/>
      <c r="B63" s="126"/>
      <c r="C63" s="126"/>
      <c r="D63" s="126"/>
      <c r="E63" s="126"/>
      <c r="F63" s="126"/>
      <c r="G63" s="126"/>
      <c r="H63" s="65"/>
      <c r="I63" s="65"/>
    </row>
    <row r="64" spans="1:9" s="206" customFormat="1" ht="13.5" thickBot="1" x14ac:dyDescent="0.25">
      <c r="A64" s="126"/>
      <c r="B64" s="126"/>
      <c r="C64" s="126"/>
      <c r="D64" s="126"/>
      <c r="E64" s="126"/>
      <c r="F64" s="65"/>
      <c r="G64" s="126"/>
      <c r="H64" s="344" t="s">
        <v>895</v>
      </c>
      <c r="I64" s="344"/>
    </row>
    <row r="65" spans="1:9" s="206" customFormat="1" x14ac:dyDescent="0.2">
      <c r="A65" s="126"/>
      <c r="B65" s="126"/>
      <c r="C65" s="126"/>
      <c r="D65" s="126"/>
      <c r="E65" s="126"/>
      <c r="F65" s="65"/>
      <c r="G65" s="126"/>
      <c r="H65" s="64" t="s">
        <v>418</v>
      </c>
      <c r="I65" s="126"/>
    </row>
    <row r="66" spans="1:9" s="206" customFormat="1" x14ac:dyDescent="0.2">
      <c r="A66" s="126"/>
      <c r="B66" s="126"/>
      <c r="C66" s="126"/>
      <c r="D66" s="126"/>
      <c r="E66" s="126"/>
      <c r="F66" s="65"/>
      <c r="G66" s="126"/>
      <c r="H66" s="64"/>
      <c r="I66" s="126"/>
    </row>
    <row r="67" spans="1:9" s="206" customFormat="1" x14ac:dyDescent="0.2">
      <c r="A67" s="329" t="s">
        <v>686</v>
      </c>
      <c r="B67" s="126"/>
      <c r="C67" s="126"/>
      <c r="D67" s="126"/>
      <c r="E67" s="126"/>
      <c r="F67" s="126"/>
      <c r="G67" s="126"/>
      <c r="H67" s="126"/>
      <c r="I67" s="126"/>
    </row>
    <row r="68" spans="1:9" s="206" customFormat="1" x14ac:dyDescent="0.2">
      <c r="A68" s="329"/>
      <c r="B68" s="126"/>
      <c r="C68" s="126"/>
      <c r="D68" s="126"/>
      <c r="E68" s="126"/>
      <c r="F68" s="126"/>
      <c r="G68" s="126"/>
      <c r="H68" s="126"/>
      <c r="I68" s="126"/>
    </row>
    <row r="69" spans="1:9" s="206" customFormat="1" x14ac:dyDescent="0.2">
      <c r="A69" s="64" t="s">
        <v>735</v>
      </c>
      <c r="B69" s="354" t="s">
        <v>897</v>
      </c>
      <c r="C69" s="333">
        <v>13</v>
      </c>
      <c r="D69" s="126"/>
      <c r="E69" s="126"/>
      <c r="F69" s="126"/>
      <c r="G69" s="126"/>
      <c r="H69" s="126"/>
      <c r="I69" s="126"/>
    </row>
    <row r="70" spans="1:9" s="206" customFormat="1" x14ac:dyDescent="0.2">
      <c r="A70" s="126"/>
      <c r="B70" s="330"/>
      <c r="C70" s="331" t="s">
        <v>897</v>
      </c>
      <c r="D70" s="126"/>
      <c r="E70" s="333">
        <v>13</v>
      </c>
      <c r="F70" s="126"/>
      <c r="G70" s="126"/>
      <c r="H70" s="126"/>
      <c r="I70" s="126"/>
    </row>
    <row r="71" spans="1:9" s="206" customFormat="1" x14ac:dyDescent="0.2">
      <c r="A71" s="64" t="s">
        <v>881</v>
      </c>
      <c r="B71" s="334" t="s">
        <v>890</v>
      </c>
      <c r="C71" s="335">
        <v>0</v>
      </c>
      <c r="D71" s="336"/>
      <c r="E71" s="126"/>
      <c r="F71" s="126"/>
      <c r="G71" s="126"/>
      <c r="H71" s="126"/>
      <c r="I71" s="126"/>
    </row>
    <row r="72" spans="1:9" s="206" customFormat="1" x14ac:dyDescent="0.2">
      <c r="A72" s="126"/>
      <c r="B72" s="126"/>
      <c r="C72" s="126"/>
      <c r="D72" s="337"/>
      <c r="E72" s="126" t="s">
        <v>897</v>
      </c>
      <c r="F72" s="126"/>
      <c r="G72" s="333">
        <v>1</v>
      </c>
      <c r="H72" s="126"/>
      <c r="I72" s="126"/>
    </row>
    <row r="73" spans="1:9" s="206" customFormat="1" x14ac:dyDescent="0.2">
      <c r="A73" s="64" t="s">
        <v>737</v>
      </c>
      <c r="B73" s="363" t="s">
        <v>901</v>
      </c>
      <c r="C73" s="338">
        <v>9</v>
      </c>
      <c r="D73" s="337"/>
      <c r="E73" s="330"/>
      <c r="F73" s="336"/>
      <c r="G73" s="126"/>
      <c r="H73" s="126"/>
      <c r="I73" s="126"/>
    </row>
    <row r="74" spans="1:9" s="206" customFormat="1" x14ac:dyDescent="0.2">
      <c r="A74" s="126"/>
      <c r="B74" s="330"/>
      <c r="C74" s="339" t="s">
        <v>898</v>
      </c>
      <c r="D74" s="340"/>
      <c r="E74" s="338">
        <v>6</v>
      </c>
      <c r="F74" s="337"/>
      <c r="G74" s="126"/>
      <c r="H74" s="126"/>
      <c r="I74" s="126"/>
    </row>
    <row r="75" spans="1:9" s="206" customFormat="1" x14ac:dyDescent="0.2">
      <c r="A75" s="64" t="s">
        <v>765</v>
      </c>
      <c r="B75" s="334" t="s">
        <v>898</v>
      </c>
      <c r="C75" s="345">
        <v>13</v>
      </c>
      <c r="D75" s="126"/>
      <c r="E75" s="65"/>
      <c r="F75" s="337"/>
      <c r="G75" s="126"/>
      <c r="H75" s="126"/>
      <c r="I75" s="126"/>
    </row>
    <row r="76" spans="1:9" s="206" customFormat="1" ht="13.5" thickBot="1" x14ac:dyDescent="0.25">
      <c r="A76" s="126"/>
      <c r="B76" s="126"/>
      <c r="C76" s="126"/>
      <c r="D76" s="126"/>
      <c r="E76" s="65"/>
      <c r="F76" s="337"/>
      <c r="G76" s="126"/>
      <c r="H76" s="351" t="s">
        <v>896</v>
      </c>
      <c r="I76" s="126"/>
    </row>
    <row r="77" spans="1:9" s="206" customFormat="1" x14ac:dyDescent="0.2">
      <c r="A77" s="64" t="s">
        <v>736</v>
      </c>
      <c r="B77" s="126" t="s">
        <v>889</v>
      </c>
      <c r="C77" s="333">
        <v>13</v>
      </c>
      <c r="D77" s="126"/>
      <c r="E77" s="65"/>
      <c r="F77" s="337"/>
      <c r="G77" s="343"/>
      <c r="H77" s="342" t="s">
        <v>419</v>
      </c>
      <c r="I77" s="343"/>
    </row>
    <row r="78" spans="1:9" s="206" customFormat="1" x14ac:dyDescent="0.2">
      <c r="A78" s="126"/>
      <c r="B78" s="330"/>
      <c r="C78" s="331" t="s">
        <v>889</v>
      </c>
      <c r="D78" s="126"/>
      <c r="E78" s="338">
        <v>9</v>
      </c>
      <c r="F78" s="337"/>
      <c r="G78" s="126"/>
      <c r="H78" s="126"/>
      <c r="I78" s="126"/>
    </row>
    <row r="79" spans="1:9" s="206" customFormat="1" ht="13.5" thickBot="1" x14ac:dyDescent="0.25">
      <c r="A79" s="64" t="s">
        <v>903</v>
      </c>
      <c r="B79" s="332" t="s">
        <v>900</v>
      </c>
      <c r="C79" s="335">
        <v>3</v>
      </c>
      <c r="D79" s="336"/>
      <c r="E79" s="65"/>
      <c r="F79" s="337"/>
      <c r="G79" s="126"/>
      <c r="H79" s="364" t="s">
        <v>897</v>
      </c>
      <c r="I79" s="344"/>
    </row>
    <row r="80" spans="1:9" s="206" customFormat="1" x14ac:dyDescent="0.2">
      <c r="A80" s="126"/>
      <c r="B80" s="126"/>
      <c r="C80" s="126"/>
      <c r="D80" s="337"/>
      <c r="E80" s="332" t="s">
        <v>896</v>
      </c>
      <c r="F80" s="340"/>
      <c r="G80" s="333">
        <v>13</v>
      </c>
      <c r="H80" s="342" t="s">
        <v>420</v>
      </c>
      <c r="I80" s="126"/>
    </row>
    <row r="81" spans="1:9" s="206" customFormat="1" x14ac:dyDescent="0.2">
      <c r="A81" s="64" t="s">
        <v>740</v>
      </c>
      <c r="B81" s="126" t="s">
        <v>899</v>
      </c>
      <c r="C81" s="338">
        <v>3</v>
      </c>
      <c r="D81" s="337"/>
      <c r="E81" s="126"/>
      <c r="F81" s="126"/>
      <c r="G81" s="126"/>
      <c r="H81" s="126"/>
      <c r="I81" s="126"/>
    </row>
    <row r="82" spans="1:9" s="206" customFormat="1" x14ac:dyDescent="0.2">
      <c r="A82" s="126"/>
      <c r="B82" s="330"/>
      <c r="C82" s="339" t="s">
        <v>896</v>
      </c>
      <c r="D82" s="340"/>
      <c r="E82" s="333">
        <v>13</v>
      </c>
      <c r="F82" s="126"/>
      <c r="G82" s="126"/>
      <c r="H82" s="126"/>
      <c r="I82" s="126"/>
    </row>
    <row r="83" spans="1:9" s="206" customFormat="1" x14ac:dyDescent="0.2">
      <c r="A83" s="64" t="s">
        <v>756</v>
      </c>
      <c r="B83" s="332" t="s">
        <v>896</v>
      </c>
      <c r="C83" s="345">
        <v>13</v>
      </c>
      <c r="D83" s="126"/>
      <c r="E83" s="126"/>
      <c r="F83" s="126"/>
      <c r="G83" s="126"/>
      <c r="H83" s="126"/>
      <c r="I83" s="126"/>
    </row>
    <row r="84" spans="1:9" s="206" customFormat="1" x14ac:dyDescent="0.2">
      <c r="A84" s="126"/>
      <c r="B84" s="126"/>
      <c r="C84" s="126"/>
      <c r="D84" s="126"/>
      <c r="E84" s="126" t="s">
        <v>898</v>
      </c>
      <c r="F84" s="126"/>
      <c r="G84" s="338">
        <v>11</v>
      </c>
      <c r="H84" s="65"/>
      <c r="I84" s="65"/>
    </row>
    <row r="85" spans="1:9" s="206" customFormat="1" ht="13.5" thickBot="1" x14ac:dyDescent="0.25">
      <c r="A85" s="126"/>
      <c r="B85" s="126"/>
      <c r="C85" s="126"/>
      <c r="D85" s="126"/>
      <c r="E85" s="330"/>
      <c r="F85" s="336"/>
      <c r="G85" s="344"/>
      <c r="H85" s="364" t="s">
        <v>889</v>
      </c>
      <c r="I85" s="344"/>
    </row>
    <row r="86" spans="1:9" s="206" customFormat="1" x14ac:dyDescent="0.2">
      <c r="A86" s="126"/>
      <c r="B86" s="126"/>
      <c r="C86" s="126"/>
      <c r="D86" s="126"/>
      <c r="E86" s="332" t="s">
        <v>889</v>
      </c>
      <c r="F86" s="340"/>
      <c r="G86" s="333">
        <v>13</v>
      </c>
      <c r="H86" s="346" t="s">
        <v>902</v>
      </c>
      <c r="I86" s="65"/>
    </row>
    <row r="87" spans="1:9" s="206" customFormat="1" x14ac:dyDescent="0.2">
      <c r="A87" s="126"/>
      <c r="B87" s="126"/>
      <c r="C87" s="126"/>
      <c r="D87" s="126"/>
      <c r="E87" s="126"/>
      <c r="F87" s="126"/>
      <c r="G87" s="126"/>
      <c r="H87" s="65"/>
      <c r="I87" s="65"/>
    </row>
    <row r="88" spans="1:9" s="206" customFormat="1" ht="13.5" thickBot="1" x14ac:dyDescent="0.25">
      <c r="A88" s="126"/>
      <c r="B88" s="126"/>
      <c r="C88" s="126"/>
      <c r="D88" s="126"/>
      <c r="E88" s="126"/>
      <c r="F88" s="65"/>
      <c r="G88" s="126"/>
      <c r="H88" s="344" t="s">
        <v>898</v>
      </c>
      <c r="I88" s="344"/>
    </row>
    <row r="89" spans="1:9" s="206" customFormat="1" x14ac:dyDescent="0.2">
      <c r="A89" s="126"/>
      <c r="B89" s="126"/>
      <c r="C89" s="126" t="s">
        <v>890</v>
      </c>
      <c r="D89" s="126"/>
      <c r="E89" s="333">
        <v>13</v>
      </c>
      <c r="F89" s="126"/>
      <c r="G89" s="126"/>
      <c r="H89" s="64" t="s">
        <v>645</v>
      </c>
      <c r="I89" s="126"/>
    </row>
    <row r="90" spans="1:9" s="206" customFormat="1" x14ac:dyDescent="0.2">
      <c r="A90" s="126"/>
      <c r="B90" s="126"/>
      <c r="C90" s="330"/>
      <c r="D90" s="336"/>
      <c r="E90" s="331" t="s">
        <v>890</v>
      </c>
      <c r="F90" s="332"/>
      <c r="G90" s="333">
        <v>5</v>
      </c>
      <c r="H90" s="126"/>
      <c r="I90" s="126"/>
    </row>
    <row r="91" spans="1:9" s="206" customFormat="1" x14ac:dyDescent="0.2">
      <c r="A91" s="126"/>
      <c r="B91" s="126"/>
      <c r="C91" s="332" t="s">
        <v>901</v>
      </c>
      <c r="D91" s="340"/>
      <c r="E91" s="335">
        <v>2</v>
      </c>
      <c r="F91" s="336"/>
      <c r="G91" s="126"/>
      <c r="H91" s="126"/>
      <c r="I91" s="126"/>
    </row>
    <row r="92" spans="1:9" s="206" customFormat="1" ht="13.5" thickBot="1" x14ac:dyDescent="0.25">
      <c r="A92" s="126"/>
      <c r="B92" s="126"/>
      <c r="C92" s="126"/>
      <c r="D92" s="126"/>
      <c r="E92" s="65"/>
      <c r="F92" s="337"/>
      <c r="G92" s="126"/>
      <c r="H92" s="126" t="s">
        <v>899</v>
      </c>
      <c r="I92" s="126"/>
    </row>
    <row r="93" spans="1:9" s="206" customFormat="1" x14ac:dyDescent="0.2">
      <c r="A93" s="126"/>
      <c r="B93" s="126"/>
      <c r="C93" s="354" t="s">
        <v>900</v>
      </c>
      <c r="D93" s="126"/>
      <c r="E93" s="338">
        <v>5</v>
      </c>
      <c r="F93" s="337"/>
      <c r="G93" s="343"/>
      <c r="H93" s="342" t="s">
        <v>646</v>
      </c>
      <c r="I93" s="343"/>
    </row>
    <row r="94" spans="1:9" s="206" customFormat="1" x14ac:dyDescent="0.2">
      <c r="A94" s="126"/>
      <c r="B94" s="126"/>
      <c r="C94" s="330"/>
      <c r="D94" s="336"/>
      <c r="E94" s="339" t="s">
        <v>899</v>
      </c>
      <c r="F94" s="340"/>
      <c r="G94" s="338">
        <v>13</v>
      </c>
      <c r="H94" s="126"/>
      <c r="I94" s="126"/>
    </row>
    <row r="95" spans="1:9" s="206" customFormat="1" ht="13.5" thickBot="1" x14ac:dyDescent="0.25">
      <c r="A95" s="126"/>
      <c r="B95" s="126"/>
      <c r="C95" s="332" t="s">
        <v>899</v>
      </c>
      <c r="D95" s="340"/>
      <c r="E95" s="345">
        <v>13</v>
      </c>
      <c r="F95" s="330"/>
      <c r="G95" s="65"/>
      <c r="H95" s="65" t="s">
        <v>890</v>
      </c>
      <c r="I95" s="344"/>
    </row>
    <row r="96" spans="1:9" s="206" customFormat="1" x14ac:dyDescent="0.2">
      <c r="A96" s="126"/>
      <c r="B96" s="126"/>
      <c r="C96" s="126"/>
      <c r="D96" s="126"/>
      <c r="E96" s="126"/>
      <c r="F96" s="126"/>
      <c r="G96" s="65"/>
      <c r="H96" s="342" t="s">
        <v>647</v>
      </c>
      <c r="I96" s="65"/>
    </row>
    <row r="97" spans="1:12" s="206" customFormat="1" x14ac:dyDescent="0.2">
      <c r="A97" s="126"/>
      <c r="B97" s="126"/>
      <c r="C97" s="126"/>
      <c r="D97" s="126"/>
      <c r="E97" s="126" t="s">
        <v>901</v>
      </c>
      <c r="F97" s="126"/>
      <c r="G97" s="338">
        <v>8</v>
      </c>
      <c r="H97" s="65"/>
      <c r="I97" s="65"/>
    </row>
    <row r="98" spans="1:12" s="206" customFormat="1" ht="13.5" thickBot="1" x14ac:dyDescent="0.25">
      <c r="A98" s="126"/>
      <c r="B98" s="126"/>
      <c r="C98" s="126"/>
      <c r="D98" s="126"/>
      <c r="E98" s="330"/>
      <c r="F98" s="336"/>
      <c r="G98" s="344"/>
      <c r="H98" s="364" t="s">
        <v>900</v>
      </c>
      <c r="I98" s="344"/>
    </row>
    <row r="99" spans="1:12" s="206" customFormat="1" x14ac:dyDescent="0.2">
      <c r="A99" s="126"/>
      <c r="B99" s="126"/>
      <c r="C99" s="126"/>
      <c r="D99" s="126"/>
      <c r="E99" s="332" t="s">
        <v>900</v>
      </c>
      <c r="F99" s="340"/>
      <c r="G99" s="333">
        <v>13</v>
      </c>
      <c r="H99" s="346" t="s">
        <v>648</v>
      </c>
      <c r="I99" s="65"/>
    </row>
    <row r="100" spans="1:12" s="206" customFormat="1" x14ac:dyDescent="0.2">
      <c r="A100" s="126"/>
      <c r="B100" s="126"/>
      <c r="C100" s="126"/>
      <c r="D100" s="126"/>
      <c r="E100" s="126"/>
      <c r="F100" s="126"/>
      <c r="G100" s="126"/>
      <c r="H100" s="65"/>
      <c r="I100" s="65"/>
    </row>
    <row r="101" spans="1:12" s="206" customFormat="1" ht="13.5" thickBot="1" x14ac:dyDescent="0.25">
      <c r="A101" s="126"/>
      <c r="B101" s="126"/>
      <c r="C101" s="126"/>
      <c r="D101" s="126"/>
      <c r="E101" s="126"/>
      <c r="F101" s="65"/>
      <c r="G101" s="126"/>
      <c r="H101" s="344" t="s">
        <v>901</v>
      </c>
      <c r="I101" s="344"/>
    </row>
    <row r="102" spans="1:12" s="206" customFormat="1" x14ac:dyDescent="0.2">
      <c r="A102" s="126"/>
      <c r="B102" s="126"/>
      <c r="C102" s="126"/>
      <c r="D102" s="126"/>
      <c r="E102" s="126"/>
      <c r="F102" s="65"/>
      <c r="G102" s="126"/>
      <c r="H102" s="64" t="s">
        <v>649</v>
      </c>
      <c r="I102" s="126"/>
    </row>
    <row r="103" spans="1:12" x14ac:dyDescent="0.2">
      <c r="A103" s="90"/>
      <c r="B103" s="89"/>
      <c r="C103" s="89"/>
      <c r="D103" s="89"/>
      <c r="E103" s="89"/>
      <c r="F103" s="89"/>
      <c r="G103" s="89"/>
      <c r="H103" s="89"/>
      <c r="I103" s="90"/>
    </row>
    <row r="104" spans="1:12" x14ac:dyDescent="0.2">
      <c r="A104" s="59">
        <v>1</v>
      </c>
      <c r="B104" s="84" t="s">
        <v>891</v>
      </c>
      <c r="C104" s="90"/>
      <c r="D104" s="90"/>
      <c r="E104" s="90"/>
      <c r="F104" s="90"/>
      <c r="G104" s="90"/>
      <c r="H104" s="90"/>
      <c r="I104" s="90"/>
      <c r="K104" s="90"/>
      <c r="L104" s="90"/>
    </row>
    <row r="105" spans="1:12" x14ac:dyDescent="0.2">
      <c r="A105" s="59">
        <v>2</v>
      </c>
      <c r="B105" s="823" t="s">
        <v>878</v>
      </c>
      <c r="C105" s="90"/>
      <c r="D105"/>
      <c r="E105" s="90"/>
      <c r="F105" s="90"/>
      <c r="G105" s="90"/>
      <c r="H105" s="90"/>
      <c r="I105" s="90"/>
      <c r="J105" s="90"/>
      <c r="K105" s="90"/>
      <c r="L105" s="90"/>
    </row>
    <row r="106" spans="1:12" x14ac:dyDescent="0.2">
      <c r="A106" s="59">
        <v>3</v>
      </c>
      <c r="B106" s="824" t="s">
        <v>892</v>
      </c>
      <c r="C106" s="90"/>
      <c r="D106"/>
      <c r="E106" s="90"/>
      <c r="F106" s="90"/>
      <c r="G106" s="90"/>
      <c r="H106" s="90"/>
      <c r="I106" s="90"/>
      <c r="J106" s="90"/>
      <c r="K106" s="90"/>
      <c r="L106" s="90"/>
    </row>
    <row r="107" spans="1:12" x14ac:dyDescent="0.2">
      <c r="A107" s="59">
        <v>4</v>
      </c>
      <c r="B107" s="361" t="s">
        <v>893</v>
      </c>
      <c r="C107" s="90"/>
      <c r="D107"/>
      <c r="E107" s="90"/>
      <c r="F107" s="90"/>
      <c r="G107" s="90"/>
      <c r="H107" s="90"/>
      <c r="I107" s="90"/>
      <c r="J107" s="90"/>
      <c r="K107" s="90"/>
      <c r="L107" s="90"/>
    </row>
    <row r="108" spans="1:12" x14ac:dyDescent="0.2">
      <c r="A108" s="59">
        <v>5</v>
      </c>
      <c r="B108" s="94" t="s">
        <v>888</v>
      </c>
      <c r="C108" s="90"/>
      <c r="D108"/>
      <c r="E108" s="90"/>
      <c r="F108" s="90"/>
      <c r="G108" s="90"/>
      <c r="H108" s="90"/>
      <c r="I108" s="90"/>
      <c r="J108" s="90"/>
      <c r="K108" s="90"/>
      <c r="L108" s="90"/>
    </row>
    <row r="109" spans="1:12" x14ac:dyDescent="0.2">
      <c r="A109" s="59">
        <v>6</v>
      </c>
      <c r="B109" s="94" t="s">
        <v>632</v>
      </c>
      <c r="C109" s="90"/>
      <c r="D109"/>
      <c r="E109" s="90"/>
      <c r="F109" s="90"/>
      <c r="G109" s="90"/>
      <c r="H109" s="90"/>
      <c r="I109" s="90"/>
      <c r="J109" s="90"/>
      <c r="K109" s="90"/>
      <c r="L109" s="90"/>
    </row>
    <row r="110" spans="1:12" x14ac:dyDescent="0.2">
      <c r="A110" s="59">
        <v>7</v>
      </c>
      <c r="B110" s="361" t="s">
        <v>894</v>
      </c>
      <c r="C110" s="90"/>
      <c r="D110"/>
      <c r="E110" s="90"/>
      <c r="F110" s="90"/>
      <c r="G110" s="90"/>
      <c r="H110" s="90"/>
      <c r="I110" s="90"/>
      <c r="J110" s="90"/>
      <c r="K110" s="90"/>
      <c r="L110" s="90"/>
    </row>
    <row r="111" spans="1:12" x14ac:dyDescent="0.2">
      <c r="A111" s="59">
        <v>8</v>
      </c>
      <c r="B111" s="361" t="s">
        <v>895</v>
      </c>
      <c r="C111" s="90"/>
      <c r="D111"/>
      <c r="E111" s="90"/>
      <c r="F111" s="90"/>
      <c r="G111" s="90"/>
      <c r="H111" s="90"/>
      <c r="I111" s="90"/>
      <c r="J111" s="90"/>
      <c r="K111" s="90"/>
      <c r="L111" s="90"/>
    </row>
    <row r="112" spans="1:12" x14ac:dyDescent="0.2">
      <c r="A112" s="59">
        <v>9</v>
      </c>
      <c r="B112" s="361" t="s">
        <v>896</v>
      </c>
      <c r="C112" s="90"/>
      <c r="D112"/>
      <c r="E112" s="90"/>
      <c r="F112" s="90"/>
      <c r="G112" s="90"/>
      <c r="H112" s="90"/>
      <c r="I112" s="90"/>
      <c r="J112" s="90"/>
      <c r="K112" s="90"/>
      <c r="L112" s="90"/>
    </row>
    <row r="113" spans="1:12" x14ac:dyDescent="0.2">
      <c r="A113" s="59">
        <v>10</v>
      </c>
      <c r="B113" s="361" t="s">
        <v>897</v>
      </c>
      <c r="C113" s="90"/>
      <c r="D113"/>
      <c r="E113" s="90"/>
      <c r="F113" s="90"/>
      <c r="G113" s="90"/>
      <c r="H113" s="90"/>
      <c r="I113" s="90"/>
      <c r="J113" s="90"/>
      <c r="K113" s="90"/>
      <c r="L113" s="90"/>
    </row>
    <row r="114" spans="1:12" x14ac:dyDescent="0.2">
      <c r="A114" s="59">
        <v>11</v>
      </c>
      <c r="B114" s="94" t="s">
        <v>889</v>
      </c>
      <c r="C114" s="90"/>
      <c r="D114"/>
      <c r="E114" s="90"/>
      <c r="F114" s="90"/>
      <c r="G114" s="90"/>
      <c r="H114" s="90"/>
      <c r="I114" s="90"/>
      <c r="J114" s="90"/>
      <c r="K114" s="90"/>
      <c r="L114" s="90"/>
    </row>
    <row r="115" spans="1:12" x14ac:dyDescent="0.2">
      <c r="A115" s="59">
        <v>12</v>
      </c>
      <c r="B115" s="361" t="s">
        <v>898</v>
      </c>
      <c r="C115" s="90"/>
      <c r="D115"/>
      <c r="E115" s="90"/>
      <c r="F115" s="90"/>
      <c r="G115" s="90"/>
      <c r="H115" s="90"/>
      <c r="I115" s="90"/>
      <c r="J115" s="90"/>
      <c r="K115" s="90"/>
      <c r="L115" s="90"/>
    </row>
    <row r="116" spans="1:12" x14ac:dyDescent="0.2">
      <c r="A116" s="59">
        <v>13</v>
      </c>
      <c r="B116" s="361" t="s">
        <v>899</v>
      </c>
      <c r="C116" s="90"/>
      <c r="D116"/>
      <c r="E116" s="90"/>
      <c r="F116" s="90"/>
      <c r="G116" s="90"/>
      <c r="H116" s="90"/>
      <c r="I116" s="90"/>
      <c r="J116" s="90"/>
      <c r="K116" s="90"/>
      <c r="L116" s="90"/>
    </row>
    <row r="117" spans="1:12" x14ac:dyDescent="0.2">
      <c r="A117" s="59">
        <v>14</v>
      </c>
      <c r="B117" s="94" t="s">
        <v>890</v>
      </c>
      <c r="C117" s="90"/>
      <c r="D117"/>
      <c r="E117" s="90"/>
      <c r="F117" s="90"/>
      <c r="G117" s="90"/>
      <c r="H117" s="90"/>
      <c r="I117" s="90"/>
      <c r="J117" s="90"/>
      <c r="K117" s="90"/>
      <c r="L117" s="90"/>
    </row>
    <row r="118" spans="1:12" x14ac:dyDescent="0.2">
      <c r="A118" s="59">
        <v>15</v>
      </c>
      <c r="B118" s="361" t="s">
        <v>900</v>
      </c>
      <c r="C118" s="90"/>
      <c r="D118"/>
      <c r="E118" s="90"/>
      <c r="F118" s="90"/>
      <c r="G118" s="90"/>
      <c r="H118" s="90"/>
      <c r="I118" s="90"/>
      <c r="J118" s="90"/>
      <c r="K118" s="90"/>
      <c r="L118" s="90"/>
    </row>
    <row r="119" spans="1:12" x14ac:dyDescent="0.2">
      <c r="A119" s="59">
        <v>16</v>
      </c>
      <c r="B119" s="361" t="s">
        <v>901</v>
      </c>
      <c r="C119" s="90"/>
      <c r="D119"/>
      <c r="E119" s="90"/>
      <c r="F119" s="90"/>
      <c r="G119" s="90"/>
      <c r="H119" s="90"/>
      <c r="I119" s="90"/>
      <c r="J119" s="90"/>
      <c r="K119" s="90"/>
      <c r="L119" s="90"/>
    </row>
    <row r="120" spans="1:12" x14ac:dyDescent="0.2">
      <c r="A120" s="97"/>
      <c r="B120" s="97"/>
      <c r="C120" s="97"/>
      <c r="D120" s="97"/>
      <c r="E120" s="97"/>
      <c r="F120" s="97"/>
      <c r="G120" s="97"/>
      <c r="H120" s="97"/>
      <c r="I120" s="97"/>
      <c r="J120" s="97"/>
      <c r="K120" s="97"/>
      <c r="L120" s="97"/>
    </row>
    <row r="121" spans="1:12" x14ac:dyDescent="0.2">
      <c r="A121" s="97"/>
      <c r="B121" s="97"/>
      <c r="C121" s="97"/>
      <c r="D121" s="97"/>
      <c r="E121" s="97"/>
      <c r="F121" s="97"/>
      <c r="G121" s="97"/>
      <c r="H121" s="97"/>
      <c r="I121" s="97"/>
      <c r="J121" s="97"/>
      <c r="K121" s="97"/>
      <c r="L121" s="97"/>
    </row>
    <row r="122" spans="1:12" x14ac:dyDescent="0.2">
      <c r="A122" s="97"/>
      <c r="B122" s="97"/>
      <c r="C122" s="97"/>
      <c r="D122" s="97"/>
      <c r="E122" s="97"/>
      <c r="F122" s="97"/>
      <c r="G122" s="97"/>
      <c r="H122" s="97"/>
      <c r="I122" s="97"/>
      <c r="J122" s="97"/>
      <c r="K122" s="97"/>
      <c r="L122" s="97"/>
    </row>
    <row r="123" spans="1:12" x14ac:dyDescent="0.2">
      <c r="A123" s="97"/>
      <c r="B123" s="97"/>
      <c r="C123" s="97"/>
      <c r="D123" s="97"/>
      <c r="E123" s="97"/>
      <c r="F123" s="97"/>
      <c r="G123" s="97"/>
      <c r="H123" s="97"/>
      <c r="I123" s="97"/>
      <c r="J123" s="97"/>
      <c r="K123" s="97"/>
      <c r="L123" s="97"/>
    </row>
    <row r="124" spans="1:12" x14ac:dyDescent="0.2">
      <c r="A124" s="97"/>
      <c r="B124" s="97"/>
      <c r="C124" s="97"/>
      <c r="D124" s="97"/>
      <c r="E124" s="97"/>
      <c r="F124" s="97"/>
      <c r="G124" s="97"/>
      <c r="H124" s="97"/>
      <c r="I124" s="97"/>
      <c r="J124" s="97"/>
      <c r="K124" s="97"/>
      <c r="L124" s="97"/>
    </row>
    <row r="125" spans="1:12" x14ac:dyDescent="0.2">
      <c r="A125" s="97"/>
      <c r="B125" s="97"/>
      <c r="C125" s="97"/>
      <c r="D125" s="97"/>
      <c r="E125" s="97"/>
      <c r="F125" s="97"/>
      <c r="G125" s="97"/>
      <c r="H125" s="97"/>
      <c r="I125" s="97"/>
      <c r="J125" s="97"/>
      <c r="K125" s="97"/>
      <c r="L125" s="97"/>
    </row>
    <row r="126" spans="1:12" x14ac:dyDescent="0.2">
      <c r="A126" s="97"/>
      <c r="B126" s="97"/>
      <c r="C126" s="97"/>
      <c r="D126" s="97"/>
      <c r="E126" s="97"/>
      <c r="F126" s="97"/>
      <c r="G126" s="97"/>
      <c r="H126" s="97"/>
      <c r="I126" s="97"/>
      <c r="J126" s="97"/>
      <c r="K126" s="97"/>
      <c r="L126" s="97"/>
    </row>
    <row r="127" spans="1:12" x14ac:dyDescent="0.2">
      <c r="A127" s="97"/>
      <c r="B127" s="97"/>
      <c r="C127" s="97"/>
      <c r="D127" s="97"/>
      <c r="E127" s="97"/>
      <c r="F127" s="97"/>
      <c r="G127" s="97"/>
      <c r="H127" s="97"/>
      <c r="I127" s="97"/>
      <c r="J127" s="97"/>
      <c r="K127" s="97"/>
      <c r="L127" s="97"/>
    </row>
    <row r="128" spans="1:12" x14ac:dyDescent="0.2">
      <c r="A128" s="97"/>
      <c r="B128" s="97"/>
      <c r="C128" s="97"/>
      <c r="D128" s="97"/>
      <c r="E128" s="97"/>
      <c r="F128" s="97"/>
      <c r="G128" s="97"/>
      <c r="H128" s="97"/>
      <c r="I128" s="97"/>
      <c r="J128" s="97"/>
      <c r="K128" s="97"/>
      <c r="L128" s="97"/>
    </row>
    <row r="129" spans="1:12" x14ac:dyDescent="0.2">
      <c r="A129" s="97"/>
      <c r="B129" s="97"/>
      <c r="C129" s="97"/>
      <c r="D129" s="97"/>
      <c r="E129" s="97"/>
      <c r="F129" s="97"/>
      <c r="G129" s="97"/>
      <c r="H129" s="97"/>
      <c r="I129" s="97"/>
      <c r="J129" s="97"/>
      <c r="K129" s="97"/>
      <c r="L129" s="97"/>
    </row>
    <row r="130" spans="1:12" x14ac:dyDescent="0.2">
      <c r="A130" s="97"/>
      <c r="B130" s="97"/>
      <c r="C130" s="97"/>
      <c r="D130" s="97"/>
      <c r="E130" s="97"/>
      <c r="F130" s="97"/>
      <c r="G130" s="97"/>
      <c r="H130" s="97"/>
      <c r="I130" s="97"/>
      <c r="J130" s="97"/>
      <c r="K130" s="97"/>
      <c r="L130" s="97"/>
    </row>
    <row r="131" spans="1:12" x14ac:dyDescent="0.2">
      <c r="A131" s="97"/>
      <c r="B131" s="97"/>
      <c r="C131" s="97"/>
      <c r="D131" s="97"/>
      <c r="E131" s="97"/>
      <c r="F131" s="97"/>
      <c r="G131" s="97"/>
      <c r="H131" s="97"/>
      <c r="I131" s="97"/>
      <c r="J131" s="97"/>
      <c r="K131" s="97"/>
      <c r="L131" s="97"/>
    </row>
    <row r="132" spans="1:12" x14ac:dyDescent="0.2">
      <c r="A132" s="97"/>
      <c r="B132" s="97"/>
      <c r="C132" s="97"/>
      <c r="D132" s="97"/>
      <c r="E132" s="97"/>
      <c r="F132" s="97"/>
      <c r="G132" s="97"/>
      <c r="H132" s="97"/>
      <c r="I132" s="97"/>
      <c r="J132" s="97"/>
      <c r="K132" s="97"/>
      <c r="L132" s="97"/>
    </row>
    <row r="133" spans="1:12" x14ac:dyDescent="0.2">
      <c r="A133" s="97"/>
      <c r="B133" s="97"/>
      <c r="C133" s="97"/>
      <c r="D133" s="97"/>
      <c r="E133" s="97"/>
      <c r="F133" s="97"/>
      <c r="G133" s="97"/>
      <c r="H133" s="97"/>
      <c r="I133" s="97"/>
      <c r="J133" s="97"/>
      <c r="K133" s="97"/>
      <c r="L133" s="97"/>
    </row>
    <row r="134" spans="1:12" x14ac:dyDescent="0.2">
      <c r="A134" s="97"/>
      <c r="B134" s="97"/>
      <c r="C134" s="97"/>
      <c r="D134" s="97"/>
      <c r="E134" s="97"/>
      <c r="F134" s="97"/>
      <c r="G134" s="97"/>
      <c r="H134" s="97"/>
      <c r="I134" s="97"/>
      <c r="J134" s="97"/>
      <c r="K134" s="97"/>
      <c r="L134" s="97"/>
    </row>
    <row r="135" spans="1:12" x14ac:dyDescent="0.2">
      <c r="A135" s="97"/>
      <c r="B135" s="97"/>
      <c r="C135" s="97"/>
      <c r="D135" s="97"/>
      <c r="E135" s="97"/>
      <c r="F135" s="97"/>
      <c r="G135" s="97"/>
      <c r="H135" s="97"/>
      <c r="I135" s="97"/>
      <c r="J135" s="97"/>
      <c r="K135" s="97"/>
      <c r="L135" s="97"/>
    </row>
    <row r="136" spans="1:12" x14ac:dyDescent="0.2">
      <c r="A136" s="97"/>
      <c r="B136" s="97"/>
      <c r="C136" s="97"/>
      <c r="D136" s="97"/>
      <c r="E136" s="97"/>
      <c r="F136" s="97"/>
      <c r="G136" s="97"/>
      <c r="H136" s="97"/>
      <c r="I136" s="97"/>
      <c r="J136" s="97"/>
      <c r="K136" s="97"/>
      <c r="L136" s="97"/>
    </row>
    <row r="137" spans="1:12" x14ac:dyDescent="0.2">
      <c r="A137" s="97"/>
      <c r="B137" s="97"/>
      <c r="C137" s="97"/>
      <c r="D137" s="97"/>
      <c r="E137" s="97"/>
      <c r="F137" s="97"/>
      <c r="G137" s="97"/>
      <c r="H137" s="97"/>
      <c r="I137" s="97"/>
      <c r="J137" s="97"/>
      <c r="K137" s="97"/>
      <c r="L137" s="97"/>
    </row>
    <row r="138" spans="1:12" x14ac:dyDescent="0.2">
      <c r="A138" s="97"/>
      <c r="B138" s="97"/>
      <c r="C138" s="97"/>
      <c r="D138" s="97"/>
      <c r="E138" s="97"/>
      <c r="F138" s="97"/>
      <c r="G138" s="97"/>
      <c r="H138" s="97"/>
      <c r="I138" s="97"/>
      <c r="J138" s="97"/>
      <c r="K138" s="97"/>
      <c r="L138" s="97"/>
    </row>
    <row r="139" spans="1:12" x14ac:dyDescent="0.2">
      <c r="A139" s="97"/>
      <c r="B139" s="97"/>
      <c r="C139" s="97"/>
      <c r="D139" s="97"/>
      <c r="E139" s="97"/>
      <c r="F139" s="97"/>
      <c r="G139" s="97"/>
      <c r="H139" s="97"/>
      <c r="I139" s="97"/>
      <c r="J139" s="97"/>
      <c r="K139" s="97"/>
      <c r="L139" s="97"/>
    </row>
    <row r="140" spans="1:12" x14ac:dyDescent="0.2">
      <c r="A140" s="97"/>
      <c r="B140" s="97"/>
      <c r="C140" s="97"/>
      <c r="D140" s="97"/>
      <c r="E140" s="97"/>
      <c r="F140" s="97"/>
      <c r="G140" s="97"/>
      <c r="H140" s="97"/>
      <c r="I140" s="97"/>
      <c r="J140" s="97"/>
      <c r="K140" s="97"/>
      <c r="L140" s="97"/>
    </row>
    <row r="141" spans="1:12" x14ac:dyDescent="0.2">
      <c r="A141" s="97"/>
      <c r="B141" s="97"/>
      <c r="C141" s="97"/>
      <c r="D141" s="97"/>
      <c r="E141" s="97"/>
      <c r="F141" s="97"/>
      <c r="G141" s="97"/>
      <c r="H141" s="97"/>
      <c r="I141" s="97"/>
      <c r="J141" s="97"/>
      <c r="K141" s="97"/>
      <c r="L141" s="97"/>
    </row>
    <row r="142" spans="1:12" x14ac:dyDescent="0.2">
      <c r="A142" s="97"/>
      <c r="B142" s="97"/>
      <c r="C142" s="97"/>
      <c r="D142" s="97"/>
      <c r="E142" s="97"/>
      <c r="F142" s="97"/>
      <c r="G142" s="97"/>
      <c r="H142" s="97"/>
      <c r="I142" s="97"/>
      <c r="J142" s="97"/>
      <c r="K142" s="97"/>
      <c r="L142" s="97"/>
    </row>
    <row r="143" spans="1:12" x14ac:dyDescent="0.2">
      <c r="A143" s="97"/>
      <c r="B143" s="97"/>
      <c r="C143" s="97"/>
      <c r="D143" s="97"/>
      <c r="E143" s="97"/>
      <c r="F143" s="97"/>
      <c r="G143" s="97"/>
      <c r="H143" s="97"/>
      <c r="I143" s="97"/>
      <c r="J143" s="97"/>
      <c r="K143" s="97"/>
      <c r="L143" s="97"/>
    </row>
    <row r="144" spans="1:12" x14ac:dyDescent="0.2">
      <c r="A144" s="97"/>
      <c r="B144" s="97"/>
      <c r="C144" s="97"/>
      <c r="D144" s="97"/>
      <c r="E144" s="97"/>
      <c r="F144" s="97"/>
      <c r="G144" s="97"/>
      <c r="H144" s="97"/>
      <c r="I144" s="97"/>
      <c r="J144" s="97"/>
      <c r="K144" s="97"/>
      <c r="L144" s="97"/>
    </row>
  </sheetData>
  <conditionalFormatting sqref="B103:I103">
    <cfRule type="cellIs" dxfId="59" priority="15" stopIfTrue="1" operator="equal">
      <formula>13</formula>
    </cfRule>
  </conditionalFormatting>
  <conditionalFormatting sqref="C11:G12 C7:F10 C17:G18 C13:F16 C23:G24 C19:F22 C29:G29 C25:F28 C30:H32 C67:G99 C33:G62">
    <cfRule type="cellIs" dxfId="58" priority="11" operator="equal">
      <formula>13</formula>
    </cfRule>
  </conditionalFormatting>
  <conditionalFormatting sqref="G7:G10">
    <cfRule type="duplicateValues" dxfId="57" priority="7"/>
    <cfRule type="cellIs" dxfId="56" priority="8" operator="equal">
      <formula>13</formula>
    </cfRule>
  </conditionalFormatting>
  <conditionalFormatting sqref="G13:G16">
    <cfRule type="duplicateValues" dxfId="55" priority="5"/>
    <cfRule type="cellIs" dxfId="54" priority="6" operator="equal">
      <formula>13</formula>
    </cfRule>
  </conditionalFormatting>
  <conditionalFormatting sqref="G19:G22">
    <cfRule type="duplicateValues" dxfId="53" priority="3"/>
    <cfRule type="cellIs" dxfId="52" priority="4" operator="equal">
      <formula>13</formula>
    </cfRule>
  </conditionalFormatting>
  <conditionalFormatting sqref="G25:G28">
    <cfRule type="duplicateValues" dxfId="51" priority="1"/>
    <cfRule type="cellIs" dxfId="50" priority="2" operator="equal">
      <formula>13</formula>
    </cfRule>
  </conditionalFormatting>
  <pageMargins left="0.31496062992125984" right="0.31496062992125984" top="0.78740157480314965" bottom="0.31496062992125984" header="0.59055118110236227" footer="0"/>
  <pageSetup paperSize="9" fitToHeight="0" orientation="landscape" r:id="rId1"/>
  <headerFooter>
    <oddHeader>&amp;RPage &amp;P of &amp;N</oddHeader>
  </headerFooter>
  <rowBreaks count="3" manualBreakCount="3">
    <brk id="28" max="16383" man="1"/>
    <brk id="65" max="16383" man="1"/>
    <brk id="10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showGridLines="0" showRowColHeaders="0" zoomScaleNormal="100" workbookViewId="0">
      <pane ySplit="2" topLeftCell="A3" activePane="bottomLeft" state="frozen"/>
      <selection pane="bottomLeft" activeCell="I1" sqref="I1"/>
    </sheetView>
  </sheetViews>
  <sheetFormatPr defaultRowHeight="12.75" x14ac:dyDescent="0.2"/>
  <cols>
    <col min="1" max="1" width="3.28515625" style="99" customWidth="1"/>
    <col min="2" max="2" width="40.7109375" style="99" customWidth="1"/>
    <col min="3" max="3" width="3" style="99" bestFit="1" customWidth="1"/>
    <col min="4" max="4" width="2.7109375" style="99" customWidth="1"/>
    <col min="5" max="5" width="1.5703125" style="99" customWidth="1"/>
    <col min="6" max="6" width="2.7109375" style="99" customWidth="1"/>
    <col min="7" max="7" width="2.28515625" style="99" customWidth="1"/>
    <col min="8" max="8" width="40.7109375" style="99" customWidth="1"/>
    <col min="9" max="9" width="5.140625" style="99" bestFit="1" customWidth="1"/>
    <col min="10" max="10" width="9.140625" style="99"/>
    <col min="11" max="11" width="3.85546875" style="99" customWidth="1"/>
    <col min="12" max="13" width="9.140625" style="99"/>
    <col min="14" max="14" width="9.140625" style="99" customWidth="1"/>
    <col min="15" max="17" width="0.85546875" style="99" customWidth="1"/>
    <col min="18" max="16384" width="9.140625" style="99"/>
  </cols>
  <sheetData>
    <row r="1" spans="1:11" x14ac:dyDescent="0.2">
      <c r="A1" s="117" t="str">
        <f>UPPER((Kalend!E26)&amp;" - "&amp;(Kalend!C26)&amp;" - "&amp;(Kalend!D26))</f>
        <v>12 - EESTI REITINGUVÕISTLUS - DUO</v>
      </c>
      <c r="G1" s="506" t="str">
        <f>HYPERLINK("#Üldreiting!I1","Reiting")</f>
        <v>Reiting</v>
      </c>
      <c r="H1" s="208" t="s">
        <v>715</v>
      </c>
      <c r="I1" s="206"/>
    </row>
    <row r="2" spans="1:11" x14ac:dyDescent="0.2">
      <c r="A2" s="116" t="str">
        <f>"Toimumisaeg: "&amp;(Kalend!A26)&amp;" kell "&amp;(Kalend!B26)</f>
        <v xml:space="preserve">Toimumisaeg: P, 03.09.2017 kell </v>
      </c>
      <c r="H2" s="208" t="s">
        <v>699</v>
      </c>
    </row>
    <row r="3" spans="1:11" x14ac:dyDescent="0.2">
      <c r="A3" s="116" t="str">
        <f>"Toimumiskoht: "&amp;(Kalend!H26)</f>
        <v>Toimumiskoht: Saku, Teaduse 2</v>
      </c>
    </row>
    <row r="4" spans="1:11" x14ac:dyDescent="0.2">
      <c r="A4" s="116" t="str">
        <f>"Korraldaja: "&amp;(Kalend!I26)</f>
        <v>Korraldaja: Saku PK</v>
      </c>
    </row>
    <row r="5" spans="1:11" x14ac:dyDescent="0.2">
      <c r="A5" s="206"/>
      <c r="B5" s="206"/>
      <c r="C5" s="206"/>
      <c r="D5" s="206"/>
      <c r="E5" s="206"/>
      <c r="F5" s="206"/>
      <c r="G5" s="206"/>
      <c r="H5" s="206" t="s">
        <v>6</v>
      </c>
      <c r="I5" s="206"/>
      <c r="J5" s="206"/>
      <c r="K5" s="206"/>
    </row>
    <row r="6" spans="1:11" x14ac:dyDescent="0.2">
      <c r="A6" s="465" t="s">
        <v>616</v>
      </c>
      <c r="B6" s="466"/>
      <c r="C6" s="798" t="s">
        <v>199</v>
      </c>
      <c r="D6" s="774"/>
      <c r="E6" s="799" t="s">
        <v>700</v>
      </c>
      <c r="F6" s="799"/>
      <c r="G6" s="798" t="s">
        <v>199</v>
      </c>
      <c r="H6" s="121"/>
      <c r="I6" s="206"/>
      <c r="J6" s="206"/>
      <c r="K6" s="206"/>
    </row>
    <row r="7" spans="1:11" x14ac:dyDescent="0.2">
      <c r="A7" s="468" t="s">
        <v>187</v>
      </c>
      <c r="B7" s="124" t="s">
        <v>663</v>
      </c>
      <c r="C7" s="469">
        <f>IF(D7=13,1,0)</f>
        <v>0</v>
      </c>
      <c r="D7" s="826">
        <v>6</v>
      </c>
      <c r="E7" s="827" t="s">
        <v>787</v>
      </c>
      <c r="F7" s="828">
        <v>13</v>
      </c>
      <c r="G7" s="469">
        <f>IF(F7=13,1,0)</f>
        <v>1</v>
      </c>
      <c r="H7" s="124" t="s">
        <v>914</v>
      </c>
      <c r="I7" s="41" t="s">
        <v>702</v>
      </c>
      <c r="J7" s="206"/>
      <c r="K7" s="206"/>
    </row>
    <row r="8" spans="1:11" x14ac:dyDescent="0.2">
      <c r="A8" s="468" t="s">
        <v>705</v>
      </c>
      <c r="B8" s="502" t="s">
        <v>910</v>
      </c>
      <c r="C8" s="469">
        <f t="shared" ref="C8:C15" si="0">IF(D8=13,1,0)</f>
        <v>1</v>
      </c>
      <c r="D8" s="826">
        <v>13</v>
      </c>
      <c r="E8" s="827" t="s">
        <v>787</v>
      </c>
      <c r="F8" s="828">
        <v>4</v>
      </c>
      <c r="G8" s="469">
        <f t="shared" ref="G8:G15" si="1">IF(F8=13,1,0)</f>
        <v>0</v>
      </c>
      <c r="H8" s="136" t="s">
        <v>917</v>
      </c>
      <c r="I8" s="41" t="s">
        <v>921</v>
      </c>
      <c r="J8" s="206"/>
      <c r="K8" s="206"/>
    </row>
    <row r="9" spans="1:11" x14ac:dyDescent="0.2">
      <c r="A9" s="468" t="s">
        <v>155</v>
      </c>
      <c r="B9" s="124" t="s">
        <v>792</v>
      </c>
      <c r="C9" s="469">
        <f t="shared" si="0"/>
        <v>1</v>
      </c>
      <c r="D9" s="826">
        <v>13</v>
      </c>
      <c r="E9" s="827" t="s">
        <v>787</v>
      </c>
      <c r="F9" s="828">
        <v>3</v>
      </c>
      <c r="G9" s="469">
        <f t="shared" si="1"/>
        <v>0</v>
      </c>
      <c r="H9" s="136" t="s">
        <v>793</v>
      </c>
      <c r="I9" s="41" t="s">
        <v>809</v>
      </c>
      <c r="J9" s="206"/>
      <c r="K9" s="206"/>
    </row>
    <row r="10" spans="1:11" x14ac:dyDescent="0.2">
      <c r="A10" s="468" t="s">
        <v>707</v>
      </c>
      <c r="B10" s="124" t="s">
        <v>916</v>
      </c>
      <c r="C10" s="469">
        <f t="shared" si="0"/>
        <v>0</v>
      </c>
      <c r="D10" s="826">
        <v>1</v>
      </c>
      <c r="E10" s="827" t="s">
        <v>787</v>
      </c>
      <c r="F10" s="828">
        <v>13</v>
      </c>
      <c r="G10" s="469">
        <f t="shared" si="1"/>
        <v>1</v>
      </c>
      <c r="H10" s="98" t="s">
        <v>911</v>
      </c>
      <c r="I10" s="41" t="s">
        <v>922</v>
      </c>
      <c r="J10" s="206"/>
      <c r="K10" s="206"/>
    </row>
    <row r="11" spans="1:11" x14ac:dyDescent="0.2">
      <c r="A11" s="468" t="s">
        <v>919</v>
      </c>
      <c r="B11" s="136" t="s">
        <v>906</v>
      </c>
      <c r="C11" s="469">
        <f t="shared" si="0"/>
        <v>0</v>
      </c>
      <c r="D11" s="826">
        <v>5</v>
      </c>
      <c r="E11" s="827" t="s">
        <v>787</v>
      </c>
      <c r="F11" s="828">
        <v>13</v>
      </c>
      <c r="G11" s="469">
        <f t="shared" si="1"/>
        <v>1</v>
      </c>
      <c r="H11" s="136" t="s">
        <v>918</v>
      </c>
      <c r="I11" s="41" t="s">
        <v>806</v>
      </c>
      <c r="J11" s="206"/>
      <c r="K11" s="206"/>
    </row>
    <row r="12" spans="1:11" x14ac:dyDescent="0.2">
      <c r="A12" s="468" t="s">
        <v>710</v>
      </c>
      <c r="B12" s="502" t="s">
        <v>913</v>
      </c>
      <c r="C12" s="469">
        <f t="shared" si="0"/>
        <v>0</v>
      </c>
      <c r="D12" s="826">
        <v>7</v>
      </c>
      <c r="E12" s="827" t="s">
        <v>787</v>
      </c>
      <c r="F12" s="828">
        <v>13</v>
      </c>
      <c r="G12" s="469">
        <f t="shared" si="1"/>
        <v>1</v>
      </c>
      <c r="H12" s="124" t="s">
        <v>905</v>
      </c>
      <c r="I12" s="41" t="s">
        <v>701</v>
      </c>
      <c r="J12" s="206"/>
      <c r="K12" s="206"/>
    </row>
    <row r="13" spans="1:11" x14ac:dyDescent="0.2">
      <c r="A13" s="468" t="s">
        <v>810</v>
      </c>
      <c r="B13" s="502" t="s">
        <v>912</v>
      </c>
      <c r="C13" s="469">
        <f t="shared" si="0"/>
        <v>1</v>
      </c>
      <c r="D13" s="826">
        <v>13</v>
      </c>
      <c r="E13" s="827" t="s">
        <v>787</v>
      </c>
      <c r="F13" s="828">
        <v>6</v>
      </c>
      <c r="G13" s="469">
        <f t="shared" si="1"/>
        <v>0</v>
      </c>
      <c r="H13" s="123" t="s">
        <v>908</v>
      </c>
      <c r="I13" s="41" t="s">
        <v>709</v>
      </c>
      <c r="J13" s="206"/>
      <c r="K13" s="206"/>
    </row>
    <row r="14" spans="1:11" x14ac:dyDescent="0.2">
      <c r="A14" s="468" t="s">
        <v>920</v>
      </c>
      <c r="B14" s="136" t="s">
        <v>909</v>
      </c>
      <c r="C14" s="469">
        <f t="shared" si="0"/>
        <v>0</v>
      </c>
      <c r="D14" s="826">
        <v>3</v>
      </c>
      <c r="E14" s="827" t="s">
        <v>787</v>
      </c>
      <c r="F14" s="828">
        <v>13</v>
      </c>
      <c r="G14" s="469">
        <f t="shared" si="1"/>
        <v>1</v>
      </c>
      <c r="H14" s="123" t="s">
        <v>915</v>
      </c>
      <c r="I14" s="41" t="s">
        <v>586</v>
      </c>
      <c r="J14" s="206"/>
      <c r="K14" s="206"/>
    </row>
    <row r="15" spans="1:11" x14ac:dyDescent="0.2">
      <c r="A15" s="468" t="s">
        <v>29</v>
      </c>
      <c r="B15" s="124" t="s">
        <v>904</v>
      </c>
      <c r="C15" s="469">
        <f t="shared" si="0"/>
        <v>1</v>
      </c>
      <c r="D15" s="826">
        <v>13</v>
      </c>
      <c r="E15" s="827" t="s">
        <v>787</v>
      </c>
      <c r="F15" s="828">
        <v>2</v>
      </c>
      <c r="G15" s="469">
        <f t="shared" si="1"/>
        <v>0</v>
      </c>
      <c r="H15" s="136" t="s">
        <v>907</v>
      </c>
      <c r="I15" s="41" t="s">
        <v>30</v>
      </c>
      <c r="J15" s="206"/>
      <c r="K15" s="206"/>
    </row>
    <row r="16" spans="1:11" x14ac:dyDescent="0.2">
      <c r="A16" s="468"/>
      <c r="B16" s="473"/>
      <c r="C16" s="474"/>
      <c r="D16" s="474"/>
      <c r="E16" s="475"/>
      <c r="F16" s="474"/>
      <c r="G16" s="474"/>
      <c r="H16" s="476"/>
      <c r="I16" s="41"/>
      <c r="J16" s="206"/>
      <c r="K16" s="206"/>
    </row>
    <row r="17" spans="1:11" x14ac:dyDescent="0.2">
      <c r="A17" s="477" t="s">
        <v>619</v>
      </c>
      <c r="B17" s="466"/>
      <c r="C17" s="798" t="s">
        <v>199</v>
      </c>
      <c r="D17" s="774"/>
      <c r="E17" s="799" t="s">
        <v>700</v>
      </c>
      <c r="F17" s="799"/>
      <c r="G17" s="798" t="s">
        <v>199</v>
      </c>
      <c r="H17" s="121"/>
      <c r="I17" s="41"/>
      <c r="J17" s="206"/>
      <c r="K17" s="206"/>
    </row>
    <row r="18" spans="1:11" x14ac:dyDescent="0.2">
      <c r="A18" s="468" t="s">
        <v>922</v>
      </c>
      <c r="B18" s="122" t="s">
        <v>911</v>
      </c>
      <c r="C18" s="469">
        <f>IF(D18=13,1,0)</f>
        <v>0</v>
      </c>
      <c r="D18" s="826">
        <v>1</v>
      </c>
      <c r="E18" s="827" t="s">
        <v>787</v>
      </c>
      <c r="F18" s="828">
        <v>13</v>
      </c>
      <c r="G18" s="469">
        <f>IF(F18=13,1,0)</f>
        <v>1</v>
      </c>
      <c r="H18" s="124" t="s">
        <v>904</v>
      </c>
      <c r="I18" s="117" t="s">
        <v>29</v>
      </c>
      <c r="J18" s="206"/>
      <c r="K18" s="206"/>
    </row>
    <row r="19" spans="1:11" x14ac:dyDescent="0.2">
      <c r="A19" s="468" t="s">
        <v>155</v>
      </c>
      <c r="B19" s="124" t="s">
        <v>792</v>
      </c>
      <c r="C19" s="469">
        <f t="shared" ref="C19:C26" si="2">IF(D19=13,1,0)</f>
        <v>1</v>
      </c>
      <c r="D19" s="826">
        <v>13</v>
      </c>
      <c r="E19" s="827" t="s">
        <v>787</v>
      </c>
      <c r="F19" s="828">
        <v>9</v>
      </c>
      <c r="G19" s="469">
        <f t="shared" ref="G19:G26" si="3">IF(F19=13,1,0)</f>
        <v>0</v>
      </c>
      <c r="H19" s="123" t="s">
        <v>915</v>
      </c>
      <c r="I19" s="117" t="s">
        <v>586</v>
      </c>
      <c r="J19" s="206"/>
      <c r="K19" s="206"/>
    </row>
    <row r="20" spans="1:11" x14ac:dyDescent="0.2">
      <c r="A20" s="468" t="s">
        <v>705</v>
      </c>
      <c r="B20" s="471" t="s">
        <v>910</v>
      </c>
      <c r="C20" s="469">
        <f t="shared" si="2"/>
        <v>1</v>
      </c>
      <c r="D20" s="826">
        <v>13</v>
      </c>
      <c r="E20" s="827" t="s">
        <v>787</v>
      </c>
      <c r="F20" s="828">
        <v>9</v>
      </c>
      <c r="G20" s="469">
        <f t="shared" si="3"/>
        <v>0</v>
      </c>
      <c r="H20" s="136" t="s">
        <v>918</v>
      </c>
      <c r="I20" s="41" t="s">
        <v>806</v>
      </c>
      <c r="J20" s="206"/>
      <c r="K20" s="206"/>
    </row>
    <row r="21" spans="1:11" x14ac:dyDescent="0.2">
      <c r="A21" s="468" t="s">
        <v>702</v>
      </c>
      <c r="B21" s="124" t="s">
        <v>914</v>
      </c>
      <c r="C21" s="469">
        <f t="shared" si="2"/>
        <v>0</v>
      </c>
      <c r="D21" s="826">
        <v>10</v>
      </c>
      <c r="E21" s="827" t="s">
        <v>787</v>
      </c>
      <c r="F21" s="837">
        <v>12</v>
      </c>
      <c r="G21" s="469">
        <f t="shared" si="3"/>
        <v>0</v>
      </c>
      <c r="H21" s="122" t="s">
        <v>912</v>
      </c>
      <c r="I21" s="41" t="s">
        <v>810</v>
      </c>
      <c r="J21" s="206"/>
      <c r="K21" s="206"/>
    </row>
    <row r="22" spans="1:11" x14ac:dyDescent="0.2">
      <c r="A22" s="468" t="s">
        <v>701</v>
      </c>
      <c r="B22" s="124" t="s">
        <v>905</v>
      </c>
      <c r="C22" s="469">
        <f t="shared" si="2"/>
        <v>0</v>
      </c>
      <c r="D22" s="826">
        <v>5</v>
      </c>
      <c r="E22" s="827" t="s">
        <v>787</v>
      </c>
      <c r="F22" s="828">
        <v>13</v>
      </c>
      <c r="G22" s="469">
        <f t="shared" si="3"/>
        <v>1</v>
      </c>
      <c r="H22" s="124" t="s">
        <v>663</v>
      </c>
      <c r="I22" s="41" t="s">
        <v>187</v>
      </c>
      <c r="J22" s="206"/>
      <c r="K22" s="206"/>
    </row>
    <row r="23" spans="1:11" x14ac:dyDescent="0.2">
      <c r="A23" s="468" t="s">
        <v>710</v>
      </c>
      <c r="B23" s="98" t="s">
        <v>913</v>
      </c>
      <c r="C23" s="469">
        <f t="shared" si="2"/>
        <v>1</v>
      </c>
      <c r="D23" s="826">
        <v>13</v>
      </c>
      <c r="E23" s="827" t="s">
        <v>787</v>
      </c>
      <c r="F23" s="828">
        <v>4</v>
      </c>
      <c r="G23" s="469">
        <f t="shared" si="3"/>
        <v>0</v>
      </c>
      <c r="H23" s="123" t="s">
        <v>908</v>
      </c>
      <c r="I23" s="41" t="s">
        <v>709</v>
      </c>
      <c r="J23" s="206"/>
      <c r="K23" s="206"/>
    </row>
    <row r="24" spans="1:11" x14ac:dyDescent="0.2">
      <c r="A24" s="468" t="s">
        <v>919</v>
      </c>
      <c r="B24" s="136" t="s">
        <v>906</v>
      </c>
      <c r="C24" s="469">
        <f t="shared" si="2"/>
        <v>1</v>
      </c>
      <c r="D24" s="826">
        <v>13</v>
      </c>
      <c r="E24" s="827" t="s">
        <v>787</v>
      </c>
      <c r="F24" s="828">
        <v>3</v>
      </c>
      <c r="G24" s="469">
        <f t="shared" si="3"/>
        <v>0</v>
      </c>
      <c r="H24" s="136" t="s">
        <v>917</v>
      </c>
      <c r="I24" s="117" t="s">
        <v>921</v>
      </c>
      <c r="J24" s="206"/>
      <c r="K24" s="206"/>
    </row>
    <row r="25" spans="1:11" x14ac:dyDescent="0.2">
      <c r="A25" s="468" t="s">
        <v>809</v>
      </c>
      <c r="B25" s="136" t="s">
        <v>793</v>
      </c>
      <c r="C25" s="469">
        <f t="shared" si="2"/>
        <v>1</v>
      </c>
      <c r="D25" s="826">
        <v>13</v>
      </c>
      <c r="E25" s="827" t="s">
        <v>787</v>
      </c>
      <c r="F25" s="828">
        <v>6</v>
      </c>
      <c r="G25" s="469">
        <f t="shared" si="3"/>
        <v>0</v>
      </c>
      <c r="H25" s="136" t="s">
        <v>909</v>
      </c>
      <c r="I25" s="117" t="s">
        <v>920</v>
      </c>
      <c r="J25" s="206"/>
      <c r="K25" s="206"/>
    </row>
    <row r="26" spans="1:11" x14ac:dyDescent="0.2">
      <c r="A26" s="468" t="s">
        <v>30</v>
      </c>
      <c r="B26" s="136" t="s">
        <v>907</v>
      </c>
      <c r="C26" s="469">
        <f t="shared" si="2"/>
        <v>0</v>
      </c>
      <c r="D26" s="826">
        <v>3</v>
      </c>
      <c r="E26" s="827" t="s">
        <v>787</v>
      </c>
      <c r="F26" s="828">
        <v>13</v>
      </c>
      <c r="G26" s="469">
        <f t="shared" si="3"/>
        <v>1</v>
      </c>
      <c r="H26" s="124" t="s">
        <v>916</v>
      </c>
      <c r="I26" s="41" t="s">
        <v>707</v>
      </c>
      <c r="J26" s="206"/>
      <c r="K26" s="206"/>
    </row>
    <row r="27" spans="1:11" x14ac:dyDescent="0.2">
      <c r="A27" s="478"/>
      <c r="B27" s="207"/>
      <c r="C27" s="474"/>
      <c r="D27" s="474"/>
      <c r="E27" s="475"/>
      <c r="F27" s="474"/>
      <c r="G27" s="474"/>
      <c r="H27" s="473"/>
      <c r="I27" s="41"/>
      <c r="J27" s="206"/>
      <c r="K27" s="206"/>
    </row>
    <row r="28" spans="1:11" x14ac:dyDescent="0.2">
      <c r="A28" s="465" t="s">
        <v>622</v>
      </c>
      <c r="B28" s="466"/>
      <c r="C28" s="798" t="s">
        <v>199</v>
      </c>
      <c r="D28" s="774"/>
      <c r="E28" s="799" t="s">
        <v>700</v>
      </c>
      <c r="F28" s="799"/>
      <c r="G28" s="798" t="s">
        <v>199</v>
      </c>
      <c r="H28" s="121"/>
      <c r="I28" s="41"/>
      <c r="J28" s="206"/>
      <c r="K28" s="206"/>
    </row>
    <row r="29" spans="1:11" x14ac:dyDescent="0.2">
      <c r="A29" s="468" t="s">
        <v>155</v>
      </c>
      <c r="B29" s="124" t="s">
        <v>792</v>
      </c>
      <c r="C29" s="469">
        <f>IF(D29=13,1,0)</f>
        <v>0</v>
      </c>
      <c r="D29" s="826">
        <v>0</v>
      </c>
      <c r="E29" s="827" t="s">
        <v>787</v>
      </c>
      <c r="F29" s="828">
        <v>13</v>
      </c>
      <c r="G29" s="469">
        <f>IF(F29=13,1,0)</f>
        <v>1</v>
      </c>
      <c r="H29" s="124" t="s">
        <v>904</v>
      </c>
      <c r="I29" s="41" t="s">
        <v>29</v>
      </c>
      <c r="J29" s="206"/>
      <c r="K29" s="468"/>
    </row>
    <row r="30" spans="1:11" x14ac:dyDescent="0.2">
      <c r="A30" s="468" t="s">
        <v>705</v>
      </c>
      <c r="B30" s="98" t="s">
        <v>910</v>
      </c>
      <c r="C30" s="469">
        <f t="shared" ref="C30:C37" si="4">IF(D30=13,1,0)</f>
        <v>0</v>
      </c>
      <c r="D30" s="826">
        <v>6</v>
      </c>
      <c r="E30" s="827" t="s">
        <v>787</v>
      </c>
      <c r="F30" s="837">
        <v>9</v>
      </c>
      <c r="G30" s="469">
        <f t="shared" ref="G30:G37" si="5">IF(F30=13,1,0)</f>
        <v>0</v>
      </c>
      <c r="H30" s="98" t="s">
        <v>912</v>
      </c>
      <c r="I30" s="41" t="s">
        <v>810</v>
      </c>
      <c r="J30" s="206"/>
      <c r="K30" s="468"/>
    </row>
    <row r="31" spans="1:11" x14ac:dyDescent="0.2">
      <c r="A31" s="468" t="s">
        <v>702</v>
      </c>
      <c r="B31" s="124" t="s">
        <v>914</v>
      </c>
      <c r="C31" s="469">
        <f t="shared" si="4"/>
        <v>1</v>
      </c>
      <c r="D31" s="826">
        <v>13</v>
      </c>
      <c r="E31" s="827" t="s">
        <v>787</v>
      </c>
      <c r="F31" s="828">
        <v>9</v>
      </c>
      <c r="G31" s="469">
        <f t="shared" si="5"/>
        <v>0</v>
      </c>
      <c r="H31" s="136" t="s">
        <v>918</v>
      </c>
      <c r="I31" s="41" t="s">
        <v>806</v>
      </c>
      <c r="J31" s="206"/>
      <c r="K31" s="468"/>
    </row>
    <row r="32" spans="1:11" x14ac:dyDescent="0.2">
      <c r="A32" s="468" t="s">
        <v>922</v>
      </c>
      <c r="B32" s="98" t="s">
        <v>911</v>
      </c>
      <c r="C32" s="469">
        <f t="shared" si="4"/>
        <v>1</v>
      </c>
      <c r="D32" s="826">
        <v>13</v>
      </c>
      <c r="E32" s="827" t="s">
        <v>787</v>
      </c>
      <c r="F32" s="828">
        <v>7</v>
      </c>
      <c r="G32" s="469">
        <f t="shared" si="5"/>
        <v>0</v>
      </c>
      <c r="H32" s="123" t="s">
        <v>915</v>
      </c>
      <c r="I32" s="479" t="s">
        <v>586</v>
      </c>
      <c r="J32" s="206"/>
      <c r="K32" s="468"/>
    </row>
    <row r="33" spans="1:11" x14ac:dyDescent="0.2">
      <c r="A33" s="468" t="s">
        <v>187</v>
      </c>
      <c r="B33" s="124" t="s">
        <v>663</v>
      </c>
      <c r="C33" s="469">
        <f t="shared" si="4"/>
        <v>0</v>
      </c>
      <c r="D33" s="826">
        <v>10</v>
      </c>
      <c r="E33" s="827" t="s">
        <v>787</v>
      </c>
      <c r="F33" s="837">
        <v>12</v>
      </c>
      <c r="G33" s="469">
        <f t="shared" si="5"/>
        <v>0</v>
      </c>
      <c r="H33" s="136" t="s">
        <v>793</v>
      </c>
      <c r="I33" s="41" t="s">
        <v>809</v>
      </c>
      <c r="J33" s="206"/>
      <c r="K33" s="468"/>
    </row>
    <row r="34" spans="1:11" x14ac:dyDescent="0.2">
      <c r="A34" s="468" t="s">
        <v>701</v>
      </c>
      <c r="B34" s="124" t="s">
        <v>905</v>
      </c>
      <c r="C34" s="469">
        <f t="shared" si="4"/>
        <v>0</v>
      </c>
      <c r="D34" s="838">
        <v>11</v>
      </c>
      <c r="E34" s="827" t="s">
        <v>787</v>
      </c>
      <c r="F34" s="828">
        <v>7</v>
      </c>
      <c r="G34" s="469">
        <f t="shared" si="5"/>
        <v>0</v>
      </c>
      <c r="H34" s="136" t="s">
        <v>906</v>
      </c>
      <c r="I34" s="41" t="s">
        <v>919</v>
      </c>
      <c r="J34" s="206"/>
      <c r="K34" s="468"/>
    </row>
    <row r="35" spans="1:11" x14ac:dyDescent="0.2">
      <c r="A35" s="468" t="s">
        <v>710</v>
      </c>
      <c r="B35" s="98" t="s">
        <v>913</v>
      </c>
      <c r="C35" s="469">
        <f t="shared" si="4"/>
        <v>1</v>
      </c>
      <c r="D35" s="826">
        <v>13</v>
      </c>
      <c r="E35" s="827" t="s">
        <v>787</v>
      </c>
      <c r="F35" s="828">
        <v>11</v>
      </c>
      <c r="G35" s="469">
        <f t="shared" si="5"/>
        <v>0</v>
      </c>
      <c r="H35" s="124" t="s">
        <v>916</v>
      </c>
      <c r="I35" s="41" t="s">
        <v>707</v>
      </c>
      <c r="J35" s="206"/>
      <c r="K35" s="468"/>
    </row>
    <row r="36" spans="1:11" x14ac:dyDescent="0.2">
      <c r="A36" s="468" t="s">
        <v>709</v>
      </c>
      <c r="B36" s="123" t="s">
        <v>908</v>
      </c>
      <c r="C36" s="469">
        <f t="shared" si="4"/>
        <v>0</v>
      </c>
      <c r="D36" s="826">
        <v>6</v>
      </c>
      <c r="E36" s="827" t="s">
        <v>787</v>
      </c>
      <c r="F36" s="828">
        <v>13</v>
      </c>
      <c r="G36" s="469">
        <f t="shared" si="5"/>
        <v>1</v>
      </c>
      <c r="H36" s="136" t="s">
        <v>917</v>
      </c>
      <c r="I36" s="41" t="s">
        <v>921</v>
      </c>
      <c r="J36" s="206"/>
      <c r="K36" s="468"/>
    </row>
    <row r="37" spans="1:11" x14ac:dyDescent="0.2">
      <c r="A37" s="468" t="s">
        <v>30</v>
      </c>
      <c r="B37" s="136" t="s">
        <v>907</v>
      </c>
      <c r="C37" s="469">
        <f t="shared" si="4"/>
        <v>1</v>
      </c>
      <c r="D37" s="826">
        <v>13</v>
      </c>
      <c r="E37" s="827" t="s">
        <v>787</v>
      </c>
      <c r="F37" s="828">
        <v>8</v>
      </c>
      <c r="G37" s="469">
        <f t="shared" si="5"/>
        <v>0</v>
      </c>
      <c r="H37" s="136" t="s">
        <v>909</v>
      </c>
      <c r="I37" s="41" t="s">
        <v>920</v>
      </c>
      <c r="J37" s="206"/>
      <c r="K37" s="468"/>
    </row>
    <row r="38" spans="1:11" x14ac:dyDescent="0.2">
      <c r="A38" s="478"/>
      <c r="B38" s="207"/>
      <c r="C38" s="474"/>
      <c r="D38" s="474"/>
      <c r="E38" s="475"/>
      <c r="F38" s="474"/>
      <c r="G38" s="474"/>
      <c r="H38" s="207"/>
      <c r="I38" s="41"/>
      <c r="J38" s="206"/>
      <c r="K38" s="468"/>
    </row>
    <row r="39" spans="1:11" x14ac:dyDescent="0.2">
      <c r="A39" s="465" t="s">
        <v>625</v>
      </c>
      <c r="B39" s="466"/>
      <c r="C39" s="798" t="s">
        <v>199</v>
      </c>
      <c r="D39" s="774"/>
      <c r="E39" s="799" t="s">
        <v>700</v>
      </c>
      <c r="F39" s="799"/>
      <c r="G39" s="798" t="s">
        <v>199</v>
      </c>
      <c r="H39" s="121"/>
      <c r="I39" s="41"/>
      <c r="J39" s="206"/>
      <c r="K39" s="206"/>
    </row>
    <row r="40" spans="1:11" x14ac:dyDescent="0.2">
      <c r="A40" s="468" t="s">
        <v>29</v>
      </c>
      <c r="B40" s="124" t="s">
        <v>904</v>
      </c>
      <c r="C40" s="469">
        <f>IF(D40=13,1,0)</f>
        <v>0</v>
      </c>
      <c r="D40" s="826">
        <v>10</v>
      </c>
      <c r="E40" s="827" t="s">
        <v>787</v>
      </c>
      <c r="F40" s="837">
        <v>12</v>
      </c>
      <c r="G40" s="469">
        <f>IF(F40=13,1,0)</f>
        <v>0</v>
      </c>
      <c r="H40" s="98" t="s">
        <v>912</v>
      </c>
      <c r="I40" s="41" t="s">
        <v>810</v>
      </c>
      <c r="J40" s="206"/>
      <c r="K40" s="468"/>
    </row>
    <row r="41" spans="1:11" x14ac:dyDescent="0.2">
      <c r="A41" s="468" t="s">
        <v>155</v>
      </c>
      <c r="B41" s="124" t="s">
        <v>792</v>
      </c>
      <c r="C41" s="469">
        <f t="shared" ref="C41:C48" si="6">IF(D41=13,1,0)</f>
        <v>0</v>
      </c>
      <c r="D41" s="838">
        <v>9</v>
      </c>
      <c r="E41" s="827" t="s">
        <v>787</v>
      </c>
      <c r="F41" s="828">
        <v>5</v>
      </c>
      <c r="G41" s="469">
        <f t="shared" ref="G41:G48" si="7">IF(F41=13,1,0)</f>
        <v>0</v>
      </c>
      <c r="H41" s="472" t="s">
        <v>910</v>
      </c>
      <c r="I41" s="41" t="s">
        <v>705</v>
      </c>
      <c r="J41" s="206"/>
      <c r="K41" s="468"/>
    </row>
    <row r="42" spans="1:11" x14ac:dyDescent="0.2">
      <c r="A42" s="468" t="s">
        <v>702</v>
      </c>
      <c r="B42" s="124" t="s">
        <v>914</v>
      </c>
      <c r="C42" s="469">
        <f t="shared" si="6"/>
        <v>0</v>
      </c>
      <c r="D42" s="826">
        <v>8</v>
      </c>
      <c r="E42" s="827" t="s">
        <v>787</v>
      </c>
      <c r="F42" s="828">
        <v>13</v>
      </c>
      <c r="G42" s="469">
        <f t="shared" si="7"/>
        <v>1</v>
      </c>
      <c r="H42" s="122" t="s">
        <v>911</v>
      </c>
      <c r="I42" s="41" t="s">
        <v>922</v>
      </c>
      <c r="J42" s="206"/>
      <c r="K42" s="468"/>
    </row>
    <row r="43" spans="1:11" x14ac:dyDescent="0.2">
      <c r="A43" s="468" t="s">
        <v>701</v>
      </c>
      <c r="B43" s="124" t="s">
        <v>905</v>
      </c>
      <c r="C43" s="469">
        <f t="shared" si="6"/>
        <v>1</v>
      </c>
      <c r="D43" s="826">
        <v>13</v>
      </c>
      <c r="E43" s="827" t="s">
        <v>787</v>
      </c>
      <c r="F43" s="828">
        <v>8</v>
      </c>
      <c r="G43" s="469">
        <f t="shared" si="7"/>
        <v>0</v>
      </c>
      <c r="H43" s="136" t="s">
        <v>793</v>
      </c>
      <c r="I43" s="41" t="s">
        <v>809</v>
      </c>
      <c r="J43" s="206"/>
      <c r="K43" s="468"/>
    </row>
    <row r="44" spans="1:11" x14ac:dyDescent="0.2">
      <c r="A44" s="468" t="s">
        <v>710</v>
      </c>
      <c r="B44" s="471" t="s">
        <v>913</v>
      </c>
      <c r="C44" s="469">
        <f t="shared" si="6"/>
        <v>1</v>
      </c>
      <c r="D44" s="826">
        <v>13</v>
      </c>
      <c r="E44" s="827" t="s">
        <v>787</v>
      </c>
      <c r="F44" s="828">
        <v>6</v>
      </c>
      <c r="G44" s="469">
        <f t="shared" si="7"/>
        <v>0</v>
      </c>
      <c r="H44" s="124" t="s">
        <v>663</v>
      </c>
      <c r="I44" s="41" t="s">
        <v>187</v>
      </c>
      <c r="J44" s="206"/>
      <c r="K44" s="468"/>
    </row>
    <row r="45" spans="1:11" x14ac:dyDescent="0.2">
      <c r="A45" s="468" t="s">
        <v>806</v>
      </c>
      <c r="B45" s="136" t="s">
        <v>918</v>
      </c>
      <c r="C45" s="469">
        <f t="shared" si="6"/>
        <v>0</v>
      </c>
      <c r="D45" s="838">
        <v>11</v>
      </c>
      <c r="E45" s="827" t="s">
        <v>787</v>
      </c>
      <c r="F45" s="828">
        <v>6</v>
      </c>
      <c r="G45" s="469">
        <f t="shared" si="7"/>
        <v>0</v>
      </c>
      <c r="H45" s="124" t="s">
        <v>916</v>
      </c>
      <c r="I45" s="41" t="s">
        <v>707</v>
      </c>
      <c r="J45" s="206"/>
      <c r="K45" s="468"/>
    </row>
    <row r="46" spans="1:11" x14ac:dyDescent="0.2">
      <c r="A46" s="468" t="s">
        <v>586</v>
      </c>
      <c r="B46" s="123" t="s">
        <v>915</v>
      </c>
      <c r="C46" s="469">
        <f t="shared" si="6"/>
        <v>0</v>
      </c>
      <c r="D46" s="826">
        <v>9</v>
      </c>
      <c r="E46" s="827" t="s">
        <v>787</v>
      </c>
      <c r="F46" s="837">
        <v>12</v>
      </c>
      <c r="G46" s="469">
        <f t="shared" si="7"/>
        <v>0</v>
      </c>
      <c r="H46" s="136" t="s">
        <v>906</v>
      </c>
      <c r="I46" s="41" t="s">
        <v>919</v>
      </c>
      <c r="J46" s="206"/>
      <c r="K46" s="468"/>
    </row>
    <row r="47" spans="1:11" x14ac:dyDescent="0.2">
      <c r="A47" s="468" t="s">
        <v>30</v>
      </c>
      <c r="B47" s="136" t="s">
        <v>907</v>
      </c>
      <c r="C47" s="469">
        <f t="shared" si="6"/>
        <v>1</v>
      </c>
      <c r="D47" s="826">
        <v>13</v>
      </c>
      <c r="E47" s="827" t="s">
        <v>787</v>
      </c>
      <c r="F47" s="828">
        <v>12</v>
      </c>
      <c r="G47" s="469">
        <f t="shared" si="7"/>
        <v>0</v>
      </c>
      <c r="H47" s="136" t="s">
        <v>917</v>
      </c>
      <c r="I47" s="41" t="s">
        <v>921</v>
      </c>
      <c r="J47" s="206"/>
      <c r="K47" s="468"/>
    </row>
    <row r="48" spans="1:11" x14ac:dyDescent="0.2">
      <c r="A48" s="468" t="s">
        <v>709</v>
      </c>
      <c r="B48" s="123" t="s">
        <v>908</v>
      </c>
      <c r="C48" s="469">
        <f t="shared" si="6"/>
        <v>0</v>
      </c>
      <c r="D48" s="826">
        <v>9</v>
      </c>
      <c r="E48" s="827" t="s">
        <v>787</v>
      </c>
      <c r="F48" s="828">
        <v>13</v>
      </c>
      <c r="G48" s="469">
        <f t="shared" si="7"/>
        <v>1</v>
      </c>
      <c r="H48" s="136" t="s">
        <v>909</v>
      </c>
      <c r="I48" s="41" t="s">
        <v>920</v>
      </c>
      <c r="J48" s="206"/>
      <c r="K48" s="468"/>
    </row>
    <row r="49" spans="1:11" x14ac:dyDescent="0.2">
      <c r="A49" s="468"/>
      <c r="B49" s="476"/>
      <c r="C49" s="474"/>
      <c r="D49" s="474"/>
      <c r="E49" s="475"/>
      <c r="F49" s="474"/>
      <c r="G49" s="474"/>
      <c r="H49" s="207"/>
      <c r="I49" s="41"/>
      <c r="J49" s="206"/>
      <c r="K49" s="468"/>
    </row>
    <row r="50" spans="1:11" x14ac:dyDescent="0.2">
      <c r="A50" s="480" t="s">
        <v>712</v>
      </c>
      <c r="B50" s="476"/>
      <c r="C50" s="474"/>
      <c r="D50" s="474"/>
      <c r="E50" s="475"/>
      <c r="F50" s="474"/>
      <c r="G50" s="474"/>
      <c r="H50" s="207"/>
      <c r="I50" s="41"/>
      <c r="J50" s="206"/>
      <c r="K50" s="468"/>
    </row>
    <row r="51" spans="1:11" x14ac:dyDescent="0.2">
      <c r="A51" s="480"/>
      <c r="B51" s="476"/>
      <c r="C51" s="474"/>
      <c r="D51" s="474"/>
      <c r="E51" s="475"/>
      <c r="F51" s="474"/>
      <c r="G51" s="474"/>
      <c r="H51" s="207"/>
      <c r="I51" s="41"/>
      <c r="J51" s="206"/>
      <c r="K51" s="468"/>
    </row>
    <row r="52" spans="1:11" x14ac:dyDescent="0.2">
      <c r="A52" s="468"/>
      <c r="B52" s="476"/>
      <c r="C52" s="743" t="s">
        <v>586</v>
      </c>
      <c r="D52" s="1018" t="s">
        <v>587</v>
      </c>
      <c r="E52" s="1018"/>
      <c r="F52" s="743" t="s">
        <v>588</v>
      </c>
      <c r="G52" s="481"/>
      <c r="H52" s="207"/>
      <c r="I52" s="41"/>
      <c r="J52" s="206"/>
      <c r="K52" s="468"/>
    </row>
    <row r="53" spans="1:11" x14ac:dyDescent="0.2">
      <c r="A53" s="468"/>
      <c r="B53" s="800"/>
      <c r="C53" s="802" t="s">
        <v>223</v>
      </c>
      <c r="D53" s="1004" t="s">
        <v>855</v>
      </c>
      <c r="E53" s="1005"/>
      <c r="F53" s="839" t="s">
        <v>700</v>
      </c>
      <c r="G53" s="225"/>
      <c r="H53" s="483"/>
      <c r="I53" s="206"/>
      <c r="J53" s="206"/>
      <c r="K53" s="468"/>
    </row>
    <row r="54" spans="1:11" x14ac:dyDescent="0.2">
      <c r="A54" s="468">
        <v>1</v>
      </c>
      <c r="B54" s="499" t="s">
        <v>912</v>
      </c>
      <c r="C54" s="500">
        <v>4</v>
      </c>
      <c r="D54" s="1033">
        <v>7</v>
      </c>
      <c r="E54" s="1034"/>
      <c r="F54" s="500"/>
      <c r="G54" s="753"/>
      <c r="I54" s="206"/>
      <c r="J54" s="206"/>
      <c r="K54" s="468"/>
    </row>
    <row r="55" spans="1:11" x14ac:dyDescent="0.2">
      <c r="A55" s="468">
        <v>2</v>
      </c>
      <c r="B55" s="365" t="s">
        <v>904</v>
      </c>
      <c r="C55" s="833">
        <v>3</v>
      </c>
      <c r="D55" s="1033">
        <v>12</v>
      </c>
      <c r="E55" s="1034"/>
      <c r="F55" s="500"/>
      <c r="G55" s="753"/>
      <c r="H55" s="206"/>
      <c r="I55" s="206"/>
      <c r="J55" s="206"/>
      <c r="K55" s="468"/>
    </row>
    <row r="56" spans="1:11" x14ac:dyDescent="0.2">
      <c r="A56" s="468">
        <v>3</v>
      </c>
      <c r="B56" s="365" t="s">
        <v>905</v>
      </c>
      <c r="C56" s="833">
        <v>3</v>
      </c>
      <c r="D56" s="1031">
        <v>8</v>
      </c>
      <c r="E56" s="1032"/>
      <c r="F56" s="832" t="s">
        <v>923</v>
      </c>
      <c r="G56" s="225"/>
      <c r="H56" s="206"/>
      <c r="I56" s="206"/>
      <c r="J56" s="206"/>
      <c r="K56" s="468"/>
    </row>
    <row r="57" spans="1:11" x14ac:dyDescent="0.2">
      <c r="A57" s="468">
        <v>4</v>
      </c>
      <c r="B57" s="365" t="s">
        <v>792</v>
      </c>
      <c r="C57" s="833">
        <v>3</v>
      </c>
      <c r="D57" s="1031">
        <v>8</v>
      </c>
      <c r="E57" s="1032"/>
      <c r="F57" s="832" t="s">
        <v>924</v>
      </c>
      <c r="G57" s="225"/>
      <c r="H57" s="206"/>
      <c r="I57" s="206"/>
      <c r="J57" s="206"/>
      <c r="K57" s="468"/>
    </row>
    <row r="58" spans="1:11" x14ac:dyDescent="0.2">
      <c r="A58" s="468">
        <v>5</v>
      </c>
      <c r="B58" s="502" t="s">
        <v>911</v>
      </c>
      <c r="C58" s="833">
        <v>3</v>
      </c>
      <c r="D58" s="1033">
        <v>7</v>
      </c>
      <c r="E58" s="1034"/>
      <c r="F58" s="500"/>
      <c r="G58" s="225"/>
      <c r="H58" s="206"/>
      <c r="I58" s="206"/>
      <c r="J58" s="206"/>
      <c r="K58" s="468"/>
    </row>
    <row r="59" spans="1:11" x14ac:dyDescent="0.2">
      <c r="A59" s="468">
        <v>6</v>
      </c>
      <c r="B59" s="471" t="s">
        <v>913</v>
      </c>
      <c r="C59" s="833">
        <v>3</v>
      </c>
      <c r="D59" s="1033">
        <v>5</v>
      </c>
      <c r="E59" s="1034"/>
      <c r="F59" s="500"/>
      <c r="G59" s="225"/>
      <c r="H59" s="206"/>
      <c r="I59" s="206"/>
      <c r="J59" s="206"/>
      <c r="K59" s="468"/>
    </row>
    <row r="60" spans="1:11" x14ac:dyDescent="0.2">
      <c r="A60" s="468">
        <v>7</v>
      </c>
      <c r="B60" s="472" t="s">
        <v>910</v>
      </c>
      <c r="C60" s="835">
        <v>2</v>
      </c>
      <c r="D60" s="1031">
        <v>10</v>
      </c>
      <c r="E60" s="1032"/>
      <c r="F60" s="832" t="s">
        <v>925</v>
      </c>
      <c r="G60" s="225"/>
      <c r="H60" s="206"/>
      <c r="I60" s="206"/>
      <c r="J60" s="206"/>
      <c r="K60" s="468"/>
    </row>
    <row r="61" spans="1:11" x14ac:dyDescent="0.2">
      <c r="A61" s="468">
        <v>8</v>
      </c>
      <c r="B61" s="365" t="s">
        <v>914</v>
      </c>
      <c r="C61" s="835">
        <v>2</v>
      </c>
      <c r="D61" s="1031">
        <v>10</v>
      </c>
      <c r="E61" s="1032"/>
      <c r="F61" s="832" t="s">
        <v>926</v>
      </c>
      <c r="G61" s="225"/>
      <c r="H61" s="206"/>
      <c r="I61" s="206"/>
      <c r="J61" s="206"/>
      <c r="K61" s="468"/>
    </row>
    <row r="62" spans="1:11" x14ac:dyDescent="0.2">
      <c r="A62" s="484"/>
      <c r="B62" s="495"/>
      <c r="C62" s="497"/>
      <c r="D62" s="497"/>
      <c r="E62" s="496"/>
      <c r="F62" s="497"/>
      <c r="G62" s="225"/>
      <c r="H62" s="206"/>
      <c r="I62" s="206"/>
      <c r="J62" s="206"/>
      <c r="K62" s="468"/>
    </row>
    <row r="63" spans="1:11" x14ac:dyDescent="0.2">
      <c r="A63" s="468">
        <v>9</v>
      </c>
      <c r="B63" s="348" t="s">
        <v>793</v>
      </c>
      <c r="C63" s="835">
        <v>2</v>
      </c>
      <c r="D63" s="1033">
        <v>8</v>
      </c>
      <c r="E63" s="1034"/>
      <c r="F63" s="500"/>
      <c r="G63" s="225"/>
      <c r="H63" s="206"/>
      <c r="I63" s="206"/>
      <c r="J63" s="206"/>
      <c r="K63" s="468"/>
    </row>
    <row r="64" spans="1:11" x14ac:dyDescent="0.2">
      <c r="A64" s="468">
        <v>10</v>
      </c>
      <c r="B64" s="348" t="s">
        <v>918</v>
      </c>
      <c r="C64" s="835">
        <v>2</v>
      </c>
      <c r="D64" s="1031">
        <v>7</v>
      </c>
      <c r="E64" s="1032"/>
      <c r="F64" s="832" t="s">
        <v>927</v>
      </c>
      <c r="G64" s="225"/>
      <c r="H64" s="206"/>
      <c r="I64" s="206"/>
      <c r="J64" s="206"/>
      <c r="K64" s="468"/>
    </row>
    <row r="65" spans="1:11" x14ac:dyDescent="0.2">
      <c r="A65" s="468">
        <v>11</v>
      </c>
      <c r="B65" s="348" t="s">
        <v>906</v>
      </c>
      <c r="C65" s="835">
        <v>2</v>
      </c>
      <c r="D65" s="1031">
        <v>7</v>
      </c>
      <c r="E65" s="1032"/>
      <c r="F65" s="832" t="s">
        <v>612</v>
      </c>
      <c r="G65" s="225"/>
      <c r="H65" s="206"/>
      <c r="I65" s="206"/>
      <c r="J65" s="206"/>
      <c r="K65" s="468"/>
    </row>
    <row r="66" spans="1:11" x14ac:dyDescent="0.2">
      <c r="A66" s="468">
        <v>12</v>
      </c>
      <c r="B66" s="348" t="s">
        <v>907</v>
      </c>
      <c r="C66" s="835">
        <v>2</v>
      </c>
      <c r="D66" s="1033">
        <v>6</v>
      </c>
      <c r="E66" s="1034"/>
      <c r="F66" s="500"/>
      <c r="G66" s="225"/>
      <c r="H66" s="206"/>
      <c r="I66" s="206"/>
      <c r="J66" s="206"/>
      <c r="K66" s="468"/>
    </row>
    <row r="67" spans="1:11" x14ac:dyDescent="0.2">
      <c r="A67" s="468">
        <v>13</v>
      </c>
      <c r="B67" s="365" t="s">
        <v>663</v>
      </c>
      <c r="C67" s="834">
        <v>1</v>
      </c>
      <c r="D67" s="1031">
        <v>10</v>
      </c>
      <c r="E67" s="1032"/>
      <c r="F67" s="832" t="s">
        <v>928</v>
      </c>
      <c r="G67" s="225"/>
      <c r="H67" s="206"/>
      <c r="I67" s="206"/>
      <c r="J67" s="206"/>
      <c r="K67" s="468"/>
    </row>
    <row r="68" spans="1:11" x14ac:dyDescent="0.2">
      <c r="A68" s="468">
        <v>14</v>
      </c>
      <c r="B68" s="365" t="s">
        <v>916</v>
      </c>
      <c r="C68" s="834">
        <v>1</v>
      </c>
      <c r="D68" s="1031">
        <v>10</v>
      </c>
      <c r="E68" s="1032"/>
      <c r="F68" s="832" t="s">
        <v>929</v>
      </c>
      <c r="G68" s="225"/>
      <c r="H68" s="206"/>
      <c r="I68" s="206"/>
      <c r="J68" s="206"/>
      <c r="K68" s="468"/>
    </row>
    <row r="69" spans="1:11" x14ac:dyDescent="0.2">
      <c r="A69" s="468">
        <v>15</v>
      </c>
      <c r="B69" s="349" t="s">
        <v>915</v>
      </c>
      <c r="C69" s="834">
        <v>1</v>
      </c>
      <c r="D69" s="1033">
        <v>9</v>
      </c>
      <c r="E69" s="1034"/>
      <c r="F69" s="500"/>
      <c r="G69" s="753"/>
      <c r="H69" s="206"/>
      <c r="I69" s="206"/>
      <c r="J69" s="206"/>
      <c r="K69" s="468"/>
    </row>
    <row r="70" spans="1:11" x14ac:dyDescent="0.2">
      <c r="A70" s="468">
        <v>16</v>
      </c>
      <c r="B70" s="348" t="s">
        <v>917</v>
      </c>
      <c r="C70" s="834">
        <v>1</v>
      </c>
      <c r="D70" s="1033">
        <v>6</v>
      </c>
      <c r="E70" s="1034"/>
      <c r="F70" s="500"/>
      <c r="G70" s="753"/>
      <c r="H70" s="206"/>
      <c r="I70" s="206"/>
      <c r="J70" s="206"/>
      <c r="K70" s="468"/>
    </row>
    <row r="71" spans="1:11" x14ac:dyDescent="0.2">
      <c r="A71" s="206"/>
      <c r="B71" s="206"/>
      <c r="C71" s="206"/>
      <c r="D71" s="831"/>
      <c r="E71" s="207"/>
      <c r="F71" s="207"/>
      <c r="G71" s="207"/>
      <c r="H71" s="206"/>
      <c r="I71" s="206"/>
      <c r="J71" s="206"/>
      <c r="K71" s="206"/>
    </row>
    <row r="72" spans="1:11" x14ac:dyDescent="0.2">
      <c r="A72" s="468">
        <v>17</v>
      </c>
      <c r="B72" s="348" t="s">
        <v>909</v>
      </c>
      <c r="C72" s="834">
        <v>1</v>
      </c>
      <c r="D72" s="1033">
        <v>5</v>
      </c>
      <c r="E72" s="1034"/>
      <c r="F72" s="500"/>
      <c r="G72" s="753"/>
      <c r="H72" s="206"/>
      <c r="I72" s="206"/>
      <c r="J72" s="206"/>
      <c r="K72" s="468"/>
    </row>
    <row r="73" spans="1:11" x14ac:dyDescent="0.2">
      <c r="A73" s="468">
        <v>18</v>
      </c>
      <c r="B73" s="123" t="s">
        <v>908</v>
      </c>
      <c r="C73" s="500">
        <v>0</v>
      </c>
      <c r="D73" s="1033">
        <v>9</v>
      </c>
      <c r="E73" s="1034"/>
      <c r="F73" s="500"/>
      <c r="G73" s="753"/>
      <c r="H73" s="206"/>
      <c r="I73" s="206"/>
      <c r="J73" s="206"/>
      <c r="K73" s="468"/>
    </row>
    <row r="74" spans="1:11" x14ac:dyDescent="0.2">
      <c r="A74" s="206"/>
      <c r="B74" s="206"/>
      <c r="C74" s="206"/>
      <c r="D74" s="206"/>
      <c r="E74" s="206"/>
      <c r="F74" s="206"/>
      <c r="G74" s="206"/>
      <c r="H74" s="206"/>
      <c r="I74" s="206"/>
      <c r="J74" s="206"/>
      <c r="K74" s="206"/>
    </row>
    <row r="75" spans="1:11" x14ac:dyDescent="0.2">
      <c r="A75" s="329" t="s">
        <v>410</v>
      </c>
      <c r="B75" s="126"/>
      <c r="C75" s="126"/>
      <c r="D75" s="126"/>
      <c r="E75" s="126"/>
      <c r="F75" s="126"/>
      <c r="G75" s="126"/>
      <c r="H75" s="126"/>
      <c r="I75" s="126"/>
      <c r="J75" s="126"/>
      <c r="K75" s="206"/>
    </row>
    <row r="76" spans="1:11" x14ac:dyDescent="0.2">
      <c r="A76" s="329"/>
      <c r="B76" s="126"/>
      <c r="C76" s="126"/>
      <c r="D76" s="126"/>
      <c r="E76" s="126"/>
      <c r="F76" s="126"/>
      <c r="G76" s="126"/>
      <c r="H76" s="126"/>
      <c r="I76" s="126"/>
      <c r="J76" s="126"/>
      <c r="K76" s="206"/>
    </row>
    <row r="77" spans="1:11" x14ac:dyDescent="0.2">
      <c r="A77" s="64">
        <v>1</v>
      </c>
      <c r="B77" s="126" t="s">
        <v>912</v>
      </c>
      <c r="C77" s="333">
        <v>13</v>
      </c>
      <c r="D77" s="333"/>
      <c r="E77" s="126"/>
      <c r="F77" s="333"/>
      <c r="G77" s="126"/>
      <c r="H77" s="126"/>
      <c r="I77" s="126"/>
      <c r="J77" s="126"/>
      <c r="K77" s="206"/>
    </row>
    <row r="78" spans="1:11" x14ac:dyDescent="0.2">
      <c r="A78" s="126"/>
      <c r="B78" s="330"/>
      <c r="C78" s="331" t="s">
        <v>912</v>
      </c>
      <c r="D78" s="332"/>
      <c r="E78" s="332"/>
      <c r="F78" s="332"/>
      <c r="G78" s="126"/>
      <c r="H78" s="333">
        <v>8</v>
      </c>
      <c r="I78" s="126"/>
      <c r="J78" s="126"/>
      <c r="K78" s="206"/>
    </row>
    <row r="79" spans="1:11" x14ac:dyDescent="0.2">
      <c r="A79" s="64">
        <v>8</v>
      </c>
      <c r="B79" s="334" t="s">
        <v>914</v>
      </c>
      <c r="C79" s="335">
        <v>5</v>
      </c>
      <c r="D79" s="338"/>
      <c r="E79" s="126"/>
      <c r="F79" s="338"/>
      <c r="G79" s="336"/>
      <c r="H79" s="126"/>
      <c r="I79" s="126"/>
      <c r="J79" s="126"/>
      <c r="K79" s="206"/>
    </row>
    <row r="80" spans="1:11" x14ac:dyDescent="0.2">
      <c r="A80" s="126"/>
      <c r="B80" s="126"/>
      <c r="C80" s="126"/>
      <c r="D80" s="126"/>
      <c r="E80" s="65"/>
      <c r="F80" s="126"/>
      <c r="G80" s="337"/>
      <c r="H80" s="126" t="s">
        <v>911</v>
      </c>
      <c r="I80" s="333">
        <v>10</v>
      </c>
      <c r="J80" s="126"/>
      <c r="K80" s="206"/>
    </row>
    <row r="81" spans="1:11" x14ac:dyDescent="0.2">
      <c r="A81" s="64">
        <v>4</v>
      </c>
      <c r="B81" s="486" t="s">
        <v>792</v>
      </c>
      <c r="C81" s="338">
        <v>0</v>
      </c>
      <c r="D81" s="338"/>
      <c r="E81" s="126"/>
      <c r="F81" s="338"/>
      <c r="G81" s="337"/>
      <c r="H81" s="336"/>
      <c r="I81" s="126"/>
      <c r="J81" s="126"/>
      <c r="K81" s="206"/>
    </row>
    <row r="82" spans="1:11" x14ac:dyDescent="0.2">
      <c r="A82" s="126"/>
      <c r="B82" s="336"/>
      <c r="C82" s="206" t="s">
        <v>911</v>
      </c>
      <c r="D82" s="206"/>
      <c r="E82" s="126"/>
      <c r="F82" s="206"/>
      <c r="G82" s="340"/>
      <c r="H82" s="487">
        <v>13</v>
      </c>
      <c r="I82" s="126"/>
      <c r="J82" s="126"/>
      <c r="K82" s="206"/>
    </row>
    <row r="83" spans="1:11" x14ac:dyDescent="0.2">
      <c r="A83" s="64">
        <v>5</v>
      </c>
      <c r="B83" s="334" t="s">
        <v>911</v>
      </c>
      <c r="C83" s="488">
        <v>13</v>
      </c>
      <c r="D83" s="488"/>
      <c r="E83" s="330"/>
      <c r="F83" s="488"/>
      <c r="G83" s="126"/>
      <c r="H83" s="337"/>
      <c r="I83" s="126"/>
      <c r="J83" s="126"/>
      <c r="K83" s="206"/>
    </row>
    <row r="84" spans="1:11" ht="13.5" thickBot="1" x14ac:dyDescent="0.25">
      <c r="A84" s="126"/>
      <c r="B84" s="126"/>
      <c r="C84" s="126"/>
      <c r="D84" s="126"/>
      <c r="E84" s="126"/>
      <c r="F84" s="126"/>
      <c r="G84" s="126"/>
      <c r="H84" s="337"/>
      <c r="I84" s="126"/>
      <c r="J84" s="489" t="s">
        <v>910</v>
      </c>
      <c r="K84" s="206"/>
    </row>
    <row r="85" spans="1:11" x14ac:dyDescent="0.2">
      <c r="A85" s="64">
        <v>3</v>
      </c>
      <c r="B85" s="126" t="s">
        <v>905</v>
      </c>
      <c r="C85" s="333">
        <v>7</v>
      </c>
      <c r="D85" s="333"/>
      <c r="E85" s="126"/>
      <c r="F85" s="333"/>
      <c r="G85" s="126"/>
      <c r="H85" s="337"/>
      <c r="I85" s="343"/>
      <c r="J85" s="342" t="s">
        <v>411</v>
      </c>
      <c r="K85" s="490"/>
    </row>
    <row r="86" spans="1:11" x14ac:dyDescent="0.2">
      <c r="A86" s="126"/>
      <c r="B86" s="330"/>
      <c r="C86" s="331" t="s">
        <v>913</v>
      </c>
      <c r="D86" s="332"/>
      <c r="E86" s="332"/>
      <c r="F86" s="332"/>
      <c r="G86" s="126"/>
      <c r="H86" s="487">
        <v>6</v>
      </c>
      <c r="I86" s="126"/>
      <c r="J86" s="126"/>
      <c r="K86" s="207"/>
    </row>
    <row r="87" spans="1:11" ht="13.5" thickBot="1" x14ac:dyDescent="0.25">
      <c r="A87" s="64">
        <v>6</v>
      </c>
      <c r="B87" s="332" t="s">
        <v>913</v>
      </c>
      <c r="C87" s="335">
        <v>13</v>
      </c>
      <c r="D87" s="338"/>
      <c r="E87" s="126"/>
      <c r="F87" s="338"/>
      <c r="G87" s="336"/>
      <c r="H87" s="337"/>
      <c r="I87" s="126"/>
      <c r="J87" s="344" t="s">
        <v>911</v>
      </c>
      <c r="K87" s="491"/>
    </row>
    <row r="88" spans="1:11" x14ac:dyDescent="0.2">
      <c r="A88" s="126"/>
      <c r="B88" s="126"/>
      <c r="C88" s="126"/>
      <c r="D88" s="126"/>
      <c r="E88" s="65"/>
      <c r="F88" s="126"/>
      <c r="G88" s="337"/>
      <c r="H88" s="340" t="s">
        <v>910</v>
      </c>
      <c r="I88" s="333">
        <v>13</v>
      </c>
      <c r="J88" s="342" t="s">
        <v>412</v>
      </c>
      <c r="K88" s="206"/>
    </row>
    <row r="89" spans="1:11" x14ac:dyDescent="0.2">
      <c r="A89" s="64">
        <v>2</v>
      </c>
      <c r="B89" s="126" t="s">
        <v>904</v>
      </c>
      <c r="C89" s="338">
        <v>9</v>
      </c>
      <c r="D89" s="338"/>
      <c r="E89" s="126"/>
      <c r="F89" s="338"/>
      <c r="G89" s="337"/>
      <c r="H89" s="126"/>
      <c r="I89" s="126"/>
      <c r="J89" s="126"/>
      <c r="K89" s="206"/>
    </row>
    <row r="90" spans="1:11" x14ac:dyDescent="0.2">
      <c r="A90" s="126"/>
      <c r="B90" s="330"/>
      <c r="C90" s="339" t="s">
        <v>910</v>
      </c>
      <c r="D90" s="65"/>
      <c r="E90" s="126"/>
      <c r="F90" s="65"/>
      <c r="G90" s="340"/>
      <c r="H90" s="333">
        <v>13</v>
      </c>
      <c r="I90" s="126"/>
      <c r="J90" s="126"/>
      <c r="K90" s="206"/>
    </row>
    <row r="91" spans="1:11" x14ac:dyDescent="0.2">
      <c r="A91" s="64">
        <v>7</v>
      </c>
      <c r="B91" s="332" t="s">
        <v>910</v>
      </c>
      <c r="C91" s="345">
        <v>13</v>
      </c>
      <c r="D91" s="488"/>
      <c r="E91" s="330"/>
      <c r="F91" s="488"/>
      <c r="G91" s="126"/>
      <c r="H91" s="126"/>
      <c r="I91" s="126"/>
      <c r="J91" s="126"/>
      <c r="K91" s="206"/>
    </row>
    <row r="92" spans="1:11" x14ac:dyDescent="0.2">
      <c r="A92" s="126"/>
      <c r="B92" s="126"/>
      <c r="C92" s="126"/>
      <c r="D92" s="126"/>
      <c r="E92" s="126"/>
      <c r="F92" s="126"/>
      <c r="G92" s="126"/>
      <c r="H92" s="206" t="s">
        <v>912</v>
      </c>
      <c r="I92" s="338">
        <v>13</v>
      </c>
      <c r="J92" s="65"/>
      <c r="K92" s="206"/>
    </row>
    <row r="93" spans="1:11" ht="13.5" thickBot="1" x14ac:dyDescent="0.25">
      <c r="A93" s="126"/>
      <c r="B93" s="126"/>
      <c r="C93" s="126"/>
      <c r="D93" s="126"/>
      <c r="E93" s="126"/>
      <c r="F93" s="126"/>
      <c r="G93" s="126"/>
      <c r="H93" s="336"/>
      <c r="I93" s="344"/>
      <c r="J93" s="491" t="s">
        <v>912</v>
      </c>
      <c r="K93" s="206"/>
    </row>
    <row r="94" spans="1:11" x14ac:dyDescent="0.2">
      <c r="A94" s="126"/>
      <c r="B94" s="126"/>
      <c r="C94" s="126"/>
      <c r="D94" s="126"/>
      <c r="E94" s="126"/>
      <c r="F94" s="126"/>
      <c r="G94" s="126"/>
      <c r="H94" s="340" t="s">
        <v>913</v>
      </c>
      <c r="I94" s="333">
        <v>11</v>
      </c>
      <c r="J94" s="342" t="s">
        <v>413</v>
      </c>
      <c r="K94" s="490"/>
    </row>
    <row r="95" spans="1:11" x14ac:dyDescent="0.2">
      <c r="A95" s="126"/>
      <c r="B95" s="126"/>
      <c r="C95" s="126"/>
      <c r="D95" s="126"/>
      <c r="E95" s="126"/>
      <c r="F95" s="126"/>
      <c r="G95" s="126"/>
      <c r="H95" s="126"/>
      <c r="I95" s="126"/>
      <c r="J95" s="65"/>
      <c r="K95" s="207"/>
    </row>
    <row r="96" spans="1:11" ht="13.5" thickBot="1" x14ac:dyDescent="0.25">
      <c r="A96" s="126"/>
      <c r="B96" s="126"/>
      <c r="C96" s="126"/>
      <c r="D96" s="126"/>
      <c r="E96" s="126"/>
      <c r="F96" s="126"/>
      <c r="G96" s="126"/>
      <c r="H96" s="126"/>
      <c r="I96" s="126"/>
      <c r="J96" s="491" t="s">
        <v>913</v>
      </c>
      <c r="K96" s="491"/>
    </row>
    <row r="97" spans="1:11" x14ac:dyDescent="0.2">
      <c r="A97" s="126"/>
      <c r="B97" s="126"/>
      <c r="C97" s="126" t="s">
        <v>914</v>
      </c>
      <c r="D97" s="126"/>
      <c r="E97" s="126"/>
      <c r="F97" s="126"/>
      <c r="G97" s="126"/>
      <c r="H97" s="333">
        <v>13</v>
      </c>
      <c r="I97" s="126"/>
      <c r="J97" s="342" t="s">
        <v>414</v>
      </c>
      <c r="K97" s="206"/>
    </row>
    <row r="98" spans="1:11" x14ac:dyDescent="0.2">
      <c r="A98" s="126"/>
      <c r="B98" s="126"/>
      <c r="C98" s="330"/>
      <c r="D98" s="330"/>
      <c r="E98" s="330"/>
      <c r="F98" s="330"/>
      <c r="G98" s="336"/>
      <c r="H98" s="331" t="s">
        <v>914</v>
      </c>
      <c r="I98" s="333">
        <v>13</v>
      </c>
      <c r="J98" s="126"/>
      <c r="K98" s="206"/>
    </row>
    <row r="99" spans="1:11" x14ac:dyDescent="0.2">
      <c r="A99" s="126"/>
      <c r="B99" s="126"/>
      <c r="C99" s="332" t="s">
        <v>792</v>
      </c>
      <c r="D99" s="332"/>
      <c r="E99" s="332"/>
      <c r="F99" s="332"/>
      <c r="G99" s="340"/>
      <c r="H99" s="492">
        <v>6</v>
      </c>
      <c r="I99" s="126"/>
      <c r="J99" s="126"/>
      <c r="K99" s="206"/>
    </row>
    <row r="100" spans="1:11" ht="13.5" thickBot="1" x14ac:dyDescent="0.25">
      <c r="A100" s="126"/>
      <c r="B100" s="126"/>
      <c r="C100" s="126"/>
      <c r="D100" s="126"/>
      <c r="E100" s="126"/>
      <c r="F100" s="126"/>
      <c r="G100" s="126"/>
      <c r="H100" s="337"/>
      <c r="I100" s="126"/>
      <c r="J100" s="126" t="s">
        <v>914</v>
      </c>
      <c r="K100" s="206"/>
    </row>
    <row r="101" spans="1:11" x14ac:dyDescent="0.2">
      <c r="A101" s="126"/>
      <c r="B101" s="126"/>
      <c r="C101" s="126" t="s">
        <v>905</v>
      </c>
      <c r="D101" s="126"/>
      <c r="E101" s="126"/>
      <c r="F101" s="126"/>
      <c r="G101" s="126"/>
      <c r="H101" s="487">
        <v>1</v>
      </c>
      <c r="I101" s="343"/>
      <c r="J101" s="342" t="s">
        <v>415</v>
      </c>
      <c r="K101" s="490"/>
    </row>
    <row r="102" spans="1:11" x14ac:dyDescent="0.2">
      <c r="A102" s="126"/>
      <c r="B102" s="126"/>
      <c r="C102" s="330"/>
      <c r="D102" s="330"/>
      <c r="E102" s="330"/>
      <c r="F102" s="330"/>
      <c r="G102" s="336"/>
      <c r="H102" s="493" t="s">
        <v>904</v>
      </c>
      <c r="I102" s="338">
        <v>12</v>
      </c>
      <c r="J102" s="126"/>
      <c r="K102" s="207"/>
    </row>
    <row r="103" spans="1:11" ht="13.5" thickBot="1" x14ac:dyDescent="0.25">
      <c r="A103" s="126"/>
      <c r="B103" s="126"/>
      <c r="C103" s="332" t="s">
        <v>904</v>
      </c>
      <c r="D103" s="332"/>
      <c r="E103" s="332"/>
      <c r="F103" s="332"/>
      <c r="G103" s="340"/>
      <c r="H103" s="345">
        <v>13</v>
      </c>
      <c r="I103" s="65"/>
      <c r="J103" s="65" t="s">
        <v>904</v>
      </c>
      <c r="K103" s="491"/>
    </row>
    <row r="104" spans="1:11" x14ac:dyDescent="0.2">
      <c r="A104" s="126"/>
      <c r="B104" s="126"/>
      <c r="C104" s="126"/>
      <c r="D104" s="126"/>
      <c r="E104" s="126"/>
      <c r="F104" s="126"/>
      <c r="G104" s="126"/>
      <c r="H104" s="126"/>
      <c r="I104" s="65"/>
      <c r="J104" s="342" t="s">
        <v>416</v>
      </c>
      <c r="K104" s="206"/>
    </row>
    <row r="105" spans="1:11" x14ac:dyDescent="0.2">
      <c r="A105" s="126"/>
      <c r="B105" s="126"/>
      <c r="C105" s="126"/>
      <c r="D105" s="126"/>
      <c r="E105" s="126"/>
      <c r="F105" s="126"/>
      <c r="G105" s="126"/>
      <c r="H105" s="126" t="s">
        <v>792</v>
      </c>
      <c r="I105" s="338">
        <v>11</v>
      </c>
      <c r="J105" s="65"/>
      <c r="K105" s="206"/>
    </row>
    <row r="106" spans="1:11" ht="13.5" thickBot="1" x14ac:dyDescent="0.25">
      <c r="A106" s="126"/>
      <c r="B106" s="126"/>
      <c r="C106" s="126"/>
      <c r="D106" s="126"/>
      <c r="E106" s="126"/>
      <c r="F106" s="126"/>
      <c r="G106" s="126"/>
      <c r="H106" s="336"/>
      <c r="I106" s="344"/>
      <c r="J106" s="344" t="s">
        <v>905</v>
      </c>
      <c r="K106" s="206"/>
    </row>
    <row r="107" spans="1:11" x14ac:dyDescent="0.2">
      <c r="A107" s="126"/>
      <c r="B107" s="126"/>
      <c r="C107" s="126"/>
      <c r="D107" s="126"/>
      <c r="E107" s="126"/>
      <c r="F107" s="126"/>
      <c r="G107" s="126"/>
      <c r="H107" s="340" t="s">
        <v>905</v>
      </c>
      <c r="I107" s="333">
        <v>13</v>
      </c>
      <c r="J107" s="346" t="s">
        <v>417</v>
      </c>
      <c r="K107" s="490"/>
    </row>
    <row r="108" spans="1:11" x14ac:dyDescent="0.2">
      <c r="A108" s="126"/>
      <c r="B108" s="126"/>
      <c r="C108" s="126"/>
      <c r="D108" s="126"/>
      <c r="E108" s="126"/>
      <c r="F108" s="126"/>
      <c r="G108" s="126"/>
      <c r="H108" s="126"/>
      <c r="I108" s="126"/>
      <c r="J108" s="65"/>
      <c r="K108" s="207"/>
    </row>
    <row r="109" spans="1:11" ht="13.5" thickBot="1" x14ac:dyDescent="0.25">
      <c r="A109" s="126"/>
      <c r="B109" s="126"/>
      <c r="C109" s="126"/>
      <c r="D109" s="126"/>
      <c r="E109" s="126"/>
      <c r="F109" s="126"/>
      <c r="G109" s="126"/>
      <c r="H109" s="126"/>
      <c r="I109" s="126"/>
      <c r="J109" s="344" t="s">
        <v>792</v>
      </c>
      <c r="K109" s="491"/>
    </row>
    <row r="110" spans="1:11" x14ac:dyDescent="0.2">
      <c r="A110" s="126"/>
      <c r="B110" s="126"/>
      <c r="C110" s="126"/>
      <c r="D110" s="126"/>
      <c r="E110" s="126"/>
      <c r="F110" s="126"/>
      <c r="G110" s="126"/>
      <c r="H110" s="126"/>
      <c r="I110" s="126"/>
      <c r="J110" s="64" t="s">
        <v>418</v>
      </c>
      <c r="K110" s="206"/>
    </row>
    <row r="111" spans="1:11" x14ac:dyDescent="0.2">
      <c r="A111" s="126"/>
      <c r="B111" s="126"/>
      <c r="C111" s="126"/>
      <c r="D111" s="126"/>
      <c r="E111" s="126"/>
      <c r="F111" s="126"/>
      <c r="G111" s="126"/>
      <c r="H111" s="126"/>
      <c r="I111" s="126"/>
      <c r="J111" s="64"/>
      <c r="K111" s="206"/>
    </row>
    <row r="112" spans="1:11" x14ac:dyDescent="0.2">
      <c r="A112" s="329" t="s">
        <v>686</v>
      </c>
      <c r="B112" s="126"/>
      <c r="C112" s="126"/>
      <c r="D112" s="126"/>
      <c r="E112" s="126"/>
      <c r="F112" s="126"/>
      <c r="G112" s="126"/>
      <c r="H112" s="126"/>
      <c r="I112" s="126"/>
      <c r="J112" s="126"/>
      <c r="K112" s="206"/>
    </row>
    <row r="113" spans="1:11" x14ac:dyDescent="0.2">
      <c r="A113" s="329"/>
      <c r="B113" s="126"/>
      <c r="C113" s="126"/>
      <c r="D113" s="126"/>
      <c r="E113" s="126"/>
      <c r="F113" s="126"/>
      <c r="G113" s="126"/>
      <c r="H113" s="126"/>
      <c r="I113" s="126"/>
      <c r="J113" s="126"/>
      <c r="K113" s="206"/>
    </row>
    <row r="114" spans="1:11" x14ac:dyDescent="0.2">
      <c r="A114" s="64">
        <v>9</v>
      </c>
      <c r="B114" s="126" t="s">
        <v>793</v>
      </c>
      <c r="C114" s="333">
        <v>13</v>
      </c>
      <c r="D114" s="333"/>
      <c r="E114" s="126"/>
      <c r="F114" s="333"/>
      <c r="G114" s="126"/>
      <c r="H114" s="126"/>
      <c r="I114" s="126"/>
      <c r="J114" s="126"/>
      <c r="K114" s="206"/>
    </row>
    <row r="115" spans="1:11" x14ac:dyDescent="0.2">
      <c r="A115" s="126"/>
      <c r="B115" s="330"/>
      <c r="C115" s="331" t="s">
        <v>793</v>
      </c>
      <c r="D115" s="332"/>
      <c r="E115" s="332"/>
      <c r="F115" s="332"/>
      <c r="G115" s="126"/>
      <c r="H115" s="333">
        <v>1</v>
      </c>
      <c r="I115" s="126"/>
      <c r="J115" s="126"/>
      <c r="K115" s="206"/>
    </row>
    <row r="116" spans="1:11" x14ac:dyDescent="0.2">
      <c r="A116" s="64">
        <v>16</v>
      </c>
      <c r="B116" s="334" t="s">
        <v>917</v>
      </c>
      <c r="C116" s="335">
        <v>0</v>
      </c>
      <c r="D116" s="338"/>
      <c r="E116" s="126"/>
      <c r="F116" s="338"/>
      <c r="G116" s="336"/>
      <c r="H116" s="126"/>
      <c r="I116" s="126"/>
      <c r="J116" s="126"/>
      <c r="K116" s="206"/>
    </row>
    <row r="117" spans="1:11" x14ac:dyDescent="0.2">
      <c r="A117" s="126"/>
      <c r="B117" s="126"/>
      <c r="C117" s="126"/>
      <c r="D117" s="126"/>
      <c r="E117" s="65"/>
      <c r="F117" s="126"/>
      <c r="G117" s="337"/>
      <c r="H117" s="126" t="s">
        <v>907</v>
      </c>
      <c r="I117" s="333">
        <v>7</v>
      </c>
      <c r="J117" s="126"/>
      <c r="K117" s="206"/>
    </row>
    <row r="118" spans="1:11" x14ac:dyDescent="0.2">
      <c r="A118" s="64">
        <v>12</v>
      </c>
      <c r="B118" s="486" t="s">
        <v>907</v>
      </c>
      <c r="C118" s="338">
        <v>13</v>
      </c>
      <c r="D118" s="338"/>
      <c r="E118" s="126"/>
      <c r="F118" s="338"/>
      <c r="G118" s="337"/>
      <c r="H118" s="336"/>
      <c r="I118" s="126"/>
      <c r="J118" s="126"/>
      <c r="K118" s="206"/>
    </row>
    <row r="119" spans="1:11" x14ac:dyDescent="0.2">
      <c r="A119" s="126"/>
      <c r="B119" s="330"/>
      <c r="C119" s="339" t="s">
        <v>907</v>
      </c>
      <c r="D119" s="65"/>
      <c r="E119" s="126"/>
      <c r="F119" s="65"/>
      <c r="G119" s="340"/>
      <c r="H119" s="487">
        <v>13</v>
      </c>
      <c r="I119" s="126"/>
      <c r="J119" s="126"/>
      <c r="K119" s="206"/>
    </row>
    <row r="120" spans="1:11" x14ac:dyDescent="0.2">
      <c r="A120" s="64">
        <v>13</v>
      </c>
      <c r="B120" s="334" t="s">
        <v>663</v>
      </c>
      <c r="C120" s="345">
        <v>10</v>
      </c>
      <c r="D120" s="488"/>
      <c r="E120" s="330"/>
      <c r="F120" s="488"/>
      <c r="G120" s="126"/>
      <c r="H120" s="337"/>
      <c r="I120" s="126"/>
      <c r="J120" s="126"/>
      <c r="K120" s="206"/>
    </row>
    <row r="121" spans="1:11" ht="13.5" thickBot="1" x14ac:dyDescent="0.25">
      <c r="A121" s="126"/>
      <c r="B121" s="126"/>
      <c r="C121" s="126"/>
      <c r="D121" s="126"/>
      <c r="E121" s="126"/>
      <c r="F121" s="126"/>
      <c r="G121" s="126"/>
      <c r="H121" s="337"/>
      <c r="I121" s="126"/>
      <c r="J121" s="126" t="s">
        <v>906</v>
      </c>
      <c r="K121" s="206"/>
    </row>
    <row r="122" spans="1:11" x14ac:dyDescent="0.2">
      <c r="A122" s="64">
        <v>11</v>
      </c>
      <c r="B122" s="126" t="s">
        <v>906</v>
      </c>
      <c r="C122" s="333">
        <v>13</v>
      </c>
      <c r="D122" s="333"/>
      <c r="E122" s="126"/>
      <c r="F122" s="333"/>
      <c r="G122" s="126"/>
      <c r="H122" s="337"/>
      <c r="I122" s="343"/>
      <c r="J122" s="342" t="s">
        <v>419</v>
      </c>
      <c r="K122" s="490"/>
    </row>
    <row r="123" spans="1:11" x14ac:dyDescent="0.2">
      <c r="A123" s="126"/>
      <c r="B123" s="330"/>
      <c r="C123" s="331" t="s">
        <v>906</v>
      </c>
      <c r="D123" s="332"/>
      <c r="E123" s="332"/>
      <c r="F123" s="332"/>
      <c r="G123" s="126"/>
      <c r="H123" s="487">
        <v>13</v>
      </c>
      <c r="I123" s="126"/>
      <c r="J123" s="126"/>
      <c r="K123" s="207"/>
    </row>
    <row r="124" spans="1:11" ht="13.5" thickBot="1" x14ac:dyDescent="0.25">
      <c r="A124" s="64">
        <v>14</v>
      </c>
      <c r="B124" s="332" t="s">
        <v>916</v>
      </c>
      <c r="C124" s="335">
        <v>1</v>
      </c>
      <c r="D124" s="338"/>
      <c r="E124" s="126"/>
      <c r="F124" s="338"/>
      <c r="G124" s="336"/>
      <c r="H124" s="337"/>
      <c r="I124" s="126"/>
      <c r="J124" s="344" t="s">
        <v>907</v>
      </c>
      <c r="K124" s="491"/>
    </row>
    <row r="125" spans="1:11" x14ac:dyDescent="0.2">
      <c r="A125" s="126"/>
      <c r="B125" s="126"/>
      <c r="C125" s="126"/>
      <c r="D125" s="126"/>
      <c r="E125" s="65"/>
      <c r="F125" s="126"/>
      <c r="G125" s="337"/>
      <c r="H125" s="340" t="s">
        <v>906</v>
      </c>
      <c r="I125" s="333">
        <v>13</v>
      </c>
      <c r="J125" s="342" t="s">
        <v>420</v>
      </c>
      <c r="K125" s="206"/>
    </row>
    <row r="126" spans="1:11" x14ac:dyDescent="0.2">
      <c r="A126" s="64">
        <v>10</v>
      </c>
      <c r="B126" s="126" t="s">
        <v>918</v>
      </c>
      <c r="C126" s="338">
        <v>9</v>
      </c>
      <c r="D126" s="338"/>
      <c r="E126" s="126"/>
      <c r="F126" s="338"/>
      <c r="G126" s="337"/>
      <c r="H126" s="126"/>
      <c r="I126" s="126"/>
      <c r="J126" s="126"/>
      <c r="K126" s="206"/>
    </row>
    <row r="127" spans="1:11" x14ac:dyDescent="0.2">
      <c r="A127" s="126"/>
      <c r="B127" s="330"/>
      <c r="C127" s="339" t="s">
        <v>915</v>
      </c>
      <c r="D127" s="65"/>
      <c r="E127" s="126"/>
      <c r="F127" s="65"/>
      <c r="G127" s="340"/>
      <c r="H127" s="333">
        <v>9</v>
      </c>
      <c r="I127" s="126"/>
      <c r="J127" s="126"/>
      <c r="K127" s="206"/>
    </row>
    <row r="128" spans="1:11" x14ac:dyDescent="0.2">
      <c r="A128" s="64">
        <v>15</v>
      </c>
      <c r="B128" s="332" t="s">
        <v>915</v>
      </c>
      <c r="C128" s="345">
        <v>13</v>
      </c>
      <c r="D128" s="488"/>
      <c r="E128" s="330"/>
      <c r="F128" s="488"/>
      <c r="G128" s="126"/>
      <c r="H128" s="126"/>
      <c r="I128" s="126"/>
      <c r="J128" s="126"/>
      <c r="K128" s="206"/>
    </row>
    <row r="129" spans="1:11" x14ac:dyDescent="0.2">
      <c r="A129" s="126"/>
      <c r="B129" s="126"/>
      <c r="C129" s="126"/>
      <c r="D129" s="126"/>
      <c r="E129" s="126"/>
      <c r="F129" s="126"/>
      <c r="G129" s="126"/>
      <c r="H129" s="126" t="s">
        <v>793</v>
      </c>
      <c r="I129" s="338">
        <v>2</v>
      </c>
      <c r="J129" s="65"/>
      <c r="K129" s="206"/>
    </row>
    <row r="130" spans="1:11" ht="13.5" thickBot="1" x14ac:dyDescent="0.25">
      <c r="A130" s="126"/>
      <c r="B130" s="126"/>
      <c r="C130" s="126"/>
      <c r="D130" s="126"/>
      <c r="E130" s="126"/>
      <c r="F130" s="126"/>
      <c r="G130" s="126"/>
      <c r="H130" s="336"/>
      <c r="I130" s="344"/>
      <c r="J130" s="344" t="s">
        <v>915</v>
      </c>
      <c r="K130" s="206"/>
    </row>
    <row r="131" spans="1:11" x14ac:dyDescent="0.2">
      <c r="A131" s="126"/>
      <c r="B131" s="126"/>
      <c r="C131" s="126"/>
      <c r="D131" s="126"/>
      <c r="E131" s="126"/>
      <c r="F131" s="126"/>
      <c r="G131" s="126"/>
      <c r="H131" s="340" t="s">
        <v>915</v>
      </c>
      <c r="I131" s="333">
        <v>13</v>
      </c>
      <c r="J131" s="346" t="s">
        <v>421</v>
      </c>
      <c r="K131" s="490"/>
    </row>
    <row r="132" spans="1:11" x14ac:dyDescent="0.2">
      <c r="A132" s="126"/>
      <c r="B132" s="126"/>
      <c r="C132" s="126"/>
      <c r="D132" s="126"/>
      <c r="E132" s="126"/>
      <c r="F132" s="126"/>
      <c r="G132" s="126"/>
      <c r="H132" s="126"/>
      <c r="I132" s="126"/>
      <c r="J132" s="65"/>
      <c r="K132" s="207"/>
    </row>
    <row r="133" spans="1:11" ht="13.5" thickBot="1" x14ac:dyDescent="0.25">
      <c r="A133" s="126"/>
      <c r="B133" s="126"/>
      <c r="C133" s="126"/>
      <c r="D133" s="126"/>
      <c r="E133" s="126"/>
      <c r="F133" s="126"/>
      <c r="G133" s="126"/>
      <c r="H133" s="126"/>
      <c r="I133" s="126"/>
      <c r="J133" s="344" t="s">
        <v>793</v>
      </c>
      <c r="K133" s="491"/>
    </row>
    <row r="134" spans="1:11" x14ac:dyDescent="0.2">
      <c r="A134" s="126"/>
      <c r="B134" s="126"/>
      <c r="C134" s="126" t="s">
        <v>917</v>
      </c>
      <c r="D134" s="126"/>
      <c r="E134" s="126"/>
      <c r="F134" s="126"/>
      <c r="G134" s="126"/>
      <c r="H134" s="333">
        <v>7</v>
      </c>
      <c r="I134" s="126"/>
      <c r="J134" s="64" t="s">
        <v>645</v>
      </c>
      <c r="K134" s="206"/>
    </row>
    <row r="135" spans="1:11" x14ac:dyDescent="0.2">
      <c r="A135" s="126"/>
      <c r="B135" s="126"/>
      <c r="C135" s="330"/>
      <c r="D135" s="330"/>
      <c r="E135" s="330"/>
      <c r="F135" s="330"/>
      <c r="G135" s="336"/>
      <c r="H135" s="331" t="s">
        <v>663</v>
      </c>
      <c r="I135" s="333">
        <v>10</v>
      </c>
      <c r="J135" s="126"/>
      <c r="K135" s="206"/>
    </row>
    <row r="136" spans="1:11" x14ac:dyDescent="0.2">
      <c r="A136" s="126"/>
      <c r="B136" s="126"/>
      <c r="C136" s="332" t="s">
        <v>663</v>
      </c>
      <c r="D136" s="332"/>
      <c r="E136" s="332"/>
      <c r="F136" s="332"/>
      <c r="G136" s="340"/>
      <c r="H136" s="492">
        <v>13</v>
      </c>
      <c r="I136" s="126"/>
      <c r="J136" s="126"/>
      <c r="K136" s="206"/>
    </row>
    <row r="137" spans="1:11" ht="13.5" thickBot="1" x14ac:dyDescent="0.25">
      <c r="A137" s="126"/>
      <c r="B137" s="126"/>
      <c r="C137" s="126"/>
      <c r="D137" s="126"/>
      <c r="E137" s="126"/>
      <c r="F137" s="126"/>
      <c r="G137" s="126"/>
      <c r="H137" s="337"/>
      <c r="I137" s="126"/>
      <c r="J137" s="126" t="s">
        <v>916</v>
      </c>
      <c r="K137" s="206"/>
    </row>
    <row r="138" spans="1:11" x14ac:dyDescent="0.2">
      <c r="A138" s="126"/>
      <c r="B138" s="126"/>
      <c r="C138" s="126" t="s">
        <v>916</v>
      </c>
      <c r="D138" s="126"/>
      <c r="E138" s="126"/>
      <c r="F138" s="126"/>
      <c r="G138" s="126"/>
      <c r="H138" s="487">
        <v>13</v>
      </c>
      <c r="I138" s="343"/>
      <c r="J138" s="342" t="s">
        <v>646</v>
      </c>
      <c r="K138" s="490"/>
    </row>
    <row r="139" spans="1:11" x14ac:dyDescent="0.2">
      <c r="A139" s="126"/>
      <c r="B139" s="126"/>
      <c r="C139" s="330"/>
      <c r="D139" s="330"/>
      <c r="E139" s="330"/>
      <c r="F139" s="330"/>
      <c r="G139" s="336"/>
      <c r="H139" s="493" t="s">
        <v>916</v>
      </c>
      <c r="I139" s="338">
        <v>13</v>
      </c>
      <c r="J139" s="126"/>
      <c r="K139" s="207"/>
    </row>
    <row r="140" spans="1:11" ht="13.5" thickBot="1" x14ac:dyDescent="0.25">
      <c r="A140" s="126"/>
      <c r="B140" s="126"/>
      <c r="C140" s="332" t="s">
        <v>918</v>
      </c>
      <c r="D140" s="332"/>
      <c r="E140" s="332"/>
      <c r="F140" s="332"/>
      <c r="G140" s="340"/>
      <c r="H140" s="494">
        <v>5</v>
      </c>
      <c r="I140" s="65"/>
      <c r="J140" s="65" t="s">
        <v>663</v>
      </c>
      <c r="K140" s="491"/>
    </row>
    <row r="141" spans="1:11" x14ac:dyDescent="0.2">
      <c r="A141" s="126"/>
      <c r="B141" s="126"/>
      <c r="C141" s="126"/>
      <c r="D141" s="126"/>
      <c r="E141" s="126"/>
      <c r="F141" s="126"/>
      <c r="G141" s="126"/>
      <c r="H141" s="126"/>
      <c r="I141" s="65"/>
      <c r="J141" s="342" t="s">
        <v>647</v>
      </c>
      <c r="K141" s="206"/>
    </row>
    <row r="142" spans="1:11" x14ac:dyDescent="0.2">
      <c r="A142" s="126"/>
      <c r="B142" s="126"/>
      <c r="C142" s="126"/>
      <c r="D142" s="126"/>
      <c r="E142" s="126"/>
      <c r="F142" s="126"/>
      <c r="G142" s="126"/>
      <c r="H142" s="126" t="s">
        <v>917</v>
      </c>
      <c r="I142" s="338">
        <v>13</v>
      </c>
      <c r="J142" s="65"/>
      <c r="K142" s="206"/>
    </row>
    <row r="143" spans="1:11" ht="13.5" thickBot="1" x14ac:dyDescent="0.25">
      <c r="A143" s="126"/>
      <c r="B143" s="126"/>
      <c r="C143" s="126"/>
      <c r="D143" s="126"/>
      <c r="E143" s="126"/>
      <c r="F143" s="126"/>
      <c r="G143" s="126"/>
      <c r="H143" s="336"/>
      <c r="I143" s="344"/>
      <c r="J143" s="344" t="s">
        <v>917</v>
      </c>
      <c r="K143" s="206"/>
    </row>
    <row r="144" spans="1:11" x14ac:dyDescent="0.2">
      <c r="A144" s="126"/>
      <c r="B144" s="126"/>
      <c r="C144" s="126"/>
      <c r="D144" s="126"/>
      <c r="E144" s="126"/>
      <c r="F144" s="126"/>
      <c r="G144" s="126"/>
      <c r="H144" s="340" t="s">
        <v>918</v>
      </c>
      <c r="I144" s="333">
        <v>12</v>
      </c>
      <c r="J144" s="346" t="s">
        <v>648</v>
      </c>
      <c r="K144" s="490"/>
    </row>
    <row r="145" spans="1:12" x14ac:dyDescent="0.2">
      <c r="A145" s="126"/>
      <c r="B145" s="126"/>
      <c r="C145" s="126"/>
      <c r="D145" s="126"/>
      <c r="E145" s="126"/>
      <c r="F145" s="126"/>
      <c r="G145" s="126"/>
      <c r="H145" s="126"/>
      <c r="I145" s="126"/>
      <c r="J145" s="65"/>
      <c r="K145" s="207"/>
    </row>
    <row r="146" spans="1:12" ht="13.5" thickBot="1" x14ac:dyDescent="0.25">
      <c r="A146" s="126"/>
      <c r="B146" s="126"/>
      <c r="C146" s="126"/>
      <c r="D146" s="126"/>
      <c r="E146" s="126"/>
      <c r="F146" s="126"/>
      <c r="G146" s="126"/>
      <c r="H146" s="126"/>
      <c r="I146" s="126"/>
      <c r="J146" s="344" t="s">
        <v>918</v>
      </c>
      <c r="K146" s="491"/>
    </row>
    <row r="147" spans="1:12" x14ac:dyDescent="0.2">
      <c r="A147" s="126"/>
      <c r="B147" s="126"/>
      <c r="C147" s="126"/>
      <c r="D147" s="126"/>
      <c r="E147" s="126"/>
      <c r="F147" s="126"/>
      <c r="G147" s="126"/>
      <c r="H147" s="126"/>
      <c r="I147" s="126"/>
      <c r="J147" s="346" t="s">
        <v>649</v>
      </c>
      <c r="K147" s="206"/>
    </row>
    <row r="148" spans="1:12" x14ac:dyDescent="0.2">
      <c r="A148" s="116"/>
    </row>
    <row r="149" spans="1:12" x14ac:dyDescent="0.2">
      <c r="A149" s="116"/>
      <c r="F149" s="836">
        <v>17</v>
      </c>
      <c r="H149" s="354" t="s">
        <v>909</v>
      </c>
      <c r="I149" s="338">
        <v>10</v>
      </c>
      <c r="J149" s="65"/>
      <c r="K149" s="206"/>
    </row>
    <row r="150" spans="1:12" ht="13.5" thickBot="1" x14ac:dyDescent="0.25">
      <c r="A150" s="116"/>
      <c r="H150" s="336"/>
      <c r="I150" s="344"/>
      <c r="J150" s="344" t="s">
        <v>908</v>
      </c>
      <c r="K150" s="206"/>
    </row>
    <row r="151" spans="1:12" x14ac:dyDescent="0.2">
      <c r="A151" s="116"/>
      <c r="F151" s="836">
        <v>18</v>
      </c>
      <c r="H151" s="340" t="s">
        <v>908</v>
      </c>
      <c r="I151" s="333">
        <v>13</v>
      </c>
      <c r="J151" s="346" t="s">
        <v>650</v>
      </c>
      <c r="K151" s="490"/>
    </row>
    <row r="152" spans="1:12" x14ac:dyDescent="0.2">
      <c r="A152" s="116"/>
      <c r="H152" s="126"/>
      <c r="I152" s="126"/>
      <c r="J152" s="65"/>
      <c r="K152" s="207"/>
    </row>
    <row r="153" spans="1:12" ht="13.5" thickBot="1" x14ac:dyDescent="0.25">
      <c r="A153" s="116"/>
      <c r="H153" s="126"/>
      <c r="I153" s="126"/>
      <c r="J153" s="344" t="s">
        <v>909</v>
      </c>
      <c r="K153" s="491"/>
    </row>
    <row r="154" spans="1:12" x14ac:dyDescent="0.2">
      <c r="A154" s="116"/>
      <c r="H154" s="126"/>
      <c r="I154" s="126"/>
      <c r="J154" s="346" t="s">
        <v>651</v>
      </c>
      <c r="K154" s="206"/>
    </row>
    <row r="155" spans="1:12" x14ac:dyDescent="0.2">
      <c r="A155" s="116"/>
      <c r="H155" s="126"/>
      <c r="I155" s="126"/>
      <c r="J155" s="346"/>
      <c r="K155" s="206"/>
    </row>
    <row r="156" spans="1:12" x14ac:dyDescent="0.2">
      <c r="A156" s="66">
        <v>1</v>
      </c>
      <c r="B156" s="67" t="s">
        <v>910</v>
      </c>
      <c r="C156" s="121"/>
      <c r="D156" s="121"/>
      <c r="E156"/>
      <c r="F156" s="121"/>
      <c r="G156" s="121"/>
      <c r="H156" s="121"/>
      <c r="I156" s="121"/>
      <c r="J156" s="121"/>
      <c r="K156" s="121"/>
      <c r="L156" s="121"/>
    </row>
    <row r="157" spans="1:12" x14ac:dyDescent="0.2">
      <c r="A157" s="66">
        <v>2</v>
      </c>
      <c r="B157" s="830" t="s">
        <v>911</v>
      </c>
      <c r="C157" s="121"/>
      <c r="D157" s="121"/>
      <c r="E157"/>
      <c r="F157" s="121"/>
      <c r="G157" s="121"/>
      <c r="H157" s="121"/>
      <c r="I157" s="121"/>
      <c r="J157" s="121"/>
      <c r="K157" s="121"/>
      <c r="L157" s="121"/>
    </row>
    <row r="158" spans="1:12" x14ac:dyDescent="0.2">
      <c r="A158" s="66">
        <v>3</v>
      </c>
      <c r="B158" s="829" t="s">
        <v>912</v>
      </c>
      <c r="C158" s="121"/>
      <c r="D158" s="121"/>
      <c r="E158"/>
      <c r="F158" s="121"/>
      <c r="G158" s="121"/>
      <c r="H158" s="121"/>
      <c r="I158" s="121"/>
      <c r="J158" s="121"/>
      <c r="K158" s="121"/>
      <c r="L158" s="121"/>
    </row>
    <row r="159" spans="1:12" x14ac:dyDescent="0.2">
      <c r="A159" s="66">
        <v>4</v>
      </c>
      <c r="B159" s="365" t="s">
        <v>913</v>
      </c>
      <c r="C159" s="121"/>
      <c r="D159" s="121"/>
      <c r="E159"/>
      <c r="F159" s="121"/>
      <c r="G159" s="121"/>
      <c r="H159" s="121"/>
      <c r="I159" s="121"/>
      <c r="J159" s="121"/>
      <c r="K159" s="121"/>
      <c r="L159" s="121"/>
    </row>
    <row r="160" spans="1:12" x14ac:dyDescent="0.2">
      <c r="A160" s="66">
        <v>5</v>
      </c>
      <c r="B160" s="124" t="s">
        <v>914</v>
      </c>
      <c r="C160" s="121"/>
      <c r="D160" s="121"/>
      <c r="E160"/>
      <c r="F160" s="121"/>
      <c r="G160" s="121"/>
      <c r="H160" s="121"/>
      <c r="I160" s="121"/>
      <c r="J160" s="121"/>
      <c r="K160" s="121"/>
      <c r="L160" s="121"/>
    </row>
    <row r="161" spans="1:12" x14ac:dyDescent="0.2">
      <c r="A161" s="66">
        <v>6</v>
      </c>
      <c r="B161" s="124" t="s">
        <v>904</v>
      </c>
      <c r="C161" s="121"/>
      <c r="D161" s="121"/>
      <c r="E161"/>
      <c r="F161" s="121"/>
      <c r="G161" s="121"/>
      <c r="H161" s="121"/>
      <c r="I161" s="121"/>
      <c r="J161" s="121"/>
      <c r="K161" s="121"/>
      <c r="L161" s="121"/>
    </row>
    <row r="162" spans="1:12" x14ac:dyDescent="0.2">
      <c r="A162" s="66">
        <v>7</v>
      </c>
      <c r="B162" s="124" t="s">
        <v>905</v>
      </c>
      <c r="C162" s="121"/>
      <c r="D162" s="121"/>
      <c r="E162"/>
      <c r="F162" s="121"/>
      <c r="G162" s="121"/>
      <c r="H162" s="121"/>
      <c r="I162" s="121"/>
      <c r="J162" s="121"/>
      <c r="K162" s="121"/>
      <c r="L162" s="121"/>
    </row>
    <row r="163" spans="1:12" x14ac:dyDescent="0.2">
      <c r="A163" s="66">
        <v>8</v>
      </c>
      <c r="B163" s="124" t="s">
        <v>792</v>
      </c>
      <c r="C163" s="121"/>
      <c r="D163" s="121"/>
      <c r="E163"/>
      <c r="F163" s="121"/>
      <c r="G163" s="121"/>
      <c r="H163" s="121"/>
      <c r="I163" s="121"/>
      <c r="J163" s="121"/>
      <c r="K163" s="121"/>
      <c r="L163" s="121"/>
    </row>
    <row r="164" spans="1:12" x14ac:dyDescent="0.2">
      <c r="A164" s="66">
        <v>9</v>
      </c>
      <c r="B164" s="136" t="s">
        <v>906</v>
      </c>
      <c r="C164" s="121"/>
      <c r="D164" s="121"/>
      <c r="E164"/>
      <c r="F164" s="121"/>
      <c r="G164" s="121"/>
      <c r="H164" s="121"/>
      <c r="I164" s="121"/>
      <c r="J164" s="121"/>
      <c r="K164" s="121"/>
      <c r="L164" s="121"/>
    </row>
    <row r="165" spans="1:12" x14ac:dyDescent="0.2">
      <c r="A165" s="66">
        <v>10</v>
      </c>
      <c r="B165" s="125" t="s">
        <v>907</v>
      </c>
      <c r="C165" s="121"/>
      <c r="D165" s="121"/>
      <c r="E165"/>
      <c r="F165" s="121"/>
      <c r="G165" s="121"/>
      <c r="H165" s="121"/>
      <c r="I165" s="121"/>
      <c r="J165" s="121"/>
      <c r="K165" s="121"/>
      <c r="L165" s="121"/>
    </row>
    <row r="166" spans="1:12" x14ac:dyDescent="0.2">
      <c r="A166" s="66">
        <v>11</v>
      </c>
      <c r="B166" s="123" t="s">
        <v>915</v>
      </c>
      <c r="C166" s="121"/>
      <c r="D166" s="121"/>
      <c r="E166"/>
      <c r="F166" s="121"/>
      <c r="G166" s="121"/>
      <c r="H166" s="121"/>
      <c r="I166" s="121"/>
      <c r="J166" s="121"/>
      <c r="K166" s="121"/>
      <c r="L166" s="121"/>
    </row>
    <row r="167" spans="1:12" x14ac:dyDescent="0.2">
      <c r="A167" s="66">
        <v>12</v>
      </c>
      <c r="B167" s="125" t="s">
        <v>793</v>
      </c>
      <c r="C167" s="121"/>
      <c r="D167" s="121"/>
      <c r="E167"/>
      <c r="F167" s="121"/>
      <c r="G167" s="121"/>
      <c r="H167" s="121"/>
      <c r="I167" s="121"/>
      <c r="J167" s="121"/>
      <c r="K167" s="121"/>
      <c r="L167" s="121"/>
    </row>
    <row r="168" spans="1:12" x14ac:dyDescent="0.2">
      <c r="A168" s="66">
        <v>13</v>
      </c>
      <c r="B168" s="124" t="s">
        <v>916</v>
      </c>
      <c r="E168"/>
    </row>
    <row r="169" spans="1:12" x14ac:dyDescent="0.2">
      <c r="A169" s="66">
        <v>14</v>
      </c>
      <c r="B169" s="124" t="s">
        <v>663</v>
      </c>
      <c r="E169"/>
    </row>
    <row r="170" spans="1:12" x14ac:dyDescent="0.2">
      <c r="A170" s="66">
        <v>15</v>
      </c>
      <c r="B170" s="136" t="s">
        <v>917</v>
      </c>
      <c r="E170"/>
    </row>
    <row r="171" spans="1:12" x14ac:dyDescent="0.2">
      <c r="A171" s="66">
        <v>16</v>
      </c>
      <c r="B171" s="136" t="s">
        <v>918</v>
      </c>
      <c r="E171"/>
    </row>
    <row r="172" spans="1:12" x14ac:dyDescent="0.2">
      <c r="A172" s="66">
        <v>17</v>
      </c>
      <c r="B172" s="349" t="s">
        <v>908</v>
      </c>
      <c r="E172"/>
    </row>
    <row r="173" spans="1:12" x14ac:dyDescent="0.2">
      <c r="A173" s="66">
        <v>18</v>
      </c>
      <c r="B173" s="136" t="s">
        <v>909</v>
      </c>
      <c r="E173"/>
    </row>
  </sheetData>
  <mergeCells count="20">
    <mergeCell ref="D73:E73"/>
    <mergeCell ref="D66:E66"/>
    <mergeCell ref="D67:E67"/>
    <mergeCell ref="D68:E68"/>
    <mergeCell ref="D69:E69"/>
    <mergeCell ref="D70:E70"/>
    <mergeCell ref="D72:E72"/>
    <mergeCell ref="D65:E65"/>
    <mergeCell ref="D64:E64"/>
    <mergeCell ref="D53:E53"/>
    <mergeCell ref="D52:E52"/>
    <mergeCell ref="D54:E54"/>
    <mergeCell ref="D55:E55"/>
    <mergeCell ref="D56:E56"/>
    <mergeCell ref="D57:E57"/>
    <mergeCell ref="D58:E58"/>
    <mergeCell ref="D59:E59"/>
    <mergeCell ref="D60:E60"/>
    <mergeCell ref="D61:E61"/>
    <mergeCell ref="D63:E63"/>
  </mergeCells>
  <conditionalFormatting sqref="B82 I77:I107 E82 B114:I144 G93:H107 B83:F107 G77:H91 B77:F81 G92 E7:E16 E62 E18:E27 E29:E38 E40:E51">
    <cfRule type="cellIs" dxfId="49" priority="7" stopIfTrue="1" operator="equal">
      <formula>13</formula>
    </cfRule>
  </conditionalFormatting>
  <conditionalFormatting sqref="D7:F16 D18:F27 D29:F38 D40:F48">
    <cfRule type="cellIs" dxfId="48" priority="5" operator="equal">
      <formula>13</formula>
    </cfRule>
  </conditionalFormatting>
  <conditionalFormatting sqref="H149:I151">
    <cfRule type="cellIs" dxfId="47" priority="3" stopIfTrue="1" operator="equal">
      <formula>13</formula>
    </cfRule>
  </conditionalFormatting>
  <conditionalFormatting sqref="D53">
    <cfRule type="cellIs" dxfId="46" priority="2" stopIfTrue="1" operator="equal">
      <formula>13</formula>
    </cfRule>
  </conditionalFormatting>
  <conditionalFormatting sqref="D52">
    <cfRule type="cellIs" dxfId="45" priority="1" stopIfTrue="1" operator="equal">
      <formula>13</formula>
    </cfRule>
  </conditionalFormatting>
  <pageMargins left="0.39370078740157483" right="0.31496062992125984" top="0.78740157480314965" bottom="0.31496062992125984" header="0.59055118110236227" footer="0"/>
  <pageSetup paperSize="9" fitToHeight="0" orientation="landscape" r:id="rId1"/>
  <headerFooter>
    <oddHeader>&amp;RPage &amp;P of &amp;N</oddHeader>
  </headerFooter>
  <rowBreaks count="4" manualBreakCount="4">
    <brk id="37" max="16383" man="1"/>
    <brk id="73" max="16383" man="1"/>
    <brk id="110" max="16383" man="1"/>
    <brk id="14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8"/>
  <sheetViews>
    <sheetView showGridLines="0" showRowColHeaders="0" zoomScaleNormal="100" workbookViewId="0">
      <pane ySplit="2" topLeftCell="A3" activePane="bottomLeft" state="frozen"/>
      <selection pane="bottomLeft" activeCell="F1" sqref="F1"/>
    </sheetView>
  </sheetViews>
  <sheetFormatPr defaultRowHeight="12.75" x14ac:dyDescent="0.2"/>
  <cols>
    <col min="1" max="1" width="3.28515625" style="206" customWidth="1"/>
    <col min="2" max="2" width="43.7109375" style="206" bestFit="1" customWidth="1"/>
    <col min="3" max="3" width="7.28515625" style="206" bestFit="1" customWidth="1"/>
    <col min="4" max="4" width="7.42578125" style="206" bestFit="1" customWidth="1"/>
    <col min="5" max="5" width="9.140625" style="206"/>
    <col min="6" max="6" width="6.7109375" style="206" bestFit="1" customWidth="1"/>
    <col min="7" max="7" width="5.140625" style="206" bestFit="1" customWidth="1"/>
    <col min="8" max="8" width="3.28515625" style="206" customWidth="1"/>
    <col min="9" max="9" width="3.140625" style="206" customWidth="1"/>
    <col min="10" max="10" width="9.140625" style="206"/>
    <col min="11" max="11" width="43.7109375" style="206" bestFit="1" customWidth="1"/>
    <col min="12" max="16384" width="9.140625" style="206"/>
  </cols>
  <sheetData>
    <row r="1" spans="1:7" x14ac:dyDescent="0.2">
      <c r="A1" s="117" t="str">
        <f>UPPER((Kalend!E11)&amp;" - "&amp;(Kalend!C11)&amp;" - "&amp;(Kalend!D11))</f>
        <v>3 - EESTI REITINGUVÕISTLUS - TRIO</v>
      </c>
      <c r="D1" s="85" t="str">
        <f>HYPERLINK("#Üldreiting!I1","Reiting")</f>
        <v>Reiting</v>
      </c>
    </row>
    <row r="2" spans="1:7" x14ac:dyDescent="0.2">
      <c r="A2" s="116" t="str">
        <f>"Toimumisaeg: "&amp;(Kalend!A11)&amp;" kell "&amp;(Kalend!B11)</f>
        <v>Toimumisaeg: P, 04.06.2017 kell 10:00</v>
      </c>
    </row>
    <row r="3" spans="1:7" x14ac:dyDescent="0.2">
      <c r="A3" s="116" t="str">
        <f>"Toimumiskoht: "&amp;(Kalend!H11)</f>
        <v>Toimumiskoht: Uuskalda (Läänemaa, Kärbla küla)</v>
      </c>
    </row>
    <row r="4" spans="1:7" x14ac:dyDescent="0.2">
      <c r="A4" s="116" t="str">
        <f>"Korraldaja: "&amp;(Kalend!I11)</f>
        <v>Korraldaja: PK Wicia</v>
      </c>
    </row>
    <row r="5" spans="1:7" s="135" customFormat="1" x14ac:dyDescent="0.2"/>
    <row r="6" spans="1:7" x14ac:dyDescent="0.2">
      <c r="A6" s="317" t="s">
        <v>402</v>
      </c>
      <c r="B6" s="464"/>
      <c r="C6" s="319" t="s">
        <v>403</v>
      </c>
      <c r="D6" s="319" t="s">
        <v>404</v>
      </c>
      <c r="E6" s="319" t="s">
        <v>405</v>
      </c>
      <c r="F6" s="319" t="s">
        <v>406</v>
      </c>
      <c r="G6" s="319" t="s">
        <v>26</v>
      </c>
    </row>
    <row r="7" spans="1:7" x14ac:dyDescent="0.2">
      <c r="A7" s="320">
        <v>1</v>
      </c>
      <c r="B7" s="348"/>
      <c r="C7" s="321"/>
      <c r="D7" s="321"/>
      <c r="E7" s="321"/>
      <c r="F7" s="321"/>
      <c r="G7" s="461" t="b">
        <f>IF(AND(COUNTIF(C7:F7,13)=0,COUNT(C7:F7)=2),"IV",IF(AND(COUNTIF(C7:F7,13)=1,COUNT(C7:F7)=3),"III",IF(AND(COUNTIF(C7:F7,13)=2,COUNT(C7:F7)=3),"II",IF(AND(COUNTIF(C7:F7,13)=2,COUNT(C7:F7)=2),"I"))))</f>
        <v>0</v>
      </c>
    </row>
    <row r="8" spans="1:7" x14ac:dyDescent="0.2">
      <c r="A8" s="320">
        <v>2</v>
      </c>
      <c r="B8" s="348"/>
      <c r="C8" s="321"/>
      <c r="D8" s="321"/>
      <c r="E8" s="321"/>
      <c r="F8" s="321"/>
      <c r="G8" s="461" t="b">
        <f>IF(AND(COUNTIF(C8:F8,13)=0,COUNT(C8:F8)=2),"IV",IF(AND(COUNTIF(C8:F8,13)=1,COUNT(C8:F8)=3),"III",IF(AND(COUNTIF(C8:F8,13)=2,COUNT(C8:F8)=3),"II",IF(AND(COUNTIF(C8:F8,13)=2,COUNT(C8:F8)=2),"I"))))</f>
        <v>0</v>
      </c>
    </row>
    <row r="9" spans="1:7" x14ac:dyDescent="0.2">
      <c r="A9" s="320">
        <v>3</v>
      </c>
      <c r="B9" s="348"/>
      <c r="C9" s="321"/>
      <c r="D9" s="321"/>
      <c r="E9" s="321"/>
      <c r="F9" s="321"/>
      <c r="G9" s="461" t="b">
        <f>IF(AND(COUNTIF(C9:F9,13)=0,COUNT(C9:F9)=2),"IV",IF(AND(COUNTIF(C9:F9,13)=1,COUNT(C9:F9)=3),"III",IF(AND(COUNTIF(C9:F9,13)=2,COUNT(C9:F9)=3),"II",IF(AND(COUNTIF(C9:F9,13)=2,COUNT(C9:F9)=2),"I"))))</f>
        <v>0</v>
      </c>
    </row>
    <row r="10" spans="1:7" x14ac:dyDescent="0.2">
      <c r="A10" s="320">
        <v>4</v>
      </c>
      <c r="B10" s="323"/>
      <c r="C10" s="321">
        <f>IF(ISBLANK(B10),0)</f>
        <v>0</v>
      </c>
      <c r="D10" s="321"/>
      <c r="E10" s="321">
        <f>IF(ISBLANK(B10),0)</f>
        <v>0</v>
      </c>
      <c r="F10" s="321"/>
      <c r="G10" s="321" t="str">
        <f>IF(AND(COUNTIF(C10:F10,13)=0,COUNT(C10:F10)=2),"IV",IF(AND(COUNTIF(C10:F10,13)=1,COUNT(C10:F10)=3),"III",IF(AND(COUNTIF(C10:F10,13)=2,COUNT(C10:F10)=3),"II",IF(AND(COUNTIF(C10:F10,13)=2,COUNT(C10:F10)=2),"I"))))</f>
        <v>IV</v>
      </c>
    </row>
    <row r="11" spans="1:7" x14ac:dyDescent="0.2">
      <c r="A11" s="324"/>
      <c r="B11" s="325"/>
      <c r="C11" s="326"/>
      <c r="D11" s="326"/>
      <c r="E11" s="326"/>
      <c r="F11" s="327"/>
      <c r="G11" s="328"/>
    </row>
    <row r="12" spans="1:7" x14ac:dyDescent="0.2">
      <c r="A12" s="317" t="s">
        <v>407</v>
      </c>
      <c r="B12" s="318"/>
      <c r="C12" s="319" t="s">
        <v>403</v>
      </c>
      <c r="D12" s="319" t="s">
        <v>404</v>
      </c>
      <c r="E12" s="319" t="s">
        <v>405</v>
      </c>
      <c r="F12" s="319" t="s">
        <v>406</v>
      </c>
      <c r="G12" s="319" t="s">
        <v>26</v>
      </c>
    </row>
    <row r="13" spans="1:7" x14ac:dyDescent="0.2">
      <c r="A13" s="320">
        <v>1</v>
      </c>
      <c r="B13" s="348"/>
      <c r="C13" s="321"/>
      <c r="D13" s="321"/>
      <c r="E13" s="321"/>
      <c r="F13" s="321"/>
      <c r="G13" s="461" t="b">
        <f>IF(AND(COUNTIF(C13:F13,13)=0,COUNT(C13:F13)=2),"IV",IF(AND(COUNTIF(C13:F13,13)=1,COUNT(C13:F13)=3),"III",IF(AND(COUNTIF(C13:F13,13)=2,COUNT(C13:F13)=3),"II",IF(AND(COUNTIF(C13:F13,13)=2,COUNT(C13:F13)=2),"I"))))</f>
        <v>0</v>
      </c>
    </row>
    <row r="14" spans="1:7" x14ac:dyDescent="0.2">
      <c r="A14" s="320">
        <v>2</v>
      </c>
      <c r="B14" s="348"/>
      <c r="C14" s="321"/>
      <c r="D14" s="321"/>
      <c r="E14" s="321"/>
      <c r="F14" s="321"/>
      <c r="G14" s="461" t="b">
        <f>IF(AND(COUNTIF(C14:F14,13)=0,COUNT(C14:F14)=2),"IV",IF(AND(COUNTIF(C14:F14,13)=1,COUNT(C14:F14)=3),"III",IF(AND(COUNTIF(C14:F14,13)=2,COUNT(C14:F14)=3),"II",IF(AND(COUNTIF(C14:F14,13)=2,COUNT(C14:F14)=2),"I"))))</f>
        <v>0</v>
      </c>
    </row>
    <row r="15" spans="1:7" x14ac:dyDescent="0.2">
      <c r="A15" s="320">
        <v>3</v>
      </c>
      <c r="B15" s="348"/>
      <c r="C15" s="321"/>
      <c r="D15" s="321"/>
      <c r="E15" s="321"/>
      <c r="F15" s="321"/>
      <c r="G15" s="461" t="b">
        <f>IF(AND(COUNTIF(C15:F15,13)=0,COUNT(C15:F15)=2),"IV",IF(AND(COUNTIF(C15:F15,13)=1,COUNT(C15:F15)=3),"III",IF(AND(COUNTIF(C15:F15,13)=2,COUNT(C15:F15)=3),"II",IF(AND(COUNTIF(C15:F15,13)=2,COUNT(C15:F15)=2),"I"))))</f>
        <v>0</v>
      </c>
    </row>
    <row r="16" spans="1:7" x14ac:dyDescent="0.2">
      <c r="A16" s="320">
        <v>4</v>
      </c>
      <c r="B16" s="98"/>
      <c r="C16" s="321">
        <f>IF(ISBLANK(B16),0)</f>
        <v>0</v>
      </c>
      <c r="D16" s="321"/>
      <c r="E16" s="321">
        <f>IF(ISBLANK(B16),0)</f>
        <v>0</v>
      </c>
      <c r="F16" s="321"/>
      <c r="G16" s="321" t="str">
        <f>IF(AND(COUNTIF(C16:F16,13)=0,COUNT(C16:F16)=2),"IV",IF(AND(COUNTIF(C16:F16,13)=1,COUNT(C16:F16)=3),"III",IF(AND(COUNTIF(C16:F16,13)=2,COUNT(C16:F16)=3),"II",IF(AND(COUNTIF(C16:F16,13)=2,COUNT(C16:F16)=2),"I"))))</f>
        <v>IV</v>
      </c>
    </row>
    <row r="17" spans="1:11" x14ac:dyDescent="0.2">
      <c r="A17" s="324"/>
      <c r="B17" s="325"/>
      <c r="C17" s="326"/>
      <c r="D17" s="326"/>
      <c r="E17" s="326"/>
      <c r="F17" s="327"/>
      <c r="G17" s="328"/>
    </row>
    <row r="18" spans="1:11" x14ac:dyDescent="0.2">
      <c r="A18" s="317" t="s">
        <v>408</v>
      </c>
      <c r="B18" s="318"/>
      <c r="C18" s="319" t="s">
        <v>403</v>
      </c>
      <c r="D18" s="319" t="s">
        <v>404</v>
      </c>
      <c r="E18" s="319" t="s">
        <v>405</v>
      </c>
      <c r="F18" s="319" t="s">
        <v>406</v>
      </c>
      <c r="G18" s="319" t="s">
        <v>26</v>
      </c>
    </row>
    <row r="19" spans="1:11" x14ac:dyDescent="0.2">
      <c r="A19" s="320">
        <v>1</v>
      </c>
      <c r="B19" s="349"/>
      <c r="C19" s="321"/>
      <c r="D19" s="321"/>
      <c r="E19" s="321"/>
      <c r="F19" s="321"/>
      <c r="G19" s="461" t="b">
        <f>IF(AND(COUNTIF(C19:F19,13)=0,COUNT(C19:F19)=2),"IV",IF(AND(COUNTIF(C19:F19,13)=1,COUNT(C19:F19)=3),"III",IF(AND(COUNTIF(C19:F19,13)=2,COUNT(C19:F19)=3),"II",IF(AND(COUNTIF(C19:F19,13)=2,COUNT(C19:F19)=2),"I"))))</f>
        <v>0</v>
      </c>
    </row>
    <row r="20" spans="1:11" x14ac:dyDescent="0.2">
      <c r="A20" s="320">
        <v>2</v>
      </c>
      <c r="B20" s="348"/>
      <c r="C20" s="321"/>
      <c r="D20" s="321"/>
      <c r="E20" s="321"/>
      <c r="F20" s="321"/>
      <c r="G20" s="461" t="b">
        <f>IF(AND(COUNTIF(C20:F20,13)=0,COUNT(C20:F20)=2),"IV",IF(AND(COUNTIF(C20:F20,13)=1,COUNT(C20:F20)=3),"III",IF(AND(COUNTIF(C20:F20,13)=2,COUNT(C20:F20)=3),"II",IF(AND(COUNTIF(C20:F20,13)=2,COUNT(C20:F20)=2),"I"))))</f>
        <v>0</v>
      </c>
    </row>
    <row r="21" spans="1:11" x14ac:dyDescent="0.2">
      <c r="A21" s="320">
        <v>3</v>
      </c>
      <c r="B21" s="350"/>
      <c r="C21" s="321"/>
      <c r="D21" s="321"/>
      <c r="E21" s="321"/>
      <c r="F21" s="321"/>
      <c r="G21" s="461" t="b">
        <f>IF(AND(COUNTIF(C21:F21,13)=0,COUNT(C21:F21)=2),"IV",IF(AND(COUNTIF(C21:F21,13)=1,COUNT(C21:F21)=3),"III",IF(AND(COUNTIF(C21:F21,13)=2,COUNT(C21:F21)=3),"II",IF(AND(COUNTIF(C21:F21,13)=2,COUNT(C21:F21)=2),"I"))))</f>
        <v>0</v>
      </c>
    </row>
    <row r="22" spans="1:11" x14ac:dyDescent="0.2">
      <c r="A22" s="320">
        <v>4</v>
      </c>
      <c r="B22" s="323"/>
      <c r="C22" s="321">
        <f>IF(ISBLANK(B22),0)</f>
        <v>0</v>
      </c>
      <c r="D22" s="321"/>
      <c r="E22" s="321">
        <f>IF(ISBLANK(B22),0)</f>
        <v>0</v>
      </c>
      <c r="F22" s="321"/>
      <c r="G22" s="321" t="str">
        <f>IF(AND(COUNTIF(C22:F22,13)=0,COUNT(C22:F22)=2),"IV",IF(AND(COUNTIF(C22:F22,13)=1,COUNT(C22:F22)=3),"III",IF(AND(COUNTIF(C22:F22,13)=2,COUNT(C22:F22)=3),"II",IF(AND(COUNTIF(C22:F22,13)=2,COUNT(C22:F22)=2),"I"))))</f>
        <v>IV</v>
      </c>
    </row>
    <row r="23" spans="1:11" x14ac:dyDescent="0.2">
      <c r="A23" s="324"/>
      <c r="B23" s="325"/>
      <c r="C23" s="326"/>
      <c r="D23" s="326"/>
      <c r="E23" s="326"/>
      <c r="F23" s="327"/>
      <c r="G23" s="328"/>
    </row>
    <row r="24" spans="1:11" x14ac:dyDescent="0.2">
      <c r="A24" s="317" t="s">
        <v>409</v>
      </c>
      <c r="B24" s="318"/>
      <c r="C24" s="319" t="s">
        <v>403</v>
      </c>
      <c r="D24" s="319" t="s">
        <v>404</v>
      </c>
      <c r="E24" s="319" t="s">
        <v>405</v>
      </c>
      <c r="F24" s="319" t="s">
        <v>406</v>
      </c>
      <c r="G24" s="319" t="s">
        <v>26</v>
      </c>
    </row>
    <row r="25" spans="1:11" x14ac:dyDescent="0.2">
      <c r="A25" s="320">
        <v>1</v>
      </c>
      <c r="B25" s="349"/>
      <c r="C25" s="321"/>
      <c r="D25" s="321"/>
      <c r="E25" s="321"/>
      <c r="F25" s="321"/>
      <c r="G25" s="461" t="b">
        <f>IF(AND(COUNTIF(C25:F25,13)=0,COUNT(C25:F25)=2),"IV",IF(AND(COUNTIF(C25:F25,13)=1,COUNT(C25:F25)=3),"III",IF(AND(COUNTIF(C25:F25,13)=2,COUNT(C25:F25)=3),"II",IF(AND(COUNTIF(C25:F25,13)=2,COUNT(C25:F25)=2),"I"))))</f>
        <v>0</v>
      </c>
    </row>
    <row r="26" spans="1:11" x14ac:dyDescent="0.2">
      <c r="A26" s="320">
        <v>2</v>
      </c>
      <c r="B26" s="348"/>
      <c r="C26" s="321"/>
      <c r="D26" s="321"/>
      <c r="E26" s="321"/>
      <c r="F26" s="321"/>
      <c r="G26" s="461" t="b">
        <f>IF(AND(COUNTIF(C26:F26,13)=0,COUNT(C26:F26)=2),"IV",IF(AND(COUNTIF(C26:F26,13)=1,COUNT(C26:F26)=3),"III",IF(AND(COUNTIF(C26:F26,13)=2,COUNT(C26:F26)=3),"II",IF(AND(COUNTIF(C26:F26,13)=2,COUNT(C26:F26)=2),"I"))))</f>
        <v>0</v>
      </c>
    </row>
    <row r="27" spans="1:11" x14ac:dyDescent="0.2">
      <c r="A27" s="320">
        <v>3</v>
      </c>
      <c r="B27" s="348"/>
      <c r="C27" s="321"/>
      <c r="D27" s="321"/>
      <c r="E27" s="321"/>
      <c r="F27" s="321"/>
      <c r="G27" s="461" t="b">
        <f>IF(AND(COUNTIF(C27:F27,13)=0,COUNT(C27:F27)=2),"IV",IF(AND(COUNTIF(C27:F27,13)=1,COUNT(C27:F27)=3),"III",IF(AND(COUNTIF(C27:F27,13)=2,COUNT(C27:F27)=3),"II",IF(AND(COUNTIF(C27:F27,13)=2,COUNT(C27:F27)=2),"I"))))</f>
        <v>0</v>
      </c>
    </row>
    <row r="28" spans="1:11" x14ac:dyDescent="0.2">
      <c r="A28" s="320">
        <v>4</v>
      </c>
      <c r="B28" s="323"/>
      <c r="C28" s="321">
        <f>IF(ISBLANK(B28),0)</f>
        <v>0</v>
      </c>
      <c r="D28" s="321"/>
      <c r="E28" s="321">
        <f>IF(ISBLANK(B28),0)</f>
        <v>0</v>
      </c>
      <c r="F28" s="321"/>
      <c r="G28" s="321" t="str">
        <f>IF(AND(COUNTIF(C28:F28,13)=0,COUNT(C28:F28)=2),"IV",IF(AND(COUNTIF(C28:F28,13)=1,COUNT(C28:F28)=3),"III",IF(AND(COUNTIF(C28:F28,13)=2,COUNT(C28:F28)=3),"II",IF(AND(COUNTIF(C28:F28,13)=2,COUNT(C28:F28)=2),"I"))))</f>
        <v>IV</v>
      </c>
    </row>
    <row r="30" spans="1:11" x14ac:dyDescent="0.2">
      <c r="A30" s="329" t="s">
        <v>410</v>
      </c>
      <c r="B30" s="126"/>
      <c r="C30" s="126"/>
      <c r="D30" s="126"/>
      <c r="E30" s="126"/>
      <c r="F30" s="126"/>
      <c r="G30" s="126"/>
      <c r="H30" s="126"/>
      <c r="I30" s="126"/>
      <c r="J30" s="126"/>
      <c r="K30" s="126"/>
    </row>
    <row r="31" spans="1:11" x14ac:dyDescent="0.2">
      <c r="A31" s="329"/>
      <c r="B31" s="126"/>
      <c r="C31" s="126"/>
      <c r="D31" s="126"/>
      <c r="E31" s="126"/>
      <c r="F31" s="126"/>
      <c r="G31" s="126"/>
      <c r="H31" s="126"/>
      <c r="I31" s="126"/>
      <c r="J31" s="126"/>
      <c r="K31" s="126"/>
    </row>
    <row r="32" spans="1:11" x14ac:dyDescent="0.2">
      <c r="A32" s="64"/>
      <c r="B32" s="354"/>
      <c r="C32" s="333"/>
      <c r="D32" s="126"/>
      <c r="E32" s="126"/>
      <c r="F32" s="126"/>
      <c r="G32" s="126"/>
      <c r="H32" s="126"/>
      <c r="I32" s="126"/>
      <c r="J32" s="126"/>
      <c r="K32" s="126"/>
    </row>
    <row r="33" spans="1:11" x14ac:dyDescent="0.2">
      <c r="A33" s="126"/>
      <c r="B33" s="330"/>
      <c r="C33" s="331"/>
      <c r="D33" s="332"/>
      <c r="E33" s="126"/>
      <c r="F33" s="333"/>
      <c r="G33" s="126"/>
      <c r="H33" s="126"/>
      <c r="I33" s="126"/>
      <c r="J33" s="126"/>
      <c r="K33" s="126"/>
    </row>
    <row r="34" spans="1:11" x14ac:dyDescent="0.2">
      <c r="A34" s="64"/>
      <c r="B34" s="334"/>
      <c r="C34" s="335"/>
      <c r="D34" s="126"/>
      <c r="E34" s="336"/>
      <c r="F34" s="126"/>
      <c r="G34" s="126"/>
      <c r="H34" s="126"/>
      <c r="I34" s="126"/>
      <c r="J34" s="126"/>
      <c r="K34" s="126"/>
    </row>
    <row r="35" spans="1:11" x14ac:dyDescent="0.2">
      <c r="A35" s="126"/>
      <c r="B35" s="126"/>
      <c r="C35" s="126"/>
      <c r="D35" s="65"/>
      <c r="E35" s="337"/>
      <c r="F35" s="126"/>
      <c r="G35" s="126"/>
      <c r="H35" s="126"/>
      <c r="I35" s="462" t="s">
        <v>6</v>
      </c>
      <c r="J35" s="126"/>
      <c r="K35" s="126"/>
    </row>
    <row r="36" spans="1:11" x14ac:dyDescent="0.2">
      <c r="A36" s="64"/>
      <c r="B36" s="363"/>
      <c r="C36" s="338"/>
      <c r="D36" s="126"/>
      <c r="E36" s="337"/>
      <c r="F36" s="330"/>
      <c r="G36" s="330"/>
      <c r="H36" s="336"/>
      <c r="I36" s="126"/>
      <c r="J36" s="126"/>
      <c r="K36" s="126"/>
    </row>
    <row r="37" spans="1:11" x14ac:dyDescent="0.2">
      <c r="A37" s="126"/>
      <c r="B37" s="330"/>
      <c r="C37" s="339"/>
      <c r="D37" s="126"/>
      <c r="E37" s="340"/>
      <c r="F37" s="338"/>
      <c r="G37" s="65"/>
      <c r="H37" s="337"/>
      <c r="I37" s="126"/>
      <c r="J37" s="126"/>
      <c r="K37" s="126"/>
    </row>
    <row r="38" spans="1:11" x14ac:dyDescent="0.2">
      <c r="A38" s="64"/>
      <c r="B38" s="334"/>
      <c r="C38" s="345"/>
      <c r="D38" s="330"/>
      <c r="E38" s="126"/>
      <c r="F38" s="65"/>
      <c r="G38" s="65"/>
      <c r="H38" s="337"/>
      <c r="I38" s="126"/>
      <c r="J38" s="126"/>
      <c r="K38" s="126"/>
    </row>
    <row r="39" spans="1:11" ht="13.5" thickBot="1" x14ac:dyDescent="0.25">
      <c r="A39" s="126"/>
      <c r="B39" s="126"/>
      <c r="C39" s="126"/>
      <c r="D39" s="126"/>
      <c r="E39" s="126"/>
      <c r="F39" s="65"/>
      <c r="G39" s="65"/>
      <c r="H39" s="337"/>
      <c r="I39" s="126"/>
      <c r="J39" s="351"/>
      <c r="K39" s="126"/>
    </row>
    <row r="40" spans="1:11" x14ac:dyDescent="0.2">
      <c r="A40" s="64"/>
      <c r="B40" s="126"/>
      <c r="C40" s="333"/>
      <c r="D40" s="126"/>
      <c r="E40" s="126"/>
      <c r="F40" s="65"/>
      <c r="G40" s="65"/>
      <c r="H40" s="337"/>
      <c r="I40" s="341"/>
      <c r="J40" s="342" t="s">
        <v>411</v>
      </c>
      <c r="K40" s="343"/>
    </row>
    <row r="41" spans="1:11" x14ac:dyDescent="0.2">
      <c r="A41" s="126"/>
      <c r="B41" s="330"/>
      <c r="C41" s="331"/>
      <c r="D41" s="332"/>
      <c r="E41" s="126"/>
      <c r="F41" s="338"/>
      <c r="G41" s="65"/>
      <c r="H41" s="337"/>
      <c r="I41" s="126"/>
      <c r="J41" s="126"/>
      <c r="K41" s="126"/>
    </row>
    <row r="42" spans="1:11" ht="13.5" thickBot="1" x14ac:dyDescent="0.25">
      <c r="A42" s="64"/>
      <c r="B42" s="332"/>
      <c r="C42" s="335"/>
      <c r="D42" s="126"/>
      <c r="E42" s="336"/>
      <c r="F42" s="65"/>
      <c r="G42" s="65"/>
      <c r="H42" s="337"/>
      <c r="I42" s="126"/>
      <c r="J42" s="364"/>
      <c r="K42" s="344"/>
    </row>
    <row r="43" spans="1:11" x14ac:dyDescent="0.2">
      <c r="A43" s="126"/>
      <c r="B43" s="126"/>
      <c r="C43" s="126"/>
      <c r="D43" s="65"/>
      <c r="E43" s="337"/>
      <c r="F43" s="332"/>
      <c r="G43" s="332"/>
      <c r="H43" s="340"/>
      <c r="I43" s="462" t="s">
        <v>6</v>
      </c>
      <c r="J43" s="342" t="s">
        <v>412</v>
      </c>
      <c r="K43" s="126"/>
    </row>
    <row r="44" spans="1:11" x14ac:dyDescent="0.2">
      <c r="A44" s="64"/>
      <c r="B44" s="126"/>
      <c r="C44" s="338"/>
      <c r="D44" s="126"/>
      <c r="E44" s="337"/>
      <c r="F44" s="126"/>
      <c r="G44" s="126"/>
      <c r="H44" s="126"/>
      <c r="I44" s="126"/>
      <c r="J44" s="126"/>
      <c r="K44" s="126"/>
    </row>
    <row r="45" spans="1:11" x14ac:dyDescent="0.2">
      <c r="A45" s="126"/>
      <c r="B45" s="330"/>
      <c r="C45" s="339"/>
      <c r="D45" s="126"/>
      <c r="E45" s="340"/>
      <c r="F45" s="333"/>
      <c r="G45" s="126"/>
      <c r="H45" s="126"/>
      <c r="I45" s="126"/>
      <c r="J45" s="126"/>
      <c r="K45" s="126"/>
    </row>
    <row r="46" spans="1:11" x14ac:dyDescent="0.2">
      <c r="A46" s="64"/>
      <c r="B46" s="332"/>
      <c r="C46" s="345"/>
      <c r="D46" s="330"/>
      <c r="E46" s="126"/>
      <c r="F46" s="126"/>
      <c r="G46" s="126"/>
      <c r="H46" s="126"/>
      <c r="I46" s="126"/>
      <c r="J46" s="126"/>
      <c r="K46" s="126"/>
    </row>
    <row r="47" spans="1:11" x14ac:dyDescent="0.2">
      <c r="A47" s="126"/>
      <c r="B47" s="126"/>
      <c r="C47" s="126"/>
      <c r="D47" s="126"/>
      <c r="E47" s="126"/>
      <c r="F47" s="126"/>
      <c r="G47" s="126"/>
      <c r="H47" s="126"/>
      <c r="I47" s="463" t="s">
        <v>6</v>
      </c>
      <c r="J47" s="65"/>
      <c r="K47" s="65"/>
    </row>
    <row r="48" spans="1:11" ht="13.5" thickBot="1" x14ac:dyDescent="0.25">
      <c r="A48" s="126"/>
      <c r="B48" s="126"/>
      <c r="C48" s="126"/>
      <c r="D48" s="126"/>
      <c r="E48" s="126"/>
      <c r="F48" s="330"/>
      <c r="G48" s="330"/>
      <c r="H48" s="336"/>
      <c r="I48" s="344"/>
      <c r="J48" s="364"/>
      <c r="K48" s="344"/>
    </row>
    <row r="49" spans="1:11" x14ac:dyDescent="0.2">
      <c r="A49" s="126"/>
      <c r="B49" s="126"/>
      <c r="C49" s="126"/>
      <c r="D49" s="126"/>
      <c r="E49" s="126"/>
      <c r="F49" s="332"/>
      <c r="G49" s="332"/>
      <c r="H49" s="340"/>
      <c r="I49" s="462" t="s">
        <v>6</v>
      </c>
      <c r="J49" s="346" t="s">
        <v>413</v>
      </c>
      <c r="K49" s="65"/>
    </row>
    <row r="50" spans="1:11" x14ac:dyDescent="0.2">
      <c r="A50" s="126"/>
      <c r="B50" s="126"/>
      <c r="C50" s="126"/>
      <c r="D50" s="126"/>
      <c r="E50" s="126"/>
      <c r="F50" s="126"/>
      <c r="G50" s="126"/>
      <c r="H50" s="126"/>
      <c r="I50" s="126"/>
      <c r="J50" s="65"/>
      <c r="K50" s="65"/>
    </row>
    <row r="51" spans="1:11" ht="13.5" thickBot="1" x14ac:dyDescent="0.25">
      <c r="A51" s="126"/>
      <c r="B51" s="126"/>
      <c r="C51" s="126"/>
      <c r="D51" s="126"/>
      <c r="E51" s="126"/>
      <c r="F51" s="126"/>
      <c r="G51" s="65"/>
      <c r="H51" s="65"/>
      <c r="I51" s="126"/>
      <c r="J51" s="344"/>
      <c r="K51" s="344"/>
    </row>
    <row r="52" spans="1:11" x14ac:dyDescent="0.2">
      <c r="A52" s="126"/>
      <c r="B52" s="126"/>
      <c r="C52" s="126"/>
      <c r="D52" s="126"/>
      <c r="E52" s="126"/>
      <c r="F52" s="333"/>
      <c r="G52" s="126"/>
      <c r="H52" s="126"/>
      <c r="I52" s="126"/>
      <c r="J52" s="64" t="s">
        <v>414</v>
      </c>
      <c r="K52" s="126"/>
    </row>
    <row r="53" spans="1:11" x14ac:dyDescent="0.2">
      <c r="A53" s="126"/>
      <c r="B53" s="126"/>
      <c r="C53" s="330"/>
      <c r="D53" s="330"/>
      <c r="E53" s="336"/>
      <c r="F53" s="331"/>
      <c r="G53" s="332"/>
      <c r="H53" s="332"/>
      <c r="I53" s="462" t="s">
        <v>6</v>
      </c>
      <c r="J53" s="126"/>
      <c r="K53" s="126"/>
    </row>
    <row r="54" spans="1:11" x14ac:dyDescent="0.2">
      <c r="A54" s="126"/>
      <c r="B54" s="126"/>
      <c r="C54" s="332"/>
      <c r="D54" s="332"/>
      <c r="E54" s="340"/>
      <c r="F54" s="335"/>
      <c r="G54" s="126"/>
      <c r="H54" s="337"/>
      <c r="I54" s="126"/>
      <c r="J54" s="126"/>
      <c r="K54" s="126"/>
    </row>
    <row r="55" spans="1:11" ht="13.5" thickBot="1" x14ac:dyDescent="0.25">
      <c r="A55" s="126"/>
      <c r="B55" s="126"/>
      <c r="C55" s="126"/>
      <c r="D55" s="126"/>
      <c r="E55" s="126"/>
      <c r="F55" s="65"/>
      <c r="G55" s="126"/>
      <c r="H55" s="337"/>
      <c r="I55" s="126"/>
      <c r="J55" s="126"/>
      <c r="K55" s="126"/>
    </row>
    <row r="56" spans="1:11" x14ac:dyDescent="0.2">
      <c r="A56" s="126"/>
      <c r="B56" s="126"/>
      <c r="C56" s="354"/>
      <c r="D56" s="126"/>
      <c r="E56" s="126"/>
      <c r="F56" s="338"/>
      <c r="G56" s="126"/>
      <c r="H56" s="337"/>
      <c r="I56" s="341"/>
      <c r="J56" s="342" t="s">
        <v>415</v>
      </c>
      <c r="K56" s="343"/>
    </row>
    <row r="57" spans="1:11" x14ac:dyDescent="0.2">
      <c r="A57" s="126"/>
      <c r="B57" s="126"/>
      <c r="C57" s="330"/>
      <c r="D57" s="330"/>
      <c r="E57" s="336"/>
      <c r="F57" s="339"/>
      <c r="G57" s="126"/>
      <c r="H57" s="340"/>
      <c r="I57" s="463" t="s">
        <v>6</v>
      </c>
      <c r="J57" s="126"/>
      <c r="K57" s="126"/>
    </row>
    <row r="58" spans="1:11" ht="13.5" thickBot="1" x14ac:dyDescent="0.25">
      <c r="A58" s="126"/>
      <c r="B58" s="126"/>
      <c r="C58" s="332"/>
      <c r="D58" s="332"/>
      <c r="E58" s="340"/>
      <c r="F58" s="345"/>
      <c r="G58" s="330"/>
      <c r="H58" s="126"/>
      <c r="I58" s="65"/>
      <c r="J58" s="65"/>
      <c r="K58" s="344"/>
    </row>
    <row r="59" spans="1:11" x14ac:dyDescent="0.2">
      <c r="A59" s="126"/>
      <c r="B59" s="126"/>
      <c r="C59" s="126"/>
      <c r="D59" s="126"/>
      <c r="E59" s="126"/>
      <c r="F59" s="126"/>
      <c r="G59" s="126"/>
      <c r="H59" s="126"/>
      <c r="I59" s="65"/>
      <c r="J59" s="342" t="s">
        <v>416</v>
      </c>
      <c r="K59" s="65"/>
    </row>
    <row r="60" spans="1:11" x14ac:dyDescent="0.2">
      <c r="A60" s="126"/>
      <c r="B60" s="126"/>
      <c r="C60" s="126"/>
      <c r="D60" s="126"/>
      <c r="E60" s="126"/>
      <c r="F60" s="126"/>
      <c r="G60" s="126"/>
      <c r="H60" s="126"/>
      <c r="I60" s="463" t="s">
        <v>6</v>
      </c>
      <c r="J60" s="65"/>
      <c r="K60" s="65"/>
    </row>
    <row r="61" spans="1:11" ht="13.5" thickBot="1" x14ac:dyDescent="0.25">
      <c r="A61" s="126"/>
      <c r="B61" s="126"/>
      <c r="C61" s="126"/>
      <c r="D61" s="126"/>
      <c r="E61" s="126"/>
      <c r="F61" s="330"/>
      <c r="G61" s="330"/>
      <c r="H61" s="336"/>
      <c r="I61" s="344"/>
      <c r="J61" s="364"/>
      <c r="K61" s="344"/>
    </row>
    <row r="62" spans="1:11" x14ac:dyDescent="0.2">
      <c r="A62" s="126"/>
      <c r="B62" s="126"/>
      <c r="C62" s="126"/>
      <c r="D62" s="126"/>
      <c r="E62" s="126"/>
      <c r="F62" s="332"/>
      <c r="G62" s="332"/>
      <c r="H62" s="340"/>
      <c r="I62" s="462" t="s">
        <v>6</v>
      </c>
      <c r="J62" s="346" t="s">
        <v>417</v>
      </c>
      <c r="K62" s="65"/>
    </row>
    <row r="63" spans="1:11" x14ac:dyDescent="0.2">
      <c r="A63" s="126"/>
      <c r="B63" s="126"/>
      <c r="C63" s="126"/>
      <c r="D63" s="126"/>
      <c r="E63" s="126"/>
      <c r="F63" s="126"/>
      <c r="G63" s="126"/>
      <c r="H63" s="126"/>
      <c r="I63" s="126"/>
      <c r="J63" s="65"/>
      <c r="K63" s="65"/>
    </row>
    <row r="64" spans="1:11" ht="13.5" thickBot="1" x14ac:dyDescent="0.25">
      <c r="A64" s="126"/>
      <c r="B64" s="126"/>
      <c r="C64" s="126"/>
      <c r="D64" s="126"/>
      <c r="E64" s="126"/>
      <c r="F64" s="126"/>
      <c r="G64" s="65"/>
      <c r="H64" s="65"/>
      <c r="I64" s="126"/>
      <c r="J64" s="344"/>
      <c r="K64" s="344"/>
    </row>
    <row r="65" spans="1:11" x14ac:dyDescent="0.2">
      <c r="A65" s="126"/>
      <c r="B65" s="126"/>
      <c r="C65" s="126"/>
      <c r="D65" s="126"/>
      <c r="E65" s="126"/>
      <c r="F65" s="126"/>
      <c r="G65" s="65"/>
      <c r="H65" s="65"/>
      <c r="I65" s="126"/>
      <c r="J65" s="64" t="s">
        <v>418</v>
      </c>
      <c r="K65" s="126"/>
    </row>
    <row r="66" spans="1:11" x14ac:dyDescent="0.2">
      <c r="A66" s="126"/>
      <c r="B66" s="126"/>
      <c r="C66" s="126"/>
      <c r="D66" s="126"/>
      <c r="E66" s="126"/>
      <c r="F66" s="126"/>
      <c r="G66" s="65"/>
      <c r="H66" s="65"/>
      <c r="I66" s="126"/>
      <c r="J66" s="64"/>
      <c r="K66" s="126"/>
    </row>
    <row r="67" spans="1:11" x14ac:dyDescent="0.2">
      <c r="A67" s="329" t="s">
        <v>686</v>
      </c>
      <c r="B67" s="126"/>
      <c r="C67" s="126"/>
      <c r="D67" s="126"/>
      <c r="E67" s="126"/>
      <c r="F67" s="126"/>
      <c r="G67" s="126"/>
      <c r="H67" s="126"/>
      <c r="I67" s="126"/>
      <c r="J67" s="126"/>
      <c r="K67" s="126"/>
    </row>
    <row r="68" spans="1:11" x14ac:dyDescent="0.2">
      <c r="A68" s="329"/>
      <c r="B68" s="126"/>
      <c r="C68" s="126"/>
      <c r="D68" s="126"/>
      <c r="E68" s="126"/>
      <c r="F68" s="126"/>
      <c r="G68" s="126"/>
      <c r="H68" s="126"/>
      <c r="I68" s="126"/>
      <c r="J68" s="126"/>
      <c r="K68" s="126"/>
    </row>
    <row r="69" spans="1:11" x14ac:dyDescent="0.2">
      <c r="A69" s="64"/>
      <c r="B69" s="354"/>
      <c r="C69" s="333"/>
      <c r="D69" s="126"/>
      <c r="E69" s="126"/>
      <c r="F69" s="126"/>
      <c r="G69" s="126"/>
      <c r="H69" s="126"/>
      <c r="I69" s="126"/>
      <c r="J69" s="126"/>
      <c r="K69" s="126"/>
    </row>
    <row r="70" spans="1:11" x14ac:dyDescent="0.2">
      <c r="A70" s="126"/>
      <c r="B70" s="330"/>
      <c r="C70" s="331"/>
      <c r="D70" s="332"/>
      <c r="E70" s="126"/>
      <c r="F70" s="333"/>
      <c r="G70" s="126"/>
      <c r="H70" s="126"/>
      <c r="I70" s="126"/>
      <c r="J70" s="126"/>
      <c r="K70" s="126"/>
    </row>
    <row r="71" spans="1:11" x14ac:dyDescent="0.2">
      <c r="A71" s="64"/>
      <c r="B71" s="334"/>
      <c r="C71" s="335"/>
      <c r="D71" s="126"/>
      <c r="E71" s="336"/>
      <c r="F71" s="126"/>
      <c r="G71" s="126"/>
      <c r="H71" s="126"/>
      <c r="I71" s="126"/>
      <c r="J71" s="126"/>
      <c r="K71" s="126"/>
    </row>
    <row r="72" spans="1:11" x14ac:dyDescent="0.2">
      <c r="A72" s="126"/>
      <c r="B72" s="126"/>
      <c r="C72" s="126"/>
      <c r="D72" s="65"/>
      <c r="E72" s="337"/>
      <c r="F72" s="126"/>
      <c r="G72" s="126"/>
      <c r="H72" s="126"/>
      <c r="I72" s="462" t="s">
        <v>6</v>
      </c>
      <c r="J72" s="126"/>
      <c r="K72" s="126"/>
    </row>
    <row r="73" spans="1:11" x14ac:dyDescent="0.2">
      <c r="A73" s="64"/>
      <c r="B73" s="363"/>
      <c r="C73" s="338"/>
      <c r="D73" s="126"/>
      <c r="E73" s="337"/>
      <c r="F73" s="330"/>
      <c r="G73" s="330"/>
      <c r="H73" s="336"/>
      <c r="I73" s="126"/>
      <c r="J73" s="126"/>
      <c r="K73" s="126"/>
    </row>
    <row r="74" spans="1:11" x14ac:dyDescent="0.2">
      <c r="A74" s="126"/>
      <c r="B74" s="330"/>
      <c r="C74" s="339"/>
      <c r="D74" s="126"/>
      <c r="E74" s="340"/>
      <c r="F74" s="338"/>
      <c r="G74" s="65"/>
      <c r="H74" s="337"/>
      <c r="I74" s="126"/>
      <c r="J74" s="126"/>
      <c r="K74" s="126"/>
    </row>
    <row r="75" spans="1:11" x14ac:dyDescent="0.2">
      <c r="A75" s="64"/>
      <c r="B75" s="334"/>
      <c r="C75" s="345"/>
      <c r="D75" s="330"/>
      <c r="E75" s="126"/>
      <c r="F75" s="65"/>
      <c r="G75" s="65"/>
      <c r="H75" s="337"/>
      <c r="I75" s="126"/>
      <c r="J75" s="126"/>
      <c r="K75" s="126"/>
    </row>
    <row r="76" spans="1:11" ht="13.5" thickBot="1" x14ac:dyDescent="0.25">
      <c r="A76" s="126"/>
      <c r="B76" s="126"/>
      <c r="C76" s="126"/>
      <c r="D76" s="126"/>
      <c r="E76" s="126"/>
      <c r="F76" s="65"/>
      <c r="G76" s="65"/>
      <c r="H76" s="337"/>
      <c r="I76" s="126"/>
      <c r="J76" s="351"/>
      <c r="K76" s="126"/>
    </row>
    <row r="77" spans="1:11" x14ac:dyDescent="0.2">
      <c r="A77" s="64"/>
      <c r="B77" s="126"/>
      <c r="C77" s="333"/>
      <c r="D77" s="126"/>
      <c r="E77" s="126"/>
      <c r="F77" s="65"/>
      <c r="G77" s="65"/>
      <c r="H77" s="337"/>
      <c r="I77" s="341"/>
      <c r="J77" s="342" t="s">
        <v>419</v>
      </c>
      <c r="K77" s="343"/>
    </row>
    <row r="78" spans="1:11" x14ac:dyDescent="0.2">
      <c r="A78" s="126"/>
      <c r="B78" s="330"/>
      <c r="C78" s="331"/>
      <c r="D78" s="332"/>
      <c r="E78" s="126"/>
      <c r="F78" s="338"/>
      <c r="G78" s="65"/>
      <c r="H78" s="337"/>
      <c r="I78" s="126"/>
      <c r="J78" s="126"/>
      <c r="K78" s="126"/>
    </row>
    <row r="79" spans="1:11" ht="13.5" thickBot="1" x14ac:dyDescent="0.25">
      <c r="A79" s="64"/>
      <c r="B79" s="332"/>
      <c r="C79" s="335"/>
      <c r="D79" s="126"/>
      <c r="E79" s="336"/>
      <c r="F79" s="65"/>
      <c r="G79" s="65"/>
      <c r="H79" s="337"/>
      <c r="I79" s="126"/>
      <c r="J79" s="364"/>
      <c r="K79" s="344"/>
    </row>
    <row r="80" spans="1:11" x14ac:dyDescent="0.2">
      <c r="A80" s="126"/>
      <c r="B80" s="126"/>
      <c r="C80" s="126"/>
      <c r="D80" s="65"/>
      <c r="E80" s="337"/>
      <c r="F80" s="332"/>
      <c r="G80" s="332"/>
      <c r="H80" s="340"/>
      <c r="I80" s="462" t="s">
        <v>6</v>
      </c>
      <c r="J80" s="342" t="s">
        <v>420</v>
      </c>
      <c r="K80" s="126"/>
    </row>
    <row r="81" spans="1:11" x14ac:dyDescent="0.2">
      <c r="A81" s="64"/>
      <c r="B81" s="126"/>
      <c r="C81" s="338"/>
      <c r="D81" s="126"/>
      <c r="E81" s="337"/>
      <c r="F81" s="126"/>
      <c r="G81" s="126"/>
      <c r="H81" s="126"/>
      <c r="I81" s="126"/>
      <c r="J81" s="126"/>
      <c r="K81" s="126"/>
    </row>
    <row r="82" spans="1:11" x14ac:dyDescent="0.2">
      <c r="A82" s="126"/>
      <c r="B82" s="330"/>
      <c r="C82" s="339"/>
      <c r="D82" s="126"/>
      <c r="E82" s="340"/>
      <c r="F82" s="333"/>
      <c r="G82" s="126"/>
      <c r="H82" s="126"/>
      <c r="I82" s="126"/>
      <c r="J82" s="126"/>
      <c r="K82" s="126"/>
    </row>
    <row r="83" spans="1:11" x14ac:dyDescent="0.2">
      <c r="A83" s="64"/>
      <c r="B83" s="332"/>
      <c r="C83" s="345"/>
      <c r="D83" s="330"/>
      <c r="E83" s="126"/>
      <c r="F83" s="126"/>
      <c r="G83" s="126"/>
      <c r="H83" s="126"/>
      <c r="I83" s="126"/>
      <c r="J83" s="126"/>
      <c r="K83" s="126"/>
    </row>
    <row r="84" spans="1:11" x14ac:dyDescent="0.2">
      <c r="A84" s="126"/>
      <c r="B84" s="126"/>
      <c r="C84" s="126"/>
      <c r="D84" s="126"/>
      <c r="E84" s="126"/>
      <c r="F84" s="126"/>
      <c r="G84" s="126"/>
      <c r="H84" s="126"/>
      <c r="I84" s="463" t="s">
        <v>6</v>
      </c>
      <c r="J84" s="65"/>
      <c r="K84" s="65"/>
    </row>
    <row r="85" spans="1:11" ht="13.5" thickBot="1" x14ac:dyDescent="0.25">
      <c r="A85" s="126"/>
      <c r="B85" s="126"/>
      <c r="C85" s="126"/>
      <c r="D85" s="126"/>
      <c r="E85" s="126"/>
      <c r="F85" s="330"/>
      <c r="G85" s="330"/>
      <c r="H85" s="336"/>
      <c r="I85" s="344"/>
      <c r="J85" s="364"/>
      <c r="K85" s="344"/>
    </row>
    <row r="86" spans="1:11" x14ac:dyDescent="0.2">
      <c r="A86" s="126"/>
      <c r="B86" s="126"/>
      <c r="C86" s="126"/>
      <c r="D86" s="126"/>
      <c r="E86" s="126"/>
      <c r="F86" s="332"/>
      <c r="G86" s="332"/>
      <c r="H86" s="340"/>
      <c r="I86" s="462" t="s">
        <v>6</v>
      </c>
      <c r="J86" s="346" t="s">
        <v>421</v>
      </c>
      <c r="K86" s="65"/>
    </row>
    <row r="87" spans="1:11" x14ac:dyDescent="0.2">
      <c r="A87" s="126"/>
      <c r="B87" s="126"/>
      <c r="C87" s="126"/>
      <c r="D87" s="126"/>
      <c r="E87" s="126"/>
      <c r="F87" s="126"/>
      <c r="G87" s="126"/>
      <c r="H87" s="126"/>
      <c r="I87" s="126"/>
      <c r="J87" s="65"/>
      <c r="K87" s="65"/>
    </row>
    <row r="88" spans="1:11" ht="13.5" thickBot="1" x14ac:dyDescent="0.25">
      <c r="A88" s="126"/>
      <c r="B88" s="126"/>
      <c r="C88" s="126"/>
      <c r="D88" s="126"/>
      <c r="E88" s="126"/>
      <c r="F88" s="126"/>
      <c r="G88" s="65"/>
      <c r="H88" s="65"/>
      <c r="I88" s="126"/>
      <c r="J88" s="344"/>
      <c r="K88" s="344"/>
    </row>
    <row r="89" spans="1:11" x14ac:dyDescent="0.2">
      <c r="A89" s="126"/>
      <c r="B89" s="126"/>
      <c r="C89" s="126"/>
      <c r="D89" s="126"/>
      <c r="E89" s="126"/>
      <c r="F89" s="333"/>
      <c r="G89" s="126"/>
      <c r="H89" s="126"/>
      <c r="I89" s="126"/>
      <c r="J89" s="64" t="s">
        <v>645</v>
      </c>
      <c r="K89" s="126"/>
    </row>
    <row r="90" spans="1:11" x14ac:dyDescent="0.2">
      <c r="A90" s="126"/>
      <c r="B90" s="126"/>
      <c r="C90" s="330"/>
      <c r="D90" s="330"/>
      <c r="E90" s="336"/>
      <c r="F90" s="331"/>
      <c r="G90" s="332"/>
      <c r="H90" s="332"/>
      <c r="I90" s="462" t="s">
        <v>6</v>
      </c>
      <c r="J90" s="126"/>
      <c r="K90" s="126"/>
    </row>
    <row r="91" spans="1:11" x14ac:dyDescent="0.2">
      <c r="A91" s="126"/>
      <c r="B91" s="126"/>
      <c r="C91" s="332"/>
      <c r="D91" s="332"/>
      <c r="E91" s="340"/>
      <c r="F91" s="335"/>
      <c r="G91" s="126"/>
      <c r="H91" s="337"/>
      <c r="I91" s="126"/>
      <c r="J91" s="126"/>
      <c r="K91" s="126"/>
    </row>
    <row r="92" spans="1:11" ht="13.5" thickBot="1" x14ac:dyDescent="0.25">
      <c r="A92" s="126"/>
      <c r="B92" s="126"/>
      <c r="C92" s="126"/>
      <c r="D92" s="126"/>
      <c r="E92" s="126"/>
      <c r="F92" s="65"/>
      <c r="G92" s="126"/>
      <c r="H92" s="337"/>
      <c r="I92" s="126"/>
      <c r="J92" s="126"/>
      <c r="K92" s="126"/>
    </row>
    <row r="93" spans="1:11" x14ac:dyDescent="0.2">
      <c r="A93" s="126"/>
      <c r="B93" s="126"/>
      <c r="C93" s="354"/>
      <c r="D93" s="126"/>
      <c r="E93" s="126"/>
      <c r="F93" s="338"/>
      <c r="G93" s="126"/>
      <c r="H93" s="337"/>
      <c r="I93" s="341"/>
      <c r="J93" s="342" t="s">
        <v>646</v>
      </c>
      <c r="K93" s="343"/>
    </row>
    <row r="94" spans="1:11" x14ac:dyDescent="0.2">
      <c r="A94" s="126"/>
      <c r="B94" s="126"/>
      <c r="C94" s="330"/>
      <c r="D94" s="330"/>
      <c r="E94" s="336"/>
      <c r="F94" s="339"/>
      <c r="G94" s="126"/>
      <c r="H94" s="340"/>
      <c r="I94" s="463" t="s">
        <v>6</v>
      </c>
      <c r="J94" s="126"/>
      <c r="K94" s="126"/>
    </row>
    <row r="95" spans="1:11" ht="13.5" thickBot="1" x14ac:dyDescent="0.25">
      <c r="A95" s="126"/>
      <c r="B95" s="126"/>
      <c r="C95" s="332"/>
      <c r="D95" s="332"/>
      <c r="E95" s="340"/>
      <c r="F95" s="345"/>
      <c r="G95" s="330"/>
      <c r="H95" s="126"/>
      <c r="I95" s="65"/>
      <c r="J95" s="65"/>
      <c r="K95" s="344"/>
    </row>
    <row r="96" spans="1:11" x14ac:dyDescent="0.2">
      <c r="A96" s="126"/>
      <c r="B96" s="126"/>
      <c r="C96" s="126"/>
      <c r="D96" s="126"/>
      <c r="E96" s="126"/>
      <c r="F96" s="126"/>
      <c r="G96" s="126"/>
      <c r="H96" s="126"/>
      <c r="I96" s="65"/>
      <c r="J96" s="342" t="s">
        <v>647</v>
      </c>
      <c r="K96" s="65"/>
    </row>
    <row r="97" spans="1:11" x14ac:dyDescent="0.2">
      <c r="A97" s="126"/>
      <c r="B97" s="126"/>
      <c r="C97" s="126"/>
      <c r="D97" s="126"/>
      <c r="E97" s="126"/>
      <c r="F97" s="126"/>
      <c r="G97" s="126"/>
      <c r="H97" s="126"/>
      <c r="I97" s="463" t="s">
        <v>6</v>
      </c>
      <c r="J97" s="65"/>
      <c r="K97" s="65"/>
    </row>
    <row r="98" spans="1:11" ht="13.5" thickBot="1" x14ac:dyDescent="0.25">
      <c r="A98" s="126"/>
      <c r="B98" s="126"/>
      <c r="C98" s="126"/>
      <c r="D98" s="126"/>
      <c r="E98" s="126"/>
      <c r="F98" s="330"/>
      <c r="G98" s="330"/>
      <c r="H98" s="336"/>
      <c r="I98" s="344"/>
      <c r="J98" s="364"/>
      <c r="K98" s="344"/>
    </row>
    <row r="99" spans="1:11" x14ac:dyDescent="0.2">
      <c r="A99" s="126"/>
      <c r="B99" s="126"/>
      <c r="C99" s="126"/>
      <c r="D99" s="126"/>
      <c r="E99" s="126"/>
      <c r="F99" s="332"/>
      <c r="G99" s="332"/>
      <c r="H99" s="340"/>
      <c r="I99" s="462" t="s">
        <v>6</v>
      </c>
      <c r="J99" s="346" t="s">
        <v>648</v>
      </c>
      <c r="K99" s="65"/>
    </row>
    <row r="100" spans="1:11" x14ac:dyDescent="0.2">
      <c r="A100" s="126"/>
      <c r="B100" s="126"/>
      <c r="C100" s="126"/>
      <c r="D100" s="126"/>
      <c r="E100" s="126"/>
      <c r="F100" s="126"/>
      <c r="G100" s="126"/>
      <c r="H100" s="126"/>
      <c r="I100" s="126"/>
      <c r="J100" s="65"/>
      <c r="K100" s="65"/>
    </row>
    <row r="101" spans="1:11" ht="13.5" thickBot="1" x14ac:dyDescent="0.25">
      <c r="A101" s="126"/>
      <c r="B101" s="126"/>
      <c r="C101" s="126"/>
      <c r="D101" s="126"/>
      <c r="E101" s="126"/>
      <c r="F101" s="126"/>
      <c r="G101" s="65"/>
      <c r="H101" s="65"/>
      <c r="I101" s="126"/>
      <c r="J101" s="344"/>
      <c r="K101" s="344"/>
    </row>
    <row r="102" spans="1:11" x14ac:dyDescent="0.2">
      <c r="A102" s="126"/>
      <c r="B102" s="126"/>
      <c r="C102" s="126"/>
      <c r="D102" s="126"/>
      <c r="E102" s="126"/>
      <c r="F102" s="126"/>
      <c r="G102" s="65"/>
      <c r="H102" s="65"/>
      <c r="I102" s="126"/>
      <c r="J102" s="64" t="s">
        <v>649</v>
      </c>
      <c r="K102" s="126"/>
    </row>
    <row r="103" spans="1:11" x14ac:dyDescent="0.2">
      <c r="A103" s="126"/>
      <c r="B103" s="126"/>
      <c r="C103" s="126"/>
      <c r="D103" s="126"/>
      <c r="E103" s="126"/>
      <c r="F103" s="126"/>
      <c r="G103" s="65"/>
      <c r="H103" s="65"/>
      <c r="I103" s="126"/>
      <c r="J103" s="64"/>
      <c r="K103" s="126"/>
    </row>
    <row r="104" spans="1:11" s="121" customFormat="1" x14ac:dyDescent="0.2">
      <c r="A104" s="60">
        <v>1</v>
      </c>
      <c r="B104" s="61"/>
    </row>
    <row r="105" spans="1:11" s="121" customFormat="1" x14ac:dyDescent="0.2">
      <c r="A105" s="60">
        <v>2</v>
      </c>
      <c r="B105" s="115"/>
    </row>
    <row r="106" spans="1:11" s="121" customFormat="1" x14ac:dyDescent="0.2">
      <c r="A106" s="60">
        <v>3</v>
      </c>
      <c r="B106" s="92"/>
    </row>
    <row r="107" spans="1:11" s="121" customFormat="1" x14ac:dyDescent="0.2">
      <c r="A107" s="60">
        <v>4</v>
      </c>
      <c r="B107" s="62"/>
    </row>
    <row r="108" spans="1:11" s="121" customFormat="1" x14ac:dyDescent="0.2">
      <c r="A108" s="60">
        <v>5</v>
      </c>
      <c r="B108" s="62"/>
    </row>
    <row r="109" spans="1:11" s="121" customFormat="1" x14ac:dyDescent="0.2">
      <c r="A109" s="60">
        <v>6</v>
      </c>
      <c r="B109" s="62"/>
    </row>
    <row r="110" spans="1:11" s="121" customFormat="1" x14ac:dyDescent="0.2">
      <c r="A110" s="60">
        <v>7</v>
      </c>
      <c r="B110" s="96"/>
    </row>
    <row r="111" spans="1:11" s="121" customFormat="1" x14ac:dyDescent="0.2">
      <c r="A111" s="60">
        <v>8</v>
      </c>
      <c r="B111" s="98"/>
    </row>
    <row r="112" spans="1:11" s="121" customFormat="1" x14ac:dyDescent="0.2">
      <c r="A112" s="60">
        <v>9</v>
      </c>
      <c r="B112" s="122"/>
    </row>
    <row r="113" spans="1:2" x14ac:dyDescent="0.2">
      <c r="A113" s="60">
        <v>10</v>
      </c>
      <c r="B113" s="98"/>
    </row>
    <row r="114" spans="1:2" x14ac:dyDescent="0.2">
      <c r="A114" s="60">
        <v>11</v>
      </c>
      <c r="B114" s="98"/>
    </row>
    <row r="115" spans="1:2" x14ac:dyDescent="0.2">
      <c r="A115" s="60">
        <v>12</v>
      </c>
      <c r="B115" s="122"/>
    </row>
    <row r="116" spans="1:2" x14ac:dyDescent="0.2">
      <c r="A116" s="60">
        <v>13</v>
      </c>
      <c r="B116" s="98"/>
    </row>
    <row r="117" spans="1:2" x14ac:dyDescent="0.2">
      <c r="A117" s="60">
        <v>14</v>
      </c>
      <c r="B117" s="98"/>
    </row>
    <row r="118" spans="1:2" x14ac:dyDescent="0.2">
      <c r="A118" s="60">
        <v>15</v>
      </c>
      <c r="B118" s="122"/>
    </row>
  </sheetData>
  <conditionalFormatting sqref="C11:I12 H7:I10 C17:I18 H13:I16 C23:I24 H19:I22 C29:I62 H25:I28">
    <cfRule type="cellIs" dxfId="44" priority="34" operator="equal">
      <formula>13</formula>
    </cfRule>
  </conditionalFormatting>
  <conditionalFormatting sqref="C67:I99">
    <cfRule type="cellIs" dxfId="43" priority="33" operator="equal">
      <formula>13</formula>
    </cfRule>
  </conditionalFormatting>
  <conditionalFormatting sqref="C7:F9 D10 F10">
    <cfRule type="cellIs" dxfId="42" priority="32" operator="equal">
      <formula>13</formula>
    </cfRule>
  </conditionalFormatting>
  <conditionalFormatting sqref="G7:G10">
    <cfRule type="duplicateValues" dxfId="41" priority="30"/>
    <cfRule type="cellIs" dxfId="40" priority="31" operator="equal">
      <formula>13</formula>
    </cfRule>
  </conditionalFormatting>
  <conditionalFormatting sqref="C7:F9 D10 F10">
    <cfRule type="cellIs" dxfId="39" priority="29" operator="greaterThan">
      <formula>13</formula>
    </cfRule>
  </conditionalFormatting>
  <conditionalFormatting sqref="C10">
    <cfRule type="cellIs" dxfId="38" priority="28" operator="equal">
      <formula>13</formula>
    </cfRule>
  </conditionalFormatting>
  <conditionalFormatting sqref="C10">
    <cfRule type="cellIs" dxfId="37" priority="27" operator="greaterThan">
      <formula>13</formula>
    </cfRule>
  </conditionalFormatting>
  <conditionalFormatting sqref="E10">
    <cfRule type="cellIs" dxfId="36" priority="26" operator="equal">
      <formula>13</formula>
    </cfRule>
  </conditionalFormatting>
  <conditionalFormatting sqref="E10">
    <cfRule type="cellIs" dxfId="35" priority="25" operator="greaterThan">
      <formula>13</formula>
    </cfRule>
  </conditionalFormatting>
  <conditionalFormatting sqref="C13:F15 D16 F16">
    <cfRule type="cellIs" dxfId="34" priority="24" operator="equal">
      <formula>13</formula>
    </cfRule>
  </conditionalFormatting>
  <conditionalFormatting sqref="G13:G16">
    <cfRule type="duplicateValues" dxfId="33" priority="22"/>
    <cfRule type="cellIs" dxfId="32" priority="23" operator="equal">
      <formula>13</formula>
    </cfRule>
  </conditionalFormatting>
  <conditionalFormatting sqref="C13:F15 D16 F16">
    <cfRule type="cellIs" dxfId="31" priority="21" operator="greaterThan">
      <formula>13</formula>
    </cfRule>
  </conditionalFormatting>
  <conditionalFormatting sqref="C16">
    <cfRule type="cellIs" dxfId="30" priority="20" operator="equal">
      <formula>13</formula>
    </cfRule>
  </conditionalFormatting>
  <conditionalFormatting sqref="C16">
    <cfRule type="cellIs" dxfId="29" priority="19" operator="greaterThan">
      <formula>13</formula>
    </cfRule>
  </conditionalFormatting>
  <conditionalFormatting sqref="E16">
    <cfRule type="cellIs" dxfId="28" priority="18" operator="equal">
      <formula>13</formula>
    </cfRule>
  </conditionalFormatting>
  <conditionalFormatting sqref="E16">
    <cfRule type="cellIs" dxfId="27" priority="17" operator="greaterThan">
      <formula>13</formula>
    </cfRule>
  </conditionalFormatting>
  <conditionalFormatting sqref="C19:F21 D22 F22">
    <cfRule type="cellIs" dxfId="26" priority="16" operator="equal">
      <formula>13</formula>
    </cfRule>
  </conditionalFormatting>
  <conditionalFormatting sqref="G19:G22">
    <cfRule type="duplicateValues" dxfId="25" priority="14"/>
    <cfRule type="cellIs" dxfId="24" priority="15" operator="equal">
      <formula>13</formula>
    </cfRule>
  </conditionalFormatting>
  <conditionalFormatting sqref="C19:F21 D22 F22">
    <cfRule type="cellIs" dxfId="23" priority="13" operator="greaterThan">
      <formula>13</formula>
    </cfRule>
  </conditionalFormatting>
  <conditionalFormatting sqref="C22">
    <cfRule type="cellIs" dxfId="22" priority="12" operator="equal">
      <formula>13</formula>
    </cfRule>
  </conditionalFormatting>
  <conditionalFormatting sqref="C22">
    <cfRule type="cellIs" dxfId="21" priority="11" operator="greaterThan">
      <formula>13</formula>
    </cfRule>
  </conditionalFormatting>
  <conditionalFormatting sqref="E22">
    <cfRule type="cellIs" dxfId="20" priority="10" operator="equal">
      <formula>13</formula>
    </cfRule>
  </conditionalFormatting>
  <conditionalFormatting sqref="E22">
    <cfRule type="cellIs" dxfId="19" priority="9" operator="greaterThan">
      <formula>13</formula>
    </cfRule>
  </conditionalFormatting>
  <conditionalFormatting sqref="C25:F27 D28 F28">
    <cfRule type="cellIs" dxfId="18" priority="8" operator="equal">
      <formula>13</formula>
    </cfRule>
  </conditionalFormatting>
  <conditionalFormatting sqref="G25:G28">
    <cfRule type="duplicateValues" dxfId="17" priority="6"/>
    <cfRule type="cellIs" dxfId="16" priority="7" operator="equal">
      <formula>13</formula>
    </cfRule>
  </conditionalFormatting>
  <conditionalFormatting sqref="C25:F27 D28 F28">
    <cfRule type="cellIs" dxfId="15" priority="5" operator="greaterThan">
      <formula>13</formula>
    </cfRule>
  </conditionalFormatting>
  <conditionalFormatting sqref="C28">
    <cfRule type="cellIs" dxfId="14" priority="4" operator="equal">
      <formula>13</formula>
    </cfRule>
  </conditionalFormatting>
  <conditionalFormatting sqref="C28">
    <cfRule type="cellIs" dxfId="13" priority="3" operator="greaterThan">
      <formula>13</formula>
    </cfRule>
  </conditionalFormatting>
  <conditionalFormatting sqref="E28">
    <cfRule type="cellIs" dxfId="12" priority="2" operator="equal">
      <formula>13</formula>
    </cfRule>
  </conditionalFormatting>
  <conditionalFormatting sqref="E28">
    <cfRule type="cellIs" dxfId="11" priority="1" operator="greaterThan">
      <formula>13</formula>
    </cfRule>
  </conditionalFormatting>
  <pageMargins left="0.39370078740157483" right="0.39370078740157483" top="0.78740157480314965" bottom="0.31496062992125984" header="0.59055118110236227" footer="0"/>
  <pageSetup paperSize="9" fitToHeight="0" orientation="landscape" r:id="rId1"/>
  <headerFooter>
    <oddHeader>&amp;RPage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J63"/>
  <sheetViews>
    <sheetView showGridLines="0" showRowColHeaders="0" zoomScaleNormal="100" workbookViewId="0">
      <pane ySplit="2" topLeftCell="A3" activePane="bottomLeft" state="frozen"/>
      <selection activeCell="J1" sqref="J1"/>
      <selection pane="bottomLeft" activeCell="B1" sqref="B1"/>
    </sheetView>
  </sheetViews>
  <sheetFormatPr defaultRowHeight="12.75" x14ac:dyDescent="0.2"/>
  <cols>
    <col min="1" max="1" width="48.140625" style="206" bestFit="1" customWidth="1"/>
    <col min="2" max="2" width="7.5703125" style="206" customWidth="1"/>
    <col min="3" max="3" width="3" style="206" bestFit="1" customWidth="1"/>
    <col min="4" max="4" width="4" style="206" customWidth="1"/>
    <col min="5" max="5" width="1.5703125" style="206" customWidth="1"/>
    <col min="6" max="6" width="4" style="206" bestFit="1" customWidth="1"/>
    <col min="7" max="7" width="3" style="206" bestFit="1" customWidth="1"/>
    <col min="8" max="8" width="7.5703125" style="206" customWidth="1"/>
    <col min="9" max="9" width="61.7109375" style="206" bestFit="1" customWidth="1"/>
    <col min="10" max="16384" width="9.140625" style="206"/>
  </cols>
  <sheetData>
    <row r="1" spans="1:10" x14ac:dyDescent="0.2">
      <c r="A1" s="117" t="str">
        <f>UPPER(((Kalend!C27)&amp;" - "&amp;(Kalend!D27)))</f>
        <v>24. EESTI-SOOME MAAVÕISTLUS - TRIO (M,N,55+,J)</v>
      </c>
      <c r="H1" s="85" t="str">
        <f>HYPERLINK("#Üldreiting!I1","Reiting")</f>
        <v>Reiting</v>
      </c>
      <c r="J1" s="85"/>
    </row>
    <row r="2" spans="1:10" x14ac:dyDescent="0.2">
      <c r="A2" s="116" t="str">
        <f>"Toimumisaeg: "&amp;(Kalend!A27)&amp;" kell "&amp;(Kalend!B27)</f>
        <v xml:space="preserve">Toimumisaeg: L, 09.09.2017 kell </v>
      </c>
    </row>
    <row r="3" spans="1:10" x14ac:dyDescent="0.2">
      <c r="A3" s="116" t="str">
        <f>"Toimumiskoht: "&amp;(Kalend!H27)</f>
        <v>Toimumiskoht: Tallinna petangihall, Algi 38</v>
      </c>
    </row>
    <row r="4" spans="1:10" x14ac:dyDescent="0.2">
      <c r="A4" s="116" t="str">
        <f>"Korraldaja: "&amp;(Kalend!I27)</f>
        <v>Korraldaja: EPKL</v>
      </c>
    </row>
    <row r="5" spans="1:10" x14ac:dyDescent="0.2">
      <c r="B5" s="99"/>
      <c r="C5" s="99"/>
      <c r="D5" s="99"/>
      <c r="E5" s="99"/>
      <c r="F5" s="99"/>
      <c r="G5" s="99"/>
      <c r="H5" s="99"/>
      <c r="I5" s="99"/>
    </row>
    <row r="6" spans="1:10" x14ac:dyDescent="0.2">
      <c r="A6" s="848" t="s">
        <v>616</v>
      </c>
      <c r="B6" s="844" t="s">
        <v>965</v>
      </c>
      <c r="C6" s="844" t="s">
        <v>199</v>
      </c>
      <c r="D6" s="845"/>
      <c r="E6" s="974" t="s">
        <v>700</v>
      </c>
      <c r="F6" s="846"/>
      <c r="G6" s="844" t="s">
        <v>199</v>
      </c>
      <c r="H6" s="847" t="s">
        <v>966</v>
      </c>
      <c r="I6" s="844"/>
    </row>
    <row r="7" spans="1:10" x14ac:dyDescent="0.2">
      <c r="A7" s="25" t="s">
        <v>968</v>
      </c>
      <c r="B7" s="223" t="s">
        <v>962</v>
      </c>
      <c r="C7" s="852">
        <f>IF(D7&gt;F7,1,0)</f>
        <v>1</v>
      </c>
      <c r="D7" s="841">
        <v>13</v>
      </c>
      <c r="E7" s="842" t="s">
        <v>787</v>
      </c>
      <c r="F7" s="843">
        <v>0</v>
      </c>
      <c r="G7" s="853">
        <f>IF(F7&gt;D7,1,0)</f>
        <v>0</v>
      </c>
      <c r="H7" s="223" t="s">
        <v>30</v>
      </c>
      <c r="I7" s="840" t="s">
        <v>975</v>
      </c>
    </row>
    <row r="8" spans="1:10" x14ac:dyDescent="0.2">
      <c r="A8" s="840" t="s">
        <v>876</v>
      </c>
      <c r="B8" s="223" t="s">
        <v>963</v>
      </c>
      <c r="C8" s="852">
        <f t="shared" ref="C8:C12" si="0">IF(D8&gt;F8,1,0)</f>
        <v>0</v>
      </c>
      <c r="D8" s="841">
        <v>11</v>
      </c>
      <c r="E8" s="842" t="s">
        <v>787</v>
      </c>
      <c r="F8" s="843">
        <v>13</v>
      </c>
      <c r="G8" s="853">
        <f t="shared" ref="G8:G12" si="1">IF(F8&gt;D8,1,0)</f>
        <v>1</v>
      </c>
      <c r="H8" s="223" t="s">
        <v>962</v>
      </c>
      <c r="I8" s="840" t="s">
        <v>976</v>
      </c>
    </row>
    <row r="9" spans="1:10" x14ac:dyDescent="0.2">
      <c r="A9" s="840" t="s">
        <v>969</v>
      </c>
      <c r="B9" s="223" t="s">
        <v>964</v>
      </c>
      <c r="C9" s="852">
        <f t="shared" si="0"/>
        <v>0</v>
      </c>
      <c r="D9" s="841">
        <v>5</v>
      </c>
      <c r="E9" s="842" t="s">
        <v>787</v>
      </c>
      <c r="F9" s="843">
        <v>13</v>
      </c>
      <c r="G9" s="853">
        <f t="shared" si="1"/>
        <v>1</v>
      </c>
      <c r="H9" s="223" t="s">
        <v>963</v>
      </c>
      <c r="I9" s="25" t="s">
        <v>977</v>
      </c>
    </row>
    <row r="10" spans="1:10" x14ac:dyDescent="0.2">
      <c r="A10" s="25" t="s">
        <v>970</v>
      </c>
      <c r="B10" s="223" t="s">
        <v>967</v>
      </c>
      <c r="C10" s="852">
        <f t="shared" si="0"/>
        <v>1</v>
      </c>
      <c r="D10" s="849">
        <v>11</v>
      </c>
      <c r="E10" s="842" t="s">
        <v>787</v>
      </c>
      <c r="F10" s="843">
        <v>10</v>
      </c>
      <c r="G10" s="853">
        <f t="shared" si="1"/>
        <v>0</v>
      </c>
      <c r="H10" s="223" t="s">
        <v>964</v>
      </c>
      <c r="I10" s="840" t="s">
        <v>978</v>
      </c>
    </row>
    <row r="11" spans="1:10" x14ac:dyDescent="0.2">
      <c r="A11" s="25" t="s">
        <v>971</v>
      </c>
      <c r="B11" s="223" t="s">
        <v>29</v>
      </c>
      <c r="C11" s="852">
        <f t="shared" si="0"/>
        <v>1</v>
      </c>
      <c r="D11" s="841">
        <v>13</v>
      </c>
      <c r="E11" s="842" t="s">
        <v>787</v>
      </c>
      <c r="F11" s="843">
        <v>2</v>
      </c>
      <c r="G11" s="853">
        <f t="shared" si="1"/>
        <v>0</v>
      </c>
      <c r="H11" s="223" t="s">
        <v>967</v>
      </c>
      <c r="I11" s="840" t="s">
        <v>973</v>
      </c>
    </row>
    <row r="12" spans="1:10" x14ac:dyDescent="0.2">
      <c r="A12" s="25" t="s">
        <v>972</v>
      </c>
      <c r="B12" s="223" t="s">
        <v>30</v>
      </c>
      <c r="C12" s="852">
        <f t="shared" si="0"/>
        <v>0</v>
      </c>
      <c r="D12" s="841">
        <v>1</v>
      </c>
      <c r="E12" s="842" t="s">
        <v>787</v>
      </c>
      <c r="F12" s="843">
        <v>13</v>
      </c>
      <c r="G12" s="853">
        <f t="shared" si="1"/>
        <v>1</v>
      </c>
      <c r="H12" s="223" t="s">
        <v>29</v>
      </c>
      <c r="I12" s="840" t="s">
        <v>974</v>
      </c>
    </row>
    <row r="13" spans="1:10" s="207" customFormat="1" x14ac:dyDescent="0.2">
      <c r="A13" s="225"/>
      <c r="B13" s="226" t="s">
        <v>223</v>
      </c>
      <c r="C13" s="855">
        <f>SUM(C7:C12)</f>
        <v>3</v>
      </c>
      <c r="D13" s="856">
        <f>SUM(D7:D12)</f>
        <v>54</v>
      </c>
      <c r="E13" s="857" t="s">
        <v>787</v>
      </c>
      <c r="F13" s="858">
        <f>SUM(F7:F12)</f>
        <v>51</v>
      </c>
      <c r="G13" s="855">
        <f>SUM(G7:G12)</f>
        <v>3</v>
      </c>
      <c r="H13" s="225"/>
      <c r="I13" s="224"/>
    </row>
    <row r="14" spans="1:10" x14ac:dyDescent="0.2">
      <c r="B14" s="99"/>
      <c r="C14" s="99"/>
      <c r="D14" s="99"/>
      <c r="E14" s="99"/>
      <c r="F14" s="99"/>
      <c r="G14" s="99"/>
      <c r="H14" s="99"/>
      <c r="I14" s="99"/>
    </row>
    <row r="15" spans="1:10" x14ac:dyDescent="0.2">
      <c r="A15" s="848" t="s">
        <v>619</v>
      </c>
      <c r="B15" s="844" t="s">
        <v>965</v>
      </c>
      <c r="C15" s="844" t="s">
        <v>199</v>
      </c>
      <c r="D15" s="845"/>
      <c r="E15" s="974" t="s">
        <v>700</v>
      </c>
      <c r="F15" s="846"/>
      <c r="G15" s="844" t="s">
        <v>199</v>
      </c>
      <c r="H15" s="847" t="s">
        <v>966</v>
      </c>
      <c r="I15" s="844"/>
    </row>
    <row r="16" spans="1:10" x14ac:dyDescent="0.2">
      <c r="A16" s="25" t="s">
        <v>968</v>
      </c>
      <c r="B16" s="223" t="s">
        <v>962</v>
      </c>
      <c r="C16" s="852">
        <f>IF(D16&gt;F16,1,0)</f>
        <v>1</v>
      </c>
      <c r="D16" s="841">
        <v>13</v>
      </c>
      <c r="E16" s="842" t="s">
        <v>787</v>
      </c>
      <c r="F16" s="843">
        <v>6</v>
      </c>
      <c r="G16" s="853">
        <f>IF(F16&gt;D16,1,0)</f>
        <v>0</v>
      </c>
      <c r="H16" s="223" t="s">
        <v>29</v>
      </c>
      <c r="I16" s="840" t="s">
        <v>974</v>
      </c>
    </row>
    <row r="17" spans="1:9" x14ac:dyDescent="0.2">
      <c r="A17" s="840" t="s">
        <v>876</v>
      </c>
      <c r="B17" s="223" t="s">
        <v>963</v>
      </c>
      <c r="C17" s="852">
        <f t="shared" ref="C17:C21" si="2">IF(D17&gt;F17,1,0)</f>
        <v>1</v>
      </c>
      <c r="D17" s="841">
        <v>13</v>
      </c>
      <c r="E17" s="842" t="s">
        <v>787</v>
      </c>
      <c r="F17" s="843">
        <v>4</v>
      </c>
      <c r="G17" s="853">
        <f t="shared" ref="G17:G21" si="3">IF(F17&gt;D17,1,0)</f>
        <v>0</v>
      </c>
      <c r="H17" s="223" t="s">
        <v>30</v>
      </c>
      <c r="I17" s="840" t="s">
        <v>975</v>
      </c>
    </row>
    <row r="18" spans="1:9" x14ac:dyDescent="0.2">
      <c r="A18" s="840" t="s">
        <v>969</v>
      </c>
      <c r="B18" s="223" t="s">
        <v>964</v>
      </c>
      <c r="C18" s="852">
        <f t="shared" si="2"/>
        <v>1</v>
      </c>
      <c r="D18" s="841">
        <v>13</v>
      </c>
      <c r="E18" s="842" t="s">
        <v>787</v>
      </c>
      <c r="F18" s="843">
        <v>5</v>
      </c>
      <c r="G18" s="853">
        <f t="shared" si="3"/>
        <v>0</v>
      </c>
      <c r="H18" s="223" t="s">
        <v>962</v>
      </c>
      <c r="I18" s="840" t="s">
        <v>976</v>
      </c>
    </row>
    <row r="19" spans="1:9" x14ac:dyDescent="0.2">
      <c r="A19" s="25" t="s">
        <v>970</v>
      </c>
      <c r="B19" s="223" t="s">
        <v>967</v>
      </c>
      <c r="C19" s="852">
        <f t="shared" si="2"/>
        <v>0</v>
      </c>
      <c r="D19" s="841">
        <v>9</v>
      </c>
      <c r="E19" s="842" t="s">
        <v>787</v>
      </c>
      <c r="F19" s="850">
        <v>10</v>
      </c>
      <c r="G19" s="853">
        <f t="shared" si="3"/>
        <v>1</v>
      </c>
      <c r="H19" s="223" t="s">
        <v>963</v>
      </c>
      <c r="I19" s="25" t="s">
        <v>977</v>
      </c>
    </row>
    <row r="20" spans="1:9" x14ac:dyDescent="0.2">
      <c r="A20" s="25" t="s">
        <v>971</v>
      </c>
      <c r="B20" s="223" t="s">
        <v>29</v>
      </c>
      <c r="C20" s="852">
        <f t="shared" si="2"/>
        <v>0</v>
      </c>
      <c r="D20" s="841">
        <v>7</v>
      </c>
      <c r="E20" s="842" t="s">
        <v>787</v>
      </c>
      <c r="F20" s="843">
        <v>13</v>
      </c>
      <c r="G20" s="853">
        <f t="shared" si="3"/>
        <v>1</v>
      </c>
      <c r="H20" s="223" t="s">
        <v>964</v>
      </c>
      <c r="I20" s="840" t="s">
        <v>978</v>
      </c>
    </row>
    <row r="21" spans="1:9" x14ac:dyDescent="0.2">
      <c r="A21" s="25" t="s">
        <v>972</v>
      </c>
      <c r="B21" s="223" t="s">
        <v>30</v>
      </c>
      <c r="C21" s="852">
        <f t="shared" si="2"/>
        <v>0</v>
      </c>
      <c r="D21" s="841">
        <v>6</v>
      </c>
      <c r="E21" s="842" t="s">
        <v>787</v>
      </c>
      <c r="F21" s="843">
        <v>13</v>
      </c>
      <c r="G21" s="853">
        <f t="shared" si="3"/>
        <v>1</v>
      </c>
      <c r="H21" s="223" t="s">
        <v>967</v>
      </c>
      <c r="I21" s="840" t="s">
        <v>973</v>
      </c>
    </row>
    <row r="22" spans="1:9" s="207" customFormat="1" x14ac:dyDescent="0.2">
      <c r="A22" s="225"/>
      <c r="B22" s="226" t="s">
        <v>223</v>
      </c>
      <c r="C22" s="855">
        <f>SUM(C16:C21)</f>
        <v>3</v>
      </c>
      <c r="D22" s="856">
        <f>SUM(D16:D21)</f>
        <v>61</v>
      </c>
      <c r="E22" s="857" t="s">
        <v>787</v>
      </c>
      <c r="F22" s="858">
        <f>SUM(F16:F21)</f>
        <v>51</v>
      </c>
      <c r="G22" s="855">
        <f>SUM(G16:G21)</f>
        <v>3</v>
      </c>
      <c r="H22" s="225"/>
      <c r="I22" s="224"/>
    </row>
    <row r="23" spans="1:9" x14ac:dyDescent="0.2">
      <c r="B23" s="228" t="s">
        <v>28</v>
      </c>
      <c r="C23" s="859">
        <f>C13+C22</f>
        <v>6</v>
      </c>
      <c r="D23" s="860">
        <f>D13+D22</f>
        <v>115</v>
      </c>
      <c r="E23" s="861" t="s">
        <v>787</v>
      </c>
      <c r="F23" s="862">
        <f>F13+F22</f>
        <v>102</v>
      </c>
      <c r="G23" s="859">
        <f>G13+G22</f>
        <v>6</v>
      </c>
    </row>
    <row r="24" spans="1:9" x14ac:dyDescent="0.2">
      <c r="B24" s="99"/>
      <c r="C24" s="99"/>
      <c r="D24" s="99"/>
      <c r="E24" s="99"/>
      <c r="F24" s="99"/>
      <c r="G24" s="99"/>
      <c r="H24" s="99"/>
      <c r="I24" s="99"/>
    </row>
    <row r="25" spans="1:9" x14ac:dyDescent="0.2">
      <c r="A25" s="848" t="s">
        <v>622</v>
      </c>
      <c r="B25" s="844" t="s">
        <v>965</v>
      </c>
      <c r="C25" s="844" t="s">
        <v>199</v>
      </c>
      <c r="D25" s="845"/>
      <c r="E25" s="974" t="s">
        <v>700</v>
      </c>
      <c r="F25" s="846"/>
      <c r="G25" s="844" t="s">
        <v>199</v>
      </c>
      <c r="H25" s="847" t="s">
        <v>966</v>
      </c>
      <c r="I25" s="844"/>
    </row>
    <row r="26" spans="1:9" x14ac:dyDescent="0.2">
      <c r="A26" s="25" t="s">
        <v>968</v>
      </c>
      <c r="B26" s="223" t="s">
        <v>962</v>
      </c>
      <c r="C26" s="852">
        <f>IF(D26&gt;F26,1,0)</f>
        <v>1</v>
      </c>
      <c r="D26" s="841">
        <v>13</v>
      </c>
      <c r="E26" s="842" t="s">
        <v>787</v>
      </c>
      <c r="F26" s="843">
        <v>6</v>
      </c>
      <c r="G26" s="853">
        <f>IF(F26&gt;D26,1,0)</f>
        <v>0</v>
      </c>
      <c r="H26" s="223" t="s">
        <v>967</v>
      </c>
      <c r="I26" s="840" t="s">
        <v>973</v>
      </c>
    </row>
    <row r="27" spans="1:9" x14ac:dyDescent="0.2">
      <c r="A27" s="840" t="s">
        <v>876</v>
      </c>
      <c r="B27" s="223" t="s">
        <v>963</v>
      </c>
      <c r="C27" s="852">
        <f t="shared" ref="C27:C31" si="4">IF(D27&gt;F27,1,0)</f>
        <v>1</v>
      </c>
      <c r="D27" s="849">
        <v>11</v>
      </c>
      <c r="E27" s="842" t="s">
        <v>787</v>
      </c>
      <c r="F27" s="843">
        <v>5</v>
      </c>
      <c r="G27" s="853">
        <f t="shared" ref="G27:G31" si="5">IF(F27&gt;D27,1,0)</f>
        <v>0</v>
      </c>
      <c r="H27" s="223" t="s">
        <v>29</v>
      </c>
      <c r="I27" s="840" t="s">
        <v>974</v>
      </c>
    </row>
    <row r="28" spans="1:9" x14ac:dyDescent="0.2">
      <c r="A28" s="840" t="s">
        <v>969</v>
      </c>
      <c r="B28" s="223" t="s">
        <v>964</v>
      </c>
      <c r="C28" s="852">
        <f t="shared" si="4"/>
        <v>1</v>
      </c>
      <c r="D28" s="841">
        <v>13</v>
      </c>
      <c r="E28" s="842" t="s">
        <v>787</v>
      </c>
      <c r="F28" s="843">
        <v>5</v>
      </c>
      <c r="G28" s="853">
        <f t="shared" si="5"/>
        <v>0</v>
      </c>
      <c r="H28" s="223" t="s">
        <v>30</v>
      </c>
      <c r="I28" s="840" t="s">
        <v>975</v>
      </c>
    </row>
    <row r="29" spans="1:9" x14ac:dyDescent="0.2">
      <c r="A29" s="25" t="s">
        <v>970</v>
      </c>
      <c r="B29" s="223" t="s">
        <v>967</v>
      </c>
      <c r="C29" s="852">
        <f t="shared" si="4"/>
        <v>0</v>
      </c>
      <c r="D29" s="841">
        <v>1</v>
      </c>
      <c r="E29" s="842" t="s">
        <v>787</v>
      </c>
      <c r="F29" s="843">
        <v>13</v>
      </c>
      <c r="G29" s="853">
        <f t="shared" si="5"/>
        <v>1</v>
      </c>
      <c r="H29" s="223" t="s">
        <v>962</v>
      </c>
      <c r="I29" s="840" t="s">
        <v>976</v>
      </c>
    </row>
    <row r="30" spans="1:9" x14ac:dyDescent="0.2">
      <c r="A30" s="25" t="s">
        <v>971</v>
      </c>
      <c r="B30" s="223" t="s">
        <v>29</v>
      </c>
      <c r="C30" s="852">
        <f t="shared" si="4"/>
        <v>0</v>
      </c>
      <c r="D30" s="841">
        <v>2</v>
      </c>
      <c r="E30" s="842" t="s">
        <v>787</v>
      </c>
      <c r="F30" s="843">
        <v>13</v>
      </c>
      <c r="G30" s="853">
        <f t="shared" si="5"/>
        <v>1</v>
      </c>
      <c r="H30" s="223" t="s">
        <v>963</v>
      </c>
      <c r="I30" s="25" t="s">
        <v>977</v>
      </c>
    </row>
    <row r="31" spans="1:9" x14ac:dyDescent="0.2">
      <c r="A31" s="25" t="s">
        <v>972</v>
      </c>
      <c r="B31" s="223" t="s">
        <v>30</v>
      </c>
      <c r="C31" s="852">
        <f t="shared" si="4"/>
        <v>0</v>
      </c>
      <c r="D31" s="841">
        <v>1</v>
      </c>
      <c r="E31" s="842" t="s">
        <v>787</v>
      </c>
      <c r="F31" s="843">
        <v>13</v>
      </c>
      <c r="G31" s="853">
        <f t="shared" si="5"/>
        <v>1</v>
      </c>
      <c r="H31" s="223" t="s">
        <v>964</v>
      </c>
      <c r="I31" s="840" t="s">
        <v>978</v>
      </c>
    </row>
    <row r="32" spans="1:9" s="207" customFormat="1" x14ac:dyDescent="0.2">
      <c r="A32" s="225"/>
      <c r="B32" s="226" t="s">
        <v>223</v>
      </c>
      <c r="C32" s="855">
        <f>SUM(C26:C31)</f>
        <v>3</v>
      </c>
      <c r="D32" s="856">
        <f>SUM(D26:D31)</f>
        <v>41</v>
      </c>
      <c r="E32" s="857" t="s">
        <v>787</v>
      </c>
      <c r="F32" s="858">
        <f>SUM(F26:F31)</f>
        <v>55</v>
      </c>
      <c r="G32" s="855">
        <f>SUM(G26:G31)</f>
        <v>3</v>
      </c>
      <c r="H32" s="225"/>
      <c r="I32" s="224"/>
    </row>
    <row r="33" spans="1:9" x14ac:dyDescent="0.2">
      <c r="B33" s="228" t="s">
        <v>28</v>
      </c>
      <c r="C33" s="859">
        <f>C23+C32</f>
        <v>9</v>
      </c>
      <c r="D33" s="860">
        <f>D23+D32</f>
        <v>156</v>
      </c>
      <c r="E33" s="861" t="s">
        <v>787</v>
      </c>
      <c r="F33" s="862">
        <f>F23+F32</f>
        <v>157</v>
      </c>
      <c r="G33" s="859">
        <f>G23+G32</f>
        <v>9</v>
      </c>
    </row>
    <row r="34" spans="1:9" x14ac:dyDescent="0.2">
      <c r="B34" s="99"/>
      <c r="C34" s="99"/>
      <c r="D34" s="99"/>
      <c r="E34" s="99"/>
      <c r="F34" s="99"/>
      <c r="G34" s="99"/>
      <c r="H34" s="99"/>
      <c r="I34" s="99"/>
    </row>
    <row r="35" spans="1:9" x14ac:dyDescent="0.2">
      <c r="A35" s="848" t="s">
        <v>625</v>
      </c>
      <c r="B35" s="844" t="s">
        <v>965</v>
      </c>
      <c r="C35" s="844" t="s">
        <v>199</v>
      </c>
      <c r="D35" s="845"/>
      <c r="E35" s="974" t="s">
        <v>700</v>
      </c>
      <c r="F35" s="846"/>
      <c r="G35" s="844" t="s">
        <v>199</v>
      </c>
      <c r="H35" s="847" t="s">
        <v>966</v>
      </c>
      <c r="I35" s="844"/>
    </row>
    <row r="36" spans="1:9" x14ac:dyDescent="0.2">
      <c r="A36" s="25" t="s">
        <v>968</v>
      </c>
      <c r="B36" s="223" t="s">
        <v>962</v>
      </c>
      <c r="C36" s="852">
        <f>IF(D36&gt;F36,1,0)</f>
        <v>1</v>
      </c>
      <c r="D36" s="841">
        <v>13</v>
      </c>
      <c r="E36" s="842" t="s">
        <v>787</v>
      </c>
      <c r="F36" s="843">
        <v>4</v>
      </c>
      <c r="G36" s="853">
        <f>IF(F36&gt;D36,1,0)</f>
        <v>0</v>
      </c>
      <c r="H36" s="223" t="s">
        <v>964</v>
      </c>
      <c r="I36" s="840" t="s">
        <v>978</v>
      </c>
    </row>
    <row r="37" spans="1:9" x14ac:dyDescent="0.2">
      <c r="A37" s="840" t="s">
        <v>876</v>
      </c>
      <c r="B37" s="223" t="s">
        <v>963</v>
      </c>
      <c r="C37" s="852">
        <f t="shared" ref="C37:C41" si="6">IF(D37&gt;F37,1,0)</f>
        <v>0</v>
      </c>
      <c r="D37" s="841">
        <v>1</v>
      </c>
      <c r="E37" s="842" t="s">
        <v>787</v>
      </c>
      <c r="F37" s="843">
        <v>13</v>
      </c>
      <c r="G37" s="853">
        <f t="shared" ref="G37:G41" si="7">IF(F37&gt;D37,1,0)</f>
        <v>1</v>
      </c>
      <c r="H37" s="223" t="s">
        <v>967</v>
      </c>
      <c r="I37" s="840" t="s">
        <v>973</v>
      </c>
    </row>
    <row r="38" spans="1:9" x14ac:dyDescent="0.2">
      <c r="A38" s="840" t="s">
        <v>969</v>
      </c>
      <c r="B38" s="223" t="s">
        <v>964</v>
      </c>
      <c r="C38" s="852">
        <f t="shared" si="6"/>
        <v>1</v>
      </c>
      <c r="D38" s="849">
        <v>11</v>
      </c>
      <c r="E38" s="842" t="s">
        <v>787</v>
      </c>
      <c r="F38" s="843">
        <v>9</v>
      </c>
      <c r="G38" s="853">
        <f t="shared" si="7"/>
        <v>0</v>
      </c>
      <c r="H38" s="223" t="s">
        <v>29</v>
      </c>
      <c r="I38" s="840" t="s">
        <v>974</v>
      </c>
    </row>
    <row r="39" spans="1:9" x14ac:dyDescent="0.2">
      <c r="A39" s="25" t="s">
        <v>970</v>
      </c>
      <c r="B39" s="223" t="s">
        <v>967</v>
      </c>
      <c r="C39" s="852">
        <f t="shared" si="6"/>
        <v>1</v>
      </c>
      <c r="D39" s="841">
        <v>13</v>
      </c>
      <c r="E39" s="842" t="s">
        <v>787</v>
      </c>
      <c r="F39" s="843">
        <v>2</v>
      </c>
      <c r="G39" s="853">
        <f t="shared" si="7"/>
        <v>0</v>
      </c>
      <c r="H39" s="223" t="s">
        <v>30</v>
      </c>
      <c r="I39" s="840" t="s">
        <v>975</v>
      </c>
    </row>
    <row r="40" spans="1:9" x14ac:dyDescent="0.2">
      <c r="A40" s="25" t="s">
        <v>971</v>
      </c>
      <c r="B40" s="223" t="s">
        <v>29</v>
      </c>
      <c r="C40" s="852">
        <f t="shared" si="6"/>
        <v>0</v>
      </c>
      <c r="D40" s="841">
        <v>7</v>
      </c>
      <c r="E40" s="842" t="s">
        <v>787</v>
      </c>
      <c r="F40" s="843">
        <v>13</v>
      </c>
      <c r="G40" s="853">
        <f t="shared" si="7"/>
        <v>1</v>
      </c>
      <c r="H40" s="223" t="s">
        <v>962</v>
      </c>
      <c r="I40" s="840" t="s">
        <v>976</v>
      </c>
    </row>
    <row r="41" spans="1:9" x14ac:dyDescent="0.2">
      <c r="A41" s="25" t="s">
        <v>972</v>
      </c>
      <c r="B41" s="223" t="s">
        <v>30</v>
      </c>
      <c r="C41" s="265">
        <f t="shared" si="6"/>
        <v>0</v>
      </c>
      <c r="D41" s="841">
        <v>3</v>
      </c>
      <c r="E41" s="842" t="s">
        <v>787</v>
      </c>
      <c r="F41" s="843">
        <v>13</v>
      </c>
      <c r="G41" s="853">
        <f t="shared" si="7"/>
        <v>1</v>
      </c>
      <c r="H41" s="223" t="s">
        <v>963</v>
      </c>
      <c r="I41" s="25" t="s">
        <v>977</v>
      </c>
    </row>
    <row r="42" spans="1:9" x14ac:dyDescent="0.2">
      <c r="A42" s="225"/>
      <c r="B42" s="226" t="s">
        <v>223</v>
      </c>
      <c r="C42" s="855">
        <f>SUM(C36:C41)</f>
        <v>3</v>
      </c>
      <c r="D42" s="856">
        <f>SUM(D36:D41)</f>
        <v>48</v>
      </c>
      <c r="E42" s="857" t="s">
        <v>787</v>
      </c>
      <c r="F42" s="858">
        <f>SUM(F36:F41)</f>
        <v>54</v>
      </c>
      <c r="G42" s="855">
        <f>SUM(G36:G41)</f>
        <v>3</v>
      </c>
      <c r="H42" s="225"/>
      <c r="I42" s="224"/>
    </row>
    <row r="43" spans="1:9" x14ac:dyDescent="0.2">
      <c r="B43" s="228" t="s">
        <v>28</v>
      </c>
      <c r="C43" s="859">
        <f>C33+C42</f>
        <v>12</v>
      </c>
      <c r="D43" s="860">
        <f>D33+D42</f>
        <v>204</v>
      </c>
      <c r="E43" s="861" t="s">
        <v>787</v>
      </c>
      <c r="F43" s="862">
        <f>F33+F42</f>
        <v>211</v>
      </c>
      <c r="G43" s="859">
        <f>G33+G42</f>
        <v>12</v>
      </c>
    </row>
    <row r="44" spans="1:9" x14ac:dyDescent="0.2">
      <c r="B44" s="99"/>
      <c r="C44" s="99"/>
      <c r="D44" s="99"/>
      <c r="E44" s="99"/>
      <c r="F44" s="99"/>
      <c r="G44" s="99"/>
      <c r="H44" s="99"/>
      <c r="I44" s="99"/>
    </row>
    <row r="45" spans="1:9" x14ac:dyDescent="0.2">
      <c r="A45" s="848" t="s">
        <v>628</v>
      </c>
      <c r="B45" s="844" t="s">
        <v>965</v>
      </c>
      <c r="C45" s="844" t="s">
        <v>199</v>
      </c>
      <c r="D45" s="845"/>
      <c r="E45" s="974" t="s">
        <v>700</v>
      </c>
      <c r="F45" s="846"/>
      <c r="G45" s="844" t="s">
        <v>199</v>
      </c>
      <c r="H45" s="847" t="s">
        <v>966</v>
      </c>
      <c r="I45" s="844"/>
    </row>
    <row r="46" spans="1:9" x14ac:dyDescent="0.2">
      <c r="A46" s="25" t="s">
        <v>968</v>
      </c>
      <c r="B46" s="223" t="s">
        <v>962</v>
      </c>
      <c r="C46" s="852">
        <f>IF(D46&gt;F46,1,0)</f>
        <v>0</v>
      </c>
      <c r="D46" s="841">
        <v>11</v>
      </c>
      <c r="E46" s="842" t="s">
        <v>787</v>
      </c>
      <c r="F46" s="843">
        <v>13</v>
      </c>
      <c r="G46" s="853">
        <f>IF(F46&gt;D46,1,0)</f>
        <v>1</v>
      </c>
      <c r="H46" s="223" t="s">
        <v>963</v>
      </c>
      <c r="I46" s="25" t="s">
        <v>977</v>
      </c>
    </row>
    <row r="47" spans="1:9" x14ac:dyDescent="0.2">
      <c r="A47" s="840" t="s">
        <v>876</v>
      </c>
      <c r="B47" s="223" t="s">
        <v>963</v>
      </c>
      <c r="C47" s="852">
        <f t="shared" ref="C47:C51" si="8">IF(D47&gt;F47,1,0)</f>
        <v>0</v>
      </c>
      <c r="D47" s="841">
        <v>5</v>
      </c>
      <c r="E47" s="842" t="s">
        <v>787</v>
      </c>
      <c r="F47" s="850">
        <v>6</v>
      </c>
      <c r="G47" s="853">
        <f t="shared" ref="G47:G51" si="9">IF(F47&gt;D47,1,0)</f>
        <v>1</v>
      </c>
      <c r="H47" s="223" t="s">
        <v>964</v>
      </c>
      <c r="I47" s="840" t="s">
        <v>978</v>
      </c>
    </row>
    <row r="48" spans="1:9" x14ac:dyDescent="0.2">
      <c r="A48" s="840" t="s">
        <v>969</v>
      </c>
      <c r="B48" s="223" t="s">
        <v>964</v>
      </c>
      <c r="C48" s="852">
        <f t="shared" si="8"/>
        <v>0</v>
      </c>
      <c r="D48" s="841">
        <v>0</v>
      </c>
      <c r="E48" s="842" t="s">
        <v>787</v>
      </c>
      <c r="F48" s="843">
        <v>13</v>
      </c>
      <c r="G48" s="853">
        <f t="shared" si="9"/>
        <v>1</v>
      </c>
      <c r="H48" s="223" t="s">
        <v>967</v>
      </c>
      <c r="I48" s="840" t="s">
        <v>973</v>
      </c>
    </row>
    <row r="49" spans="1:9" x14ac:dyDescent="0.2">
      <c r="A49" s="25" t="s">
        <v>970</v>
      </c>
      <c r="B49" s="223" t="s">
        <v>967</v>
      </c>
      <c r="C49" s="852">
        <f t="shared" si="8"/>
        <v>1</v>
      </c>
      <c r="D49" s="841">
        <v>13</v>
      </c>
      <c r="E49" s="842" t="s">
        <v>787</v>
      </c>
      <c r="F49" s="843">
        <v>4</v>
      </c>
      <c r="G49" s="853">
        <f t="shared" si="9"/>
        <v>0</v>
      </c>
      <c r="H49" s="223" t="s">
        <v>29</v>
      </c>
      <c r="I49" s="840" t="s">
        <v>974</v>
      </c>
    </row>
    <row r="50" spans="1:9" x14ac:dyDescent="0.2">
      <c r="A50" s="25" t="s">
        <v>971</v>
      </c>
      <c r="B50" s="223" t="s">
        <v>29</v>
      </c>
      <c r="C50" s="852">
        <f t="shared" si="8"/>
        <v>1</v>
      </c>
      <c r="D50" s="841">
        <v>13</v>
      </c>
      <c r="E50" s="842" t="s">
        <v>787</v>
      </c>
      <c r="F50" s="843">
        <v>2</v>
      </c>
      <c r="G50" s="853">
        <f t="shared" si="9"/>
        <v>0</v>
      </c>
      <c r="H50" s="223" t="s">
        <v>30</v>
      </c>
      <c r="I50" s="840" t="s">
        <v>975</v>
      </c>
    </row>
    <row r="51" spans="1:9" x14ac:dyDescent="0.2">
      <c r="A51" s="25" t="s">
        <v>972</v>
      </c>
      <c r="B51" s="223" t="s">
        <v>30</v>
      </c>
      <c r="C51" s="852">
        <f t="shared" si="8"/>
        <v>1</v>
      </c>
      <c r="D51" s="849">
        <v>11</v>
      </c>
      <c r="E51" s="842" t="s">
        <v>787</v>
      </c>
      <c r="F51" s="843">
        <v>5</v>
      </c>
      <c r="G51" s="853">
        <f t="shared" si="9"/>
        <v>0</v>
      </c>
      <c r="H51" s="223" t="s">
        <v>962</v>
      </c>
      <c r="I51" s="840" t="s">
        <v>976</v>
      </c>
    </row>
    <row r="52" spans="1:9" x14ac:dyDescent="0.2">
      <c r="A52" s="225"/>
      <c r="B52" s="226" t="s">
        <v>223</v>
      </c>
      <c r="C52" s="855">
        <f>SUM(C46:C51)</f>
        <v>3</v>
      </c>
      <c r="D52" s="856">
        <f>SUM(D46:D51)</f>
        <v>53</v>
      </c>
      <c r="E52" s="857" t="s">
        <v>787</v>
      </c>
      <c r="F52" s="858">
        <f>SUM(F46:F51)</f>
        <v>43</v>
      </c>
      <c r="G52" s="855">
        <f>SUM(G46:G51)</f>
        <v>3</v>
      </c>
      <c r="H52" s="225"/>
      <c r="I52" s="224"/>
    </row>
    <row r="53" spans="1:9" x14ac:dyDescent="0.2">
      <c r="B53" s="228" t="s">
        <v>28</v>
      </c>
      <c r="C53" s="859">
        <f>C43+C52</f>
        <v>15</v>
      </c>
      <c r="D53" s="860">
        <f>D43+D52</f>
        <v>257</v>
      </c>
      <c r="E53" s="861" t="s">
        <v>787</v>
      </c>
      <c r="F53" s="862">
        <f>F43+F52</f>
        <v>254</v>
      </c>
      <c r="G53" s="859">
        <f>G43+G52</f>
        <v>15</v>
      </c>
    </row>
    <row r="54" spans="1:9" x14ac:dyDescent="0.2">
      <c r="B54" s="99"/>
      <c r="C54" s="99"/>
      <c r="D54" s="99"/>
      <c r="E54" s="99"/>
      <c r="F54" s="99"/>
      <c r="G54" s="99"/>
      <c r="H54" s="99"/>
      <c r="I54" s="99"/>
    </row>
    <row r="55" spans="1:9" x14ac:dyDescent="0.2">
      <c r="A55" s="848" t="s">
        <v>979</v>
      </c>
      <c r="B55" s="844" t="s">
        <v>965</v>
      </c>
      <c r="C55" s="844" t="s">
        <v>199</v>
      </c>
      <c r="D55" s="845"/>
      <c r="E55" s="974" t="s">
        <v>700</v>
      </c>
      <c r="F55" s="846"/>
      <c r="G55" s="844" t="s">
        <v>199</v>
      </c>
      <c r="H55" s="847" t="s">
        <v>966</v>
      </c>
      <c r="I55" s="844"/>
    </row>
    <row r="56" spans="1:9" x14ac:dyDescent="0.2">
      <c r="A56" s="25" t="s">
        <v>968</v>
      </c>
      <c r="B56" s="223" t="s">
        <v>962</v>
      </c>
      <c r="C56" s="852">
        <f>IF(D56&gt;F56,1,0)</f>
        <v>0</v>
      </c>
      <c r="D56" s="841">
        <v>11</v>
      </c>
      <c r="E56" s="842" t="s">
        <v>787</v>
      </c>
      <c r="F56" s="843">
        <v>13</v>
      </c>
      <c r="G56" s="853">
        <f>IF(F56&gt;D56,1,0)</f>
        <v>1</v>
      </c>
      <c r="H56" s="223" t="s">
        <v>962</v>
      </c>
      <c r="I56" s="840" t="s">
        <v>976</v>
      </c>
    </row>
    <row r="57" spans="1:9" x14ac:dyDescent="0.2">
      <c r="A57" s="840" t="s">
        <v>876</v>
      </c>
      <c r="B57" s="223" t="s">
        <v>963</v>
      </c>
      <c r="C57" s="852">
        <f t="shared" ref="C57:C61" si="10">IF(D57&gt;F57,1,0)</f>
        <v>0</v>
      </c>
      <c r="D57" s="841">
        <v>4</v>
      </c>
      <c r="E57" s="842" t="s">
        <v>787</v>
      </c>
      <c r="F57" s="843">
        <v>13</v>
      </c>
      <c r="G57" s="853">
        <f t="shared" ref="G57:G61" si="11">IF(F57&gt;D57,1,0)</f>
        <v>1</v>
      </c>
      <c r="H57" s="223" t="s">
        <v>963</v>
      </c>
      <c r="I57" s="25" t="s">
        <v>977</v>
      </c>
    </row>
    <row r="58" spans="1:9" x14ac:dyDescent="0.2">
      <c r="A58" s="840" t="s">
        <v>969</v>
      </c>
      <c r="B58" s="223" t="s">
        <v>964</v>
      </c>
      <c r="C58" s="852">
        <f t="shared" si="10"/>
        <v>0</v>
      </c>
      <c r="D58" s="841">
        <v>8</v>
      </c>
      <c r="E58" s="842" t="s">
        <v>787</v>
      </c>
      <c r="F58" s="843">
        <v>13</v>
      </c>
      <c r="G58" s="853">
        <f t="shared" si="11"/>
        <v>1</v>
      </c>
      <c r="H58" s="223" t="s">
        <v>964</v>
      </c>
      <c r="I58" s="840" t="s">
        <v>978</v>
      </c>
    </row>
    <row r="59" spans="1:9" x14ac:dyDescent="0.2">
      <c r="A59" s="25" t="s">
        <v>970</v>
      </c>
      <c r="B59" s="223" t="s">
        <v>967</v>
      </c>
      <c r="C59" s="852">
        <f t="shared" si="10"/>
        <v>1</v>
      </c>
      <c r="D59" s="841">
        <v>13</v>
      </c>
      <c r="E59" s="842" t="s">
        <v>787</v>
      </c>
      <c r="F59" s="843">
        <v>1</v>
      </c>
      <c r="G59" s="853">
        <f t="shared" si="11"/>
        <v>0</v>
      </c>
      <c r="H59" s="223" t="s">
        <v>967</v>
      </c>
      <c r="I59" s="840" t="s">
        <v>973</v>
      </c>
    </row>
    <row r="60" spans="1:9" x14ac:dyDescent="0.2">
      <c r="A60" s="25" t="s">
        <v>971</v>
      </c>
      <c r="B60" s="223" t="s">
        <v>29</v>
      </c>
      <c r="C60" s="852">
        <f t="shared" si="10"/>
        <v>1</v>
      </c>
      <c r="D60" s="849">
        <v>11</v>
      </c>
      <c r="E60" s="842" t="s">
        <v>787</v>
      </c>
      <c r="F60" s="843">
        <v>9</v>
      </c>
      <c r="G60" s="853">
        <f t="shared" si="11"/>
        <v>0</v>
      </c>
      <c r="H60" s="223" t="s">
        <v>29</v>
      </c>
      <c r="I60" s="840" t="s">
        <v>974</v>
      </c>
    </row>
    <row r="61" spans="1:9" x14ac:dyDescent="0.2">
      <c r="A61" s="25" t="s">
        <v>972</v>
      </c>
      <c r="B61" s="223" t="s">
        <v>30</v>
      </c>
      <c r="C61" s="852">
        <f t="shared" si="10"/>
        <v>1</v>
      </c>
      <c r="D61" s="841">
        <v>13</v>
      </c>
      <c r="E61" s="842" t="s">
        <v>787</v>
      </c>
      <c r="F61" s="843">
        <v>2</v>
      </c>
      <c r="G61" s="853">
        <f t="shared" si="11"/>
        <v>0</v>
      </c>
      <c r="H61" s="223" t="s">
        <v>30</v>
      </c>
      <c r="I61" s="840" t="s">
        <v>975</v>
      </c>
    </row>
    <row r="62" spans="1:9" ht="13.5" thickBot="1" x14ac:dyDescent="0.25">
      <c r="A62" s="225"/>
      <c r="B62" s="226" t="s">
        <v>223</v>
      </c>
      <c r="C62" s="863">
        <f>SUM(C56:C61)</f>
        <v>3</v>
      </c>
      <c r="D62" s="864">
        <f>SUM(D56:D61)</f>
        <v>60</v>
      </c>
      <c r="E62" s="865" t="s">
        <v>787</v>
      </c>
      <c r="F62" s="866">
        <f>SUM(F56:F61)</f>
        <v>51</v>
      </c>
      <c r="G62" s="863">
        <f>SUM(G56:G61)</f>
        <v>3</v>
      </c>
      <c r="H62" s="225"/>
      <c r="I62" s="224"/>
    </row>
    <row r="63" spans="1:9" ht="13.5" thickBot="1" x14ac:dyDescent="0.25">
      <c r="B63" s="854" t="s">
        <v>230</v>
      </c>
      <c r="C63" s="870">
        <f>C53+C62</f>
        <v>18</v>
      </c>
      <c r="D63" s="869">
        <f>D53+D62</f>
        <v>317</v>
      </c>
      <c r="E63" s="867" t="s">
        <v>787</v>
      </c>
      <c r="F63" s="868">
        <f>F53+F62</f>
        <v>305</v>
      </c>
      <c r="G63" s="871">
        <f>G53+G62</f>
        <v>18</v>
      </c>
    </row>
  </sheetData>
  <conditionalFormatting sqref="D7:F14 D24:F24 D34:F34 D44:F44 D54:F54 D16:F21 D26:F31 D36:F41 D46:F51 D56:F61">
    <cfRule type="cellIs" dxfId="10" priority="11" operator="equal">
      <formula>13</formula>
    </cfRule>
  </conditionalFormatting>
  <conditionalFormatting sqref="D22:F22">
    <cfRule type="cellIs" dxfId="9" priority="10" operator="equal">
      <formula>13</formula>
    </cfRule>
  </conditionalFormatting>
  <conditionalFormatting sqref="D23:F23">
    <cfRule type="cellIs" dxfId="8" priority="9" operator="equal">
      <formula>13</formula>
    </cfRule>
  </conditionalFormatting>
  <conditionalFormatting sqref="D32:F32">
    <cfRule type="cellIs" dxfId="7" priority="8" operator="equal">
      <formula>13</formula>
    </cfRule>
  </conditionalFormatting>
  <conditionalFormatting sqref="D33:F33">
    <cfRule type="cellIs" dxfId="6" priority="7" operator="equal">
      <formula>13</formula>
    </cfRule>
  </conditionalFormatting>
  <conditionalFormatting sqref="D63:F63">
    <cfRule type="cellIs" dxfId="5" priority="1" operator="equal">
      <formula>13</formula>
    </cfRule>
  </conditionalFormatting>
  <conditionalFormatting sqref="D42:F42">
    <cfRule type="cellIs" dxfId="4" priority="6" operator="equal">
      <formula>13</formula>
    </cfRule>
  </conditionalFormatting>
  <conditionalFormatting sqref="D43:F43">
    <cfRule type="cellIs" dxfId="3" priority="5" operator="equal">
      <formula>13</formula>
    </cfRule>
  </conditionalFormatting>
  <conditionalFormatting sqref="D52:F52">
    <cfRule type="cellIs" dxfId="2" priority="4" operator="equal">
      <formula>13</formula>
    </cfRule>
  </conditionalFormatting>
  <conditionalFormatting sqref="D53:F53">
    <cfRule type="cellIs" dxfId="1" priority="3" operator="equal">
      <formula>13</formula>
    </cfRule>
  </conditionalFormatting>
  <conditionalFormatting sqref="D62:F62">
    <cfRule type="cellIs" dxfId="0" priority="2" operator="equal">
      <formula>13</formula>
    </cfRule>
  </conditionalFormatting>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1" manualBreakCount="1">
    <brk id="33" max="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G164"/>
  <sheetViews>
    <sheetView showGridLines="0" showRowColHeaders="0" zoomScaleNormal="100" zoomScaleSheetLayoutView="100" workbookViewId="0">
      <pane ySplit="1" topLeftCell="A2" activePane="bottomLeft" state="frozen"/>
      <selection pane="bottomLeft" activeCell="B1" sqref="B1"/>
    </sheetView>
  </sheetViews>
  <sheetFormatPr defaultRowHeight="12.75" x14ac:dyDescent="0.2"/>
  <cols>
    <col min="1" max="1" width="92.140625" style="267" customWidth="1"/>
    <col min="2" max="16384" width="9.140625" style="267"/>
  </cols>
  <sheetData>
    <row r="1" spans="1:7" x14ac:dyDescent="0.2">
      <c r="A1" s="266" t="s">
        <v>546</v>
      </c>
      <c r="G1" s="268"/>
    </row>
    <row r="2" spans="1:7" x14ac:dyDescent="0.2">
      <c r="A2" s="267" t="s">
        <v>425</v>
      </c>
    </row>
    <row r="4" spans="1:7" x14ac:dyDescent="0.2">
      <c r="A4" s="267" t="s">
        <v>122</v>
      </c>
    </row>
    <row r="5" spans="1:7" ht="25.5" x14ac:dyDescent="0.2">
      <c r="A5" s="267" t="s">
        <v>426</v>
      </c>
    </row>
    <row r="6" spans="1:7" ht="25.5" x14ac:dyDescent="0.2">
      <c r="A6" s="267" t="s">
        <v>427</v>
      </c>
    </row>
    <row r="7" spans="1:7" x14ac:dyDescent="0.2">
      <c r="A7" s="267" t="s">
        <v>428</v>
      </c>
    </row>
    <row r="8" spans="1:7" x14ac:dyDescent="0.2">
      <c r="A8" s="267" t="s">
        <v>429</v>
      </c>
    </row>
    <row r="9" spans="1:7" ht="38.25" x14ac:dyDescent="0.2">
      <c r="A9" s="267" t="s">
        <v>430</v>
      </c>
    </row>
    <row r="11" spans="1:7" x14ac:dyDescent="0.2">
      <c r="A11" s="267" t="s">
        <v>123</v>
      </c>
    </row>
    <row r="12" spans="1:7" ht="38.25" x14ac:dyDescent="0.2">
      <c r="A12" s="267" t="s">
        <v>431</v>
      </c>
    </row>
    <row r="13" spans="1:7" ht="38.25" x14ac:dyDescent="0.2">
      <c r="A13" s="267" t="s">
        <v>432</v>
      </c>
    </row>
    <row r="14" spans="1:7" x14ac:dyDescent="0.2">
      <c r="A14" s="269"/>
    </row>
    <row r="15" spans="1:7" x14ac:dyDescent="0.2">
      <c r="A15" s="269" t="s">
        <v>124</v>
      </c>
    </row>
    <row r="16" spans="1:7" ht="25.5" x14ac:dyDescent="0.2">
      <c r="A16" s="269" t="s">
        <v>433</v>
      </c>
    </row>
    <row r="17" spans="1:1" ht="25.5" x14ac:dyDescent="0.2">
      <c r="A17" s="269" t="s">
        <v>434</v>
      </c>
    </row>
    <row r="18" spans="1:1" ht="25.5" x14ac:dyDescent="0.2">
      <c r="A18" s="267" t="s">
        <v>435</v>
      </c>
    </row>
    <row r="19" spans="1:1" ht="25.5" x14ac:dyDescent="0.2">
      <c r="A19" s="267" t="s">
        <v>436</v>
      </c>
    </row>
    <row r="20" spans="1:1" ht="25.5" x14ac:dyDescent="0.2">
      <c r="A20" s="267" t="s">
        <v>437</v>
      </c>
    </row>
    <row r="22" spans="1:1" x14ac:dyDescent="0.2">
      <c r="A22" s="267" t="s">
        <v>125</v>
      </c>
    </row>
    <row r="23" spans="1:1" x14ac:dyDescent="0.2">
      <c r="A23" s="267" t="s">
        <v>438</v>
      </c>
    </row>
    <row r="24" spans="1:1" ht="38.25" x14ac:dyDescent="0.2">
      <c r="A24" s="267" t="s">
        <v>439</v>
      </c>
    </row>
    <row r="25" spans="1:1" ht="25.5" x14ac:dyDescent="0.2">
      <c r="A25" s="267" t="s">
        <v>440</v>
      </c>
    </row>
    <row r="26" spans="1:1" ht="51" x14ac:dyDescent="0.2">
      <c r="A26" s="267" t="s">
        <v>441</v>
      </c>
    </row>
    <row r="27" spans="1:1" x14ac:dyDescent="0.2">
      <c r="A27" s="267" t="s">
        <v>442</v>
      </c>
    </row>
    <row r="28" spans="1:1" x14ac:dyDescent="0.2">
      <c r="A28" s="267" t="s">
        <v>443</v>
      </c>
    </row>
    <row r="29" spans="1:1" x14ac:dyDescent="0.2">
      <c r="A29" s="267" t="s">
        <v>444</v>
      </c>
    </row>
    <row r="30" spans="1:1" ht="63.75" x14ac:dyDescent="0.2">
      <c r="A30" s="267" t="s">
        <v>445</v>
      </c>
    </row>
    <row r="31" spans="1:1" ht="25.5" x14ac:dyDescent="0.2">
      <c r="A31" s="267" t="s">
        <v>446</v>
      </c>
    </row>
    <row r="32" spans="1:1" x14ac:dyDescent="0.2">
      <c r="A32" s="267" t="s">
        <v>447</v>
      </c>
    </row>
    <row r="33" spans="1:1" ht="25.5" x14ac:dyDescent="0.2">
      <c r="A33" s="267" t="s">
        <v>448</v>
      </c>
    </row>
    <row r="34" spans="1:1" ht="25.5" x14ac:dyDescent="0.2">
      <c r="A34" s="267" t="s">
        <v>449</v>
      </c>
    </row>
    <row r="35" spans="1:1" x14ac:dyDescent="0.2">
      <c r="A35" s="267" t="s">
        <v>450</v>
      </c>
    </row>
    <row r="37" spans="1:1" x14ac:dyDescent="0.2">
      <c r="A37" s="267" t="s">
        <v>126</v>
      </c>
    </row>
    <row r="38" spans="1:1" x14ac:dyDescent="0.2">
      <c r="A38" s="267" t="s">
        <v>127</v>
      </c>
    </row>
    <row r="39" spans="1:1" ht="25.5" x14ac:dyDescent="0.2">
      <c r="A39" s="267" t="s">
        <v>451</v>
      </c>
    </row>
    <row r="40" spans="1:1" ht="25.5" x14ac:dyDescent="0.2">
      <c r="A40" s="267" t="s">
        <v>452</v>
      </c>
    </row>
    <row r="42" spans="1:1" x14ac:dyDescent="0.2">
      <c r="A42" s="267" t="s">
        <v>128</v>
      </c>
    </row>
    <row r="43" spans="1:1" x14ac:dyDescent="0.2">
      <c r="A43" s="267" t="s">
        <v>129</v>
      </c>
    </row>
    <row r="44" spans="1:1" ht="25.5" x14ac:dyDescent="0.2">
      <c r="A44" s="267" t="s">
        <v>453</v>
      </c>
    </row>
    <row r="45" spans="1:1" x14ac:dyDescent="0.2">
      <c r="A45" s="267" t="s">
        <v>130</v>
      </c>
    </row>
    <row r="46" spans="1:1" ht="25.5" x14ac:dyDescent="0.2">
      <c r="A46" s="267" t="s">
        <v>454</v>
      </c>
    </row>
    <row r="47" spans="1:1" ht="25.5" x14ac:dyDescent="0.2">
      <c r="A47" s="267" t="s">
        <v>455</v>
      </c>
    </row>
    <row r="49" spans="1:1" x14ac:dyDescent="0.2">
      <c r="A49" s="267" t="s">
        <v>456</v>
      </c>
    </row>
    <row r="50" spans="1:1" ht="63.75" x14ac:dyDescent="0.2">
      <c r="A50" s="267" t="s">
        <v>457</v>
      </c>
    </row>
    <row r="51" spans="1:1" x14ac:dyDescent="0.2">
      <c r="A51" s="267" t="s">
        <v>458</v>
      </c>
    </row>
    <row r="53" spans="1:1" x14ac:dyDescent="0.2">
      <c r="A53" s="267" t="s">
        <v>131</v>
      </c>
    </row>
    <row r="54" spans="1:1" ht="38.25" x14ac:dyDescent="0.2">
      <c r="A54" s="267" t="s">
        <v>459</v>
      </c>
    </row>
    <row r="55" spans="1:1" x14ac:dyDescent="0.2">
      <c r="A55" s="267" t="s">
        <v>460</v>
      </c>
    </row>
    <row r="56" spans="1:1" ht="38.25" x14ac:dyDescent="0.2">
      <c r="A56" s="267" t="s">
        <v>461</v>
      </c>
    </row>
    <row r="58" spans="1:1" x14ac:dyDescent="0.2">
      <c r="A58" s="267" t="s">
        <v>132</v>
      </c>
    </row>
    <row r="59" spans="1:1" ht="25.5" x14ac:dyDescent="0.2">
      <c r="A59" s="267" t="s">
        <v>462</v>
      </c>
    </row>
    <row r="60" spans="1:1" x14ac:dyDescent="0.2">
      <c r="A60" s="267" t="s">
        <v>463</v>
      </c>
    </row>
    <row r="61" spans="1:1" x14ac:dyDescent="0.2">
      <c r="A61" s="267" t="s">
        <v>464</v>
      </c>
    </row>
    <row r="62" spans="1:1" x14ac:dyDescent="0.2">
      <c r="A62" s="267" t="s">
        <v>465</v>
      </c>
    </row>
    <row r="63" spans="1:1" x14ac:dyDescent="0.2">
      <c r="A63" s="267" t="s">
        <v>466</v>
      </c>
    </row>
    <row r="64" spans="1:1" x14ac:dyDescent="0.2">
      <c r="A64" s="267" t="s">
        <v>467</v>
      </c>
    </row>
    <row r="65" spans="1:1" x14ac:dyDescent="0.2">
      <c r="A65" s="267" t="s">
        <v>468</v>
      </c>
    </row>
    <row r="66" spans="1:1" x14ac:dyDescent="0.2">
      <c r="A66" s="267" t="s">
        <v>469</v>
      </c>
    </row>
    <row r="67" spans="1:1" ht="25.5" x14ac:dyDescent="0.2">
      <c r="A67" s="267" t="s">
        <v>470</v>
      </c>
    </row>
    <row r="68" spans="1:1" x14ac:dyDescent="0.2">
      <c r="A68" s="267" t="s">
        <v>471</v>
      </c>
    </row>
    <row r="69" spans="1:1" x14ac:dyDescent="0.2">
      <c r="A69" s="267" t="s">
        <v>472</v>
      </c>
    </row>
    <row r="70" spans="1:1" x14ac:dyDescent="0.2">
      <c r="A70" s="267" t="s">
        <v>473</v>
      </c>
    </row>
    <row r="71" spans="1:1" x14ac:dyDescent="0.2">
      <c r="A71" s="267" t="s">
        <v>474</v>
      </c>
    </row>
    <row r="72" spans="1:1" x14ac:dyDescent="0.2">
      <c r="A72" s="267" t="s">
        <v>475</v>
      </c>
    </row>
    <row r="73" spans="1:1" x14ac:dyDescent="0.2">
      <c r="A73" s="267" t="s">
        <v>476</v>
      </c>
    </row>
    <row r="74" spans="1:1" x14ac:dyDescent="0.2">
      <c r="A74" s="267" t="s">
        <v>477</v>
      </c>
    </row>
    <row r="76" spans="1:1" x14ac:dyDescent="0.2">
      <c r="A76" s="267" t="s">
        <v>133</v>
      </c>
    </row>
    <row r="77" spans="1:1" ht="51" x14ac:dyDescent="0.2">
      <c r="A77" s="267" t="s">
        <v>478</v>
      </c>
    </row>
    <row r="78" spans="1:1" x14ac:dyDescent="0.2">
      <c r="A78" s="267" t="s">
        <v>479</v>
      </c>
    </row>
    <row r="80" spans="1:1" x14ac:dyDescent="0.2">
      <c r="A80" s="267" t="s">
        <v>134</v>
      </c>
    </row>
    <row r="81" spans="1:1" x14ac:dyDescent="0.2">
      <c r="A81" s="267" t="s">
        <v>135</v>
      </c>
    </row>
    <row r="82" spans="1:1" ht="51" x14ac:dyDescent="0.2">
      <c r="A82" s="267" t="s">
        <v>480</v>
      </c>
    </row>
    <row r="84" spans="1:1" x14ac:dyDescent="0.2">
      <c r="A84" s="267" t="s">
        <v>481</v>
      </c>
    </row>
    <row r="85" spans="1:1" ht="38.25" x14ac:dyDescent="0.2">
      <c r="A85" s="267" t="s">
        <v>482</v>
      </c>
    </row>
    <row r="87" spans="1:1" x14ac:dyDescent="0.2">
      <c r="A87" s="267" t="s">
        <v>483</v>
      </c>
    </row>
    <row r="88" spans="1:1" ht="25.5" x14ac:dyDescent="0.2">
      <c r="A88" s="267" t="s">
        <v>484</v>
      </c>
    </row>
    <row r="89" spans="1:1" ht="38.25" x14ac:dyDescent="0.2">
      <c r="A89" s="267" t="s">
        <v>485</v>
      </c>
    </row>
    <row r="90" spans="1:1" ht="51" x14ac:dyDescent="0.2">
      <c r="A90" s="267" t="s">
        <v>486</v>
      </c>
    </row>
    <row r="92" spans="1:1" x14ac:dyDescent="0.2">
      <c r="A92" s="267" t="s">
        <v>136</v>
      </c>
    </row>
    <row r="93" spans="1:1" x14ac:dyDescent="0.2">
      <c r="A93" s="267" t="s">
        <v>487</v>
      </c>
    </row>
    <row r="94" spans="1:1" ht="25.5" x14ac:dyDescent="0.2">
      <c r="A94" s="267" t="s">
        <v>488</v>
      </c>
    </row>
    <row r="95" spans="1:1" ht="25.5" x14ac:dyDescent="0.2">
      <c r="A95" s="267" t="s">
        <v>489</v>
      </c>
    </row>
    <row r="96" spans="1:1" ht="25.5" x14ac:dyDescent="0.2">
      <c r="A96" s="267" t="s">
        <v>490</v>
      </c>
    </row>
    <row r="97" spans="1:1" ht="25.5" x14ac:dyDescent="0.2">
      <c r="A97" s="267" t="s">
        <v>491</v>
      </c>
    </row>
    <row r="99" spans="1:1" x14ac:dyDescent="0.2">
      <c r="A99" s="267" t="s">
        <v>137</v>
      </c>
    </row>
    <row r="100" spans="1:1" ht="51" x14ac:dyDescent="0.2">
      <c r="A100" s="267" t="s">
        <v>492</v>
      </c>
    </row>
    <row r="101" spans="1:1" x14ac:dyDescent="0.2">
      <c r="A101" s="267" t="s">
        <v>493</v>
      </c>
    </row>
    <row r="102" spans="1:1" x14ac:dyDescent="0.2">
      <c r="A102" s="267" t="s">
        <v>494</v>
      </c>
    </row>
    <row r="103" spans="1:1" x14ac:dyDescent="0.2">
      <c r="A103" s="267" t="s">
        <v>495</v>
      </c>
    </row>
    <row r="104" spans="1:1" x14ac:dyDescent="0.2">
      <c r="A104" s="267" t="s">
        <v>496</v>
      </c>
    </row>
    <row r="105" spans="1:1" x14ac:dyDescent="0.2">
      <c r="A105" s="267" t="s">
        <v>497</v>
      </c>
    </row>
    <row r="106" spans="1:1" ht="25.5" x14ac:dyDescent="0.2">
      <c r="A106" s="267" t="s">
        <v>498</v>
      </c>
    </row>
    <row r="107" spans="1:1" ht="25.5" x14ac:dyDescent="0.2">
      <c r="A107" s="267" t="s">
        <v>499</v>
      </c>
    </row>
    <row r="108" spans="1:1" ht="25.5" x14ac:dyDescent="0.2">
      <c r="A108" s="267" t="s">
        <v>500</v>
      </c>
    </row>
    <row r="109" spans="1:1" ht="76.5" x14ac:dyDescent="0.2">
      <c r="A109" s="267" t="s">
        <v>501</v>
      </c>
    </row>
    <row r="110" spans="1:1" x14ac:dyDescent="0.2">
      <c r="A110" s="267" t="s">
        <v>502</v>
      </c>
    </row>
    <row r="111" spans="1:1" ht="51" x14ac:dyDescent="0.2">
      <c r="A111" s="267" t="s">
        <v>503</v>
      </c>
    </row>
    <row r="112" spans="1:1" ht="51" x14ac:dyDescent="0.2">
      <c r="A112" s="267" t="s">
        <v>504</v>
      </c>
    </row>
    <row r="113" spans="1:1" ht="25.5" x14ac:dyDescent="0.2">
      <c r="A113" s="267" t="s">
        <v>505</v>
      </c>
    </row>
    <row r="114" spans="1:1" ht="63.75" x14ac:dyDescent="0.2">
      <c r="A114" s="267" t="s">
        <v>506</v>
      </c>
    </row>
    <row r="115" spans="1:1" ht="38.25" x14ac:dyDescent="0.2">
      <c r="A115" s="267" t="s">
        <v>507</v>
      </c>
    </row>
    <row r="116" spans="1:1" ht="25.5" x14ac:dyDescent="0.2">
      <c r="A116" s="267" t="s">
        <v>508</v>
      </c>
    </row>
    <row r="117" spans="1:1" x14ac:dyDescent="0.2">
      <c r="A117" s="267" t="s">
        <v>509</v>
      </c>
    </row>
    <row r="118" spans="1:1" x14ac:dyDescent="0.2">
      <c r="A118" s="267" t="s">
        <v>510</v>
      </c>
    </row>
    <row r="119" spans="1:1" x14ac:dyDescent="0.2">
      <c r="A119" s="267" t="s">
        <v>511</v>
      </c>
    </row>
    <row r="120" spans="1:1" ht="25.5" x14ac:dyDescent="0.2">
      <c r="A120" s="267" t="s">
        <v>512</v>
      </c>
    </row>
    <row r="121" spans="1:1" ht="25.5" x14ac:dyDescent="0.2">
      <c r="A121" s="267" t="s">
        <v>513</v>
      </c>
    </row>
    <row r="122" spans="1:1" ht="25.5" x14ac:dyDescent="0.2">
      <c r="A122" s="267" t="s">
        <v>514</v>
      </c>
    </row>
    <row r="123" spans="1:1" x14ac:dyDescent="0.2">
      <c r="A123" s="267" t="s">
        <v>515</v>
      </c>
    </row>
    <row r="124" spans="1:1" ht="25.5" x14ac:dyDescent="0.2">
      <c r="A124" s="267" t="s">
        <v>516</v>
      </c>
    </row>
    <row r="125" spans="1:1" ht="25.5" x14ac:dyDescent="0.2">
      <c r="A125" s="267" t="s">
        <v>517</v>
      </c>
    </row>
    <row r="126" spans="1:1" ht="25.5" x14ac:dyDescent="0.2">
      <c r="A126" s="267" t="s">
        <v>138</v>
      </c>
    </row>
    <row r="127" spans="1:1" ht="51" x14ac:dyDescent="0.2">
      <c r="A127" s="267" t="s">
        <v>518</v>
      </c>
    </row>
    <row r="128" spans="1:1" ht="63.75" x14ac:dyDescent="0.2">
      <c r="A128" s="267" t="s">
        <v>519</v>
      </c>
    </row>
    <row r="129" spans="1:1" ht="38.25" x14ac:dyDescent="0.2">
      <c r="A129" s="267" t="s">
        <v>520</v>
      </c>
    </row>
    <row r="130" spans="1:1" x14ac:dyDescent="0.2">
      <c r="A130" s="267" t="s">
        <v>521</v>
      </c>
    </row>
    <row r="132" spans="1:1" x14ac:dyDescent="0.2">
      <c r="A132" s="267" t="s">
        <v>139</v>
      </c>
    </row>
    <row r="133" spans="1:1" x14ac:dyDescent="0.2">
      <c r="A133" s="267" t="s">
        <v>522</v>
      </c>
    </row>
    <row r="134" spans="1:1" ht="38.25" x14ac:dyDescent="0.2">
      <c r="A134" s="267" t="s">
        <v>523</v>
      </c>
    </row>
    <row r="135" spans="1:1" ht="25.5" x14ac:dyDescent="0.2">
      <c r="A135" s="267" t="s">
        <v>524</v>
      </c>
    </row>
    <row r="137" spans="1:1" x14ac:dyDescent="0.2">
      <c r="A137" s="267" t="s">
        <v>140</v>
      </c>
    </row>
    <row r="138" spans="1:1" ht="51" x14ac:dyDescent="0.2">
      <c r="A138" s="267" t="s">
        <v>525</v>
      </c>
    </row>
    <row r="139" spans="1:1" x14ac:dyDescent="0.2">
      <c r="A139" s="267" t="s">
        <v>141</v>
      </c>
    </row>
    <row r="140" spans="1:1" x14ac:dyDescent="0.2">
      <c r="A140" s="267" t="s">
        <v>142</v>
      </c>
    </row>
    <row r="141" spans="1:1" x14ac:dyDescent="0.2">
      <c r="A141" s="267" t="s">
        <v>143</v>
      </c>
    </row>
    <row r="142" spans="1:1" ht="76.5" x14ac:dyDescent="0.2">
      <c r="A142" s="267" t="s">
        <v>526</v>
      </c>
    </row>
    <row r="143" spans="1:1" ht="63.75" x14ac:dyDescent="0.2">
      <c r="A143" s="267" t="s">
        <v>527</v>
      </c>
    </row>
    <row r="144" spans="1:1" ht="25.5" x14ac:dyDescent="0.2">
      <c r="A144" s="267" t="s">
        <v>528</v>
      </c>
    </row>
    <row r="145" spans="1:1" x14ac:dyDescent="0.2">
      <c r="A145" s="267" t="s">
        <v>529</v>
      </c>
    </row>
    <row r="146" spans="1:1" x14ac:dyDescent="0.2">
      <c r="A146" s="267" t="s">
        <v>530</v>
      </c>
    </row>
    <row r="147" spans="1:1" x14ac:dyDescent="0.2">
      <c r="A147" s="267" t="s">
        <v>531</v>
      </c>
    </row>
    <row r="148" spans="1:1" x14ac:dyDescent="0.2">
      <c r="A148" s="267" t="s">
        <v>532</v>
      </c>
    </row>
    <row r="149" spans="1:1" x14ac:dyDescent="0.2">
      <c r="A149" s="267" t="s">
        <v>533</v>
      </c>
    </row>
    <row r="150" spans="1:1" x14ac:dyDescent="0.2">
      <c r="A150" s="267" t="s">
        <v>534</v>
      </c>
    </row>
    <row r="151" spans="1:1" x14ac:dyDescent="0.2">
      <c r="A151" s="267" t="s">
        <v>535</v>
      </c>
    </row>
    <row r="152" spans="1:1" ht="38.25" x14ac:dyDescent="0.2">
      <c r="A152" s="267" t="s">
        <v>536</v>
      </c>
    </row>
    <row r="154" spans="1:1" x14ac:dyDescent="0.2">
      <c r="A154" s="267" t="s">
        <v>144</v>
      </c>
    </row>
    <row r="155" spans="1:1" ht="38.25" x14ac:dyDescent="0.2">
      <c r="A155" s="267" t="s">
        <v>537</v>
      </c>
    </row>
    <row r="156" spans="1:1" x14ac:dyDescent="0.2">
      <c r="A156" s="267" t="s">
        <v>538</v>
      </c>
    </row>
    <row r="157" spans="1:1" x14ac:dyDescent="0.2">
      <c r="A157" s="267" t="s">
        <v>539</v>
      </c>
    </row>
    <row r="158" spans="1:1" ht="38.25" x14ac:dyDescent="0.2">
      <c r="A158" s="267" t="s">
        <v>540</v>
      </c>
    </row>
    <row r="159" spans="1:1" ht="25.5" x14ac:dyDescent="0.2">
      <c r="A159" s="267" t="s">
        <v>541</v>
      </c>
    </row>
    <row r="160" spans="1:1" ht="25.5" x14ac:dyDescent="0.2">
      <c r="A160" s="267" t="s">
        <v>542</v>
      </c>
    </row>
    <row r="161" spans="1:1" ht="38.25" x14ac:dyDescent="0.2">
      <c r="A161" s="267" t="s">
        <v>543</v>
      </c>
    </row>
    <row r="162" spans="1:1" x14ac:dyDescent="0.2">
      <c r="A162" s="267" t="s">
        <v>544</v>
      </c>
    </row>
    <row r="164" spans="1:1" x14ac:dyDescent="0.2">
      <c r="A164" s="267" t="s">
        <v>545</v>
      </c>
    </row>
  </sheetData>
  <pageMargins left="0.78740157480314965" right="0.39370078740157483" top="0.59055118110236227" bottom="0.39370078740157483" header="0.39370078740157483" footer="0"/>
  <pageSetup paperSize="9" fitToHeight="0" orientation="portrait" r:id="rId1"/>
  <headerFooter>
    <oddHeader>&amp;RPage &amp;P of &amp;N</oddHeader>
  </headerFooter>
  <rowBreaks count="3" manualBreakCount="3">
    <brk id="35" man="1"/>
    <brk id="78" man="1"/>
    <brk id="1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30"/>
  <sheetViews>
    <sheetView showGridLines="0" showRowColHeaders="0" zoomScaleNormal="100" workbookViewId="0">
      <pane ySplit="1" topLeftCell="A2" activePane="bottomLeft" state="frozen"/>
      <selection pane="bottomLeft" activeCell="B1" sqref="B1"/>
    </sheetView>
  </sheetViews>
  <sheetFormatPr defaultRowHeight="12.75" x14ac:dyDescent="0.2"/>
  <cols>
    <col min="1" max="1" width="92.140625" style="100" customWidth="1"/>
    <col min="2" max="16384" width="9.140625" style="100"/>
  </cols>
  <sheetData>
    <row r="1" spans="1:1" x14ac:dyDescent="0.2">
      <c r="A1" s="42" t="s">
        <v>565</v>
      </c>
    </row>
    <row r="2" spans="1:1" x14ac:dyDescent="0.2">
      <c r="A2" s="100" t="s">
        <v>547</v>
      </c>
    </row>
    <row r="4" spans="1:1" x14ac:dyDescent="0.2">
      <c r="A4" s="100" t="s">
        <v>548</v>
      </c>
    </row>
    <row r="5" spans="1:1" ht="25.5" x14ac:dyDescent="0.2">
      <c r="A5" s="100" t="s">
        <v>567</v>
      </c>
    </row>
    <row r="6" spans="1:1" ht="38.25" x14ac:dyDescent="0.2">
      <c r="A6" s="100" t="s">
        <v>566</v>
      </c>
    </row>
    <row r="7" spans="1:1" ht="25.5" x14ac:dyDescent="0.2">
      <c r="A7" s="100" t="s">
        <v>549</v>
      </c>
    </row>
    <row r="9" spans="1:1" ht="38.25" x14ac:dyDescent="0.2">
      <c r="A9" s="100" t="s">
        <v>550</v>
      </c>
    </row>
    <row r="10" spans="1:1" x14ac:dyDescent="0.2">
      <c r="A10" s="100" t="s">
        <v>551</v>
      </c>
    </row>
    <row r="11" spans="1:1" ht="25.5" x14ac:dyDescent="0.2">
      <c r="A11" s="100" t="s">
        <v>552</v>
      </c>
    </row>
    <row r="12" spans="1:1" x14ac:dyDescent="0.2">
      <c r="A12" s="100" t="s">
        <v>553</v>
      </c>
    </row>
    <row r="13" spans="1:1" x14ac:dyDescent="0.2">
      <c r="A13" s="100" t="s">
        <v>568</v>
      </c>
    </row>
    <row r="14" spans="1:1" x14ac:dyDescent="0.2">
      <c r="A14" s="100" t="s">
        <v>554</v>
      </c>
    </row>
    <row r="16" spans="1:1" ht="25.5" x14ac:dyDescent="0.2">
      <c r="A16" s="100" t="s">
        <v>555</v>
      </c>
    </row>
    <row r="18" spans="1:1" ht="89.25" x14ac:dyDescent="0.2">
      <c r="A18" s="100" t="s">
        <v>556</v>
      </c>
    </row>
    <row r="20" spans="1:1" ht="25.5" x14ac:dyDescent="0.2">
      <c r="A20" s="100" t="s">
        <v>557</v>
      </c>
    </row>
    <row r="22" spans="1:1" x14ac:dyDescent="0.2">
      <c r="A22" s="100" t="s">
        <v>558</v>
      </c>
    </row>
    <row r="23" spans="1:1" ht="25.5" x14ac:dyDescent="0.2">
      <c r="A23" s="100" t="s">
        <v>559</v>
      </c>
    </row>
    <row r="24" spans="1:1" ht="25.5" x14ac:dyDescent="0.2">
      <c r="A24" s="100" t="s">
        <v>560</v>
      </c>
    </row>
    <row r="25" spans="1:1" ht="25.5" x14ac:dyDescent="0.2">
      <c r="A25" s="100" t="s">
        <v>561</v>
      </c>
    </row>
    <row r="26" spans="1:1" x14ac:dyDescent="0.2">
      <c r="A26" s="100" t="s">
        <v>562</v>
      </c>
    </row>
    <row r="28" spans="1:1" x14ac:dyDescent="0.2">
      <c r="A28" s="100" t="s">
        <v>563</v>
      </c>
    </row>
    <row r="30" spans="1:1" x14ac:dyDescent="0.2">
      <c r="A30" s="100" t="s">
        <v>564</v>
      </c>
    </row>
  </sheetData>
  <pageMargins left="0.78740157480314965" right="0.39370078740157483" top="0.78740157480314965" bottom="0.39370078740157483" header="0.59055118110236227" footer="0"/>
  <pageSetup paperSize="9" fitToWidth="0" fitToHeight="0" pageOrder="overThenDown" orientation="portrait" r:id="rId1"/>
  <headerFooter>
    <oddHeader>&amp;RPage &amp;P of &amp;N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K36"/>
  <sheetViews>
    <sheetView showGridLines="0" showRowColHeaders="0" workbookViewId="0">
      <pane ySplit="3" topLeftCell="A4" activePane="bottomLeft" state="frozen"/>
      <selection pane="bottomLeft" activeCell="F1" sqref="F1"/>
    </sheetView>
  </sheetViews>
  <sheetFormatPr defaultRowHeight="12.75" x14ac:dyDescent="0.2"/>
  <cols>
    <col min="1" max="16384" width="9.140625" style="93"/>
  </cols>
  <sheetData>
    <row r="1" spans="1:11" x14ac:dyDescent="0.2">
      <c r="A1" s="41" t="s">
        <v>569</v>
      </c>
      <c r="G1" s="74"/>
    </row>
    <row r="3" spans="1:11" ht="25.5" x14ac:dyDescent="0.2">
      <c r="A3" s="73" t="s">
        <v>26</v>
      </c>
      <c r="B3" s="73" t="s">
        <v>1</v>
      </c>
      <c r="C3" s="73" t="s">
        <v>157</v>
      </c>
      <c r="D3" s="73" t="s">
        <v>158</v>
      </c>
      <c r="E3" s="73" t="s">
        <v>159</v>
      </c>
    </row>
    <row r="4" spans="1:11" x14ac:dyDescent="0.2">
      <c r="A4" s="72" t="s">
        <v>160</v>
      </c>
      <c r="B4" s="72">
        <v>173</v>
      </c>
      <c r="C4" s="72">
        <v>115</v>
      </c>
      <c r="D4" s="72">
        <v>105</v>
      </c>
      <c r="E4" s="72">
        <v>53</v>
      </c>
    </row>
    <row r="5" spans="1:11" x14ac:dyDescent="0.2">
      <c r="A5" s="72" t="s">
        <v>161</v>
      </c>
      <c r="B5" s="72">
        <v>158</v>
      </c>
      <c r="C5" s="72">
        <v>105</v>
      </c>
      <c r="D5" s="72">
        <v>93</v>
      </c>
      <c r="E5" s="72">
        <v>42</v>
      </c>
    </row>
    <row r="6" spans="1:11" x14ac:dyDescent="0.2">
      <c r="A6" s="72" t="s">
        <v>162</v>
      </c>
      <c r="B6" s="72">
        <v>146</v>
      </c>
      <c r="C6" s="72">
        <v>97</v>
      </c>
      <c r="D6" s="72">
        <v>83</v>
      </c>
      <c r="E6" s="72">
        <v>33</v>
      </c>
    </row>
    <row r="7" spans="1:11" x14ac:dyDescent="0.2">
      <c r="A7" s="72" t="s">
        <v>92</v>
      </c>
      <c r="B7" s="72">
        <v>135</v>
      </c>
      <c r="C7" s="72">
        <v>90</v>
      </c>
      <c r="D7" s="72">
        <v>74</v>
      </c>
      <c r="E7" s="72">
        <v>27</v>
      </c>
    </row>
    <row r="8" spans="1:11" x14ac:dyDescent="0.2">
      <c r="A8" s="72" t="s">
        <v>93</v>
      </c>
      <c r="B8" s="72">
        <v>126</v>
      </c>
      <c r="C8" s="72">
        <v>84</v>
      </c>
      <c r="D8" s="72">
        <v>65</v>
      </c>
      <c r="E8" s="72">
        <v>23</v>
      </c>
      <c r="K8" s="74"/>
    </row>
    <row r="9" spans="1:11" x14ac:dyDescent="0.2">
      <c r="A9" s="72" t="s">
        <v>94</v>
      </c>
      <c r="B9" s="72">
        <v>119</v>
      </c>
      <c r="C9" s="72">
        <v>79</v>
      </c>
      <c r="D9" s="72">
        <v>57</v>
      </c>
      <c r="E9" s="72">
        <v>18</v>
      </c>
    </row>
    <row r="10" spans="1:11" x14ac:dyDescent="0.2">
      <c r="A10" s="72" t="s">
        <v>95</v>
      </c>
      <c r="B10" s="72">
        <v>111</v>
      </c>
      <c r="C10" s="72">
        <v>74</v>
      </c>
      <c r="D10" s="72">
        <v>50</v>
      </c>
      <c r="E10" s="72">
        <v>14</v>
      </c>
    </row>
    <row r="11" spans="1:11" x14ac:dyDescent="0.2">
      <c r="A11" s="72" t="s">
        <v>96</v>
      </c>
      <c r="B11" s="72">
        <v>104</v>
      </c>
      <c r="C11" s="72">
        <v>69</v>
      </c>
      <c r="D11" s="72">
        <v>42</v>
      </c>
      <c r="E11" s="72">
        <v>9</v>
      </c>
    </row>
    <row r="12" spans="1:11" x14ac:dyDescent="0.2">
      <c r="A12" s="72" t="s">
        <v>97</v>
      </c>
      <c r="B12" s="72">
        <v>96</v>
      </c>
      <c r="C12" s="72">
        <v>64</v>
      </c>
      <c r="D12" s="72">
        <v>35</v>
      </c>
      <c r="E12" s="72">
        <v>5</v>
      </c>
    </row>
    <row r="13" spans="1:11" x14ac:dyDescent="0.2">
      <c r="A13" s="72" t="s">
        <v>98</v>
      </c>
      <c r="B13" s="72">
        <v>90</v>
      </c>
      <c r="C13" s="72">
        <v>60</v>
      </c>
      <c r="D13" s="72">
        <v>29</v>
      </c>
      <c r="E13" s="72">
        <v>2</v>
      </c>
    </row>
    <row r="14" spans="1:11" x14ac:dyDescent="0.2">
      <c r="A14" s="72" t="s">
        <v>99</v>
      </c>
      <c r="B14" s="72">
        <v>84</v>
      </c>
      <c r="C14" s="72">
        <v>56</v>
      </c>
      <c r="D14" s="72">
        <v>23</v>
      </c>
      <c r="E14" s="72">
        <v>1</v>
      </c>
    </row>
    <row r="15" spans="1:11" x14ac:dyDescent="0.2">
      <c r="A15" s="72" t="s">
        <v>100</v>
      </c>
      <c r="B15" s="72">
        <v>78</v>
      </c>
      <c r="C15" s="72">
        <v>52</v>
      </c>
      <c r="D15" s="72">
        <v>17</v>
      </c>
      <c r="E15" s="72">
        <v>1</v>
      </c>
    </row>
    <row r="16" spans="1:11" x14ac:dyDescent="0.2">
      <c r="A16" s="72" t="s">
        <v>101</v>
      </c>
      <c r="B16" s="72">
        <v>74</v>
      </c>
      <c r="C16" s="72">
        <v>49</v>
      </c>
      <c r="D16" s="72">
        <v>12</v>
      </c>
      <c r="E16" s="72">
        <v>1</v>
      </c>
    </row>
    <row r="17" spans="1:5" x14ac:dyDescent="0.2">
      <c r="A17" s="72" t="s">
        <v>102</v>
      </c>
      <c r="B17" s="72">
        <v>69</v>
      </c>
      <c r="C17" s="72">
        <v>46</v>
      </c>
      <c r="D17" s="72">
        <v>8</v>
      </c>
      <c r="E17" s="72">
        <v>1</v>
      </c>
    </row>
    <row r="18" spans="1:5" x14ac:dyDescent="0.2">
      <c r="A18" s="72" t="s">
        <v>103</v>
      </c>
      <c r="B18" s="72">
        <v>65</v>
      </c>
      <c r="C18" s="72">
        <v>43</v>
      </c>
      <c r="D18" s="72">
        <v>5</v>
      </c>
      <c r="E18" s="72">
        <v>1</v>
      </c>
    </row>
    <row r="19" spans="1:5" x14ac:dyDescent="0.2">
      <c r="A19" s="72" t="s">
        <v>104</v>
      </c>
      <c r="B19" s="72">
        <v>60</v>
      </c>
      <c r="C19" s="72">
        <v>40</v>
      </c>
      <c r="D19" s="72">
        <v>3</v>
      </c>
      <c r="E19" s="72">
        <v>1</v>
      </c>
    </row>
    <row r="20" spans="1:5" x14ac:dyDescent="0.2">
      <c r="A20" s="72" t="s">
        <v>105</v>
      </c>
      <c r="B20" s="72">
        <v>56</v>
      </c>
      <c r="C20" s="72">
        <v>37</v>
      </c>
      <c r="D20" s="72">
        <v>1</v>
      </c>
      <c r="E20" s="72">
        <v>1</v>
      </c>
    </row>
    <row r="21" spans="1:5" x14ac:dyDescent="0.2">
      <c r="A21" s="72" t="s">
        <v>106</v>
      </c>
      <c r="B21" s="72">
        <v>51</v>
      </c>
      <c r="C21" s="72">
        <v>34</v>
      </c>
      <c r="D21" s="72">
        <v>1</v>
      </c>
      <c r="E21" s="72">
        <v>1</v>
      </c>
    </row>
    <row r="22" spans="1:5" x14ac:dyDescent="0.2">
      <c r="A22" s="72" t="s">
        <v>107</v>
      </c>
      <c r="B22" s="72">
        <v>47</v>
      </c>
      <c r="C22" s="72">
        <v>31</v>
      </c>
      <c r="D22" s="72">
        <v>1</v>
      </c>
      <c r="E22" s="72">
        <v>1</v>
      </c>
    </row>
    <row r="23" spans="1:5" x14ac:dyDescent="0.2">
      <c r="A23" s="72" t="s">
        <v>108</v>
      </c>
      <c r="B23" s="72">
        <v>42</v>
      </c>
      <c r="C23" s="72">
        <v>28</v>
      </c>
      <c r="D23" s="72">
        <v>1</v>
      </c>
      <c r="E23" s="72">
        <v>1</v>
      </c>
    </row>
    <row r="24" spans="1:5" x14ac:dyDescent="0.2">
      <c r="A24" s="72" t="s">
        <v>109</v>
      </c>
      <c r="B24" s="72">
        <v>38</v>
      </c>
      <c r="C24" s="72">
        <v>25</v>
      </c>
      <c r="D24" s="72">
        <v>1</v>
      </c>
      <c r="E24" s="72">
        <v>1</v>
      </c>
    </row>
    <row r="25" spans="1:5" x14ac:dyDescent="0.2">
      <c r="A25" s="72" t="s">
        <v>110</v>
      </c>
      <c r="B25" s="72">
        <v>33</v>
      </c>
      <c r="C25" s="72">
        <v>22</v>
      </c>
      <c r="D25" s="72">
        <v>1</v>
      </c>
      <c r="E25" s="72">
        <v>1</v>
      </c>
    </row>
    <row r="26" spans="1:5" x14ac:dyDescent="0.2">
      <c r="A26" s="72" t="s">
        <v>111</v>
      </c>
      <c r="B26" s="72">
        <v>29</v>
      </c>
      <c r="C26" s="72">
        <v>19</v>
      </c>
      <c r="D26" s="72">
        <v>1</v>
      </c>
      <c r="E26" s="72">
        <v>1</v>
      </c>
    </row>
    <row r="27" spans="1:5" x14ac:dyDescent="0.2">
      <c r="A27" s="72" t="s">
        <v>112</v>
      </c>
      <c r="B27" s="72">
        <v>24</v>
      </c>
      <c r="C27" s="72">
        <v>16</v>
      </c>
      <c r="D27" s="72">
        <v>1</v>
      </c>
      <c r="E27" s="72">
        <v>1</v>
      </c>
    </row>
    <row r="28" spans="1:5" x14ac:dyDescent="0.2">
      <c r="A28" s="72" t="s">
        <v>113</v>
      </c>
      <c r="B28" s="72">
        <v>21</v>
      </c>
      <c r="C28" s="72">
        <v>14</v>
      </c>
      <c r="D28" s="72">
        <v>1</v>
      </c>
      <c r="E28" s="72">
        <v>1</v>
      </c>
    </row>
    <row r="29" spans="1:5" x14ac:dyDescent="0.2">
      <c r="A29" s="72" t="s">
        <v>114</v>
      </c>
      <c r="B29" s="72">
        <v>18</v>
      </c>
      <c r="C29" s="72">
        <v>12</v>
      </c>
      <c r="D29" s="72">
        <v>1</v>
      </c>
      <c r="E29" s="72">
        <v>1</v>
      </c>
    </row>
    <row r="30" spans="1:5" x14ac:dyDescent="0.2">
      <c r="A30" s="72" t="s">
        <v>115</v>
      </c>
      <c r="B30" s="72">
        <v>16</v>
      </c>
      <c r="C30" s="72">
        <v>10</v>
      </c>
      <c r="D30" s="72">
        <v>1</v>
      </c>
      <c r="E30" s="72">
        <v>1</v>
      </c>
    </row>
    <row r="31" spans="1:5" x14ac:dyDescent="0.2">
      <c r="A31" s="72" t="s">
        <v>116</v>
      </c>
      <c r="B31" s="72">
        <v>14</v>
      </c>
      <c r="C31" s="72">
        <v>8</v>
      </c>
      <c r="D31" s="72">
        <v>1</v>
      </c>
      <c r="E31" s="72">
        <v>1</v>
      </c>
    </row>
    <row r="32" spans="1:5" x14ac:dyDescent="0.2">
      <c r="A32" s="72" t="s">
        <v>117</v>
      </c>
      <c r="B32" s="72">
        <v>12</v>
      </c>
      <c r="C32" s="72">
        <v>6</v>
      </c>
      <c r="D32" s="72">
        <v>1</v>
      </c>
      <c r="E32" s="72">
        <v>1</v>
      </c>
    </row>
    <row r="33" spans="1:5" x14ac:dyDescent="0.2">
      <c r="A33" s="72" t="s">
        <v>118</v>
      </c>
      <c r="B33" s="72">
        <v>10</v>
      </c>
      <c r="C33" s="72">
        <v>5</v>
      </c>
      <c r="D33" s="72">
        <v>1</v>
      </c>
      <c r="E33" s="72">
        <v>1</v>
      </c>
    </row>
    <row r="34" spans="1:5" x14ac:dyDescent="0.2">
      <c r="A34" s="72" t="s">
        <v>119</v>
      </c>
      <c r="B34" s="72">
        <v>8</v>
      </c>
      <c r="C34" s="72">
        <v>4</v>
      </c>
      <c r="D34" s="72">
        <v>1</v>
      </c>
      <c r="E34" s="72">
        <v>1</v>
      </c>
    </row>
    <row r="35" spans="1:5" x14ac:dyDescent="0.2">
      <c r="A35" s="72" t="s">
        <v>120</v>
      </c>
      <c r="B35" s="72">
        <v>6</v>
      </c>
      <c r="C35" s="72">
        <v>3</v>
      </c>
      <c r="D35" s="72">
        <v>1</v>
      </c>
      <c r="E35" s="72">
        <v>1</v>
      </c>
    </row>
    <row r="36" spans="1:5" x14ac:dyDescent="0.2">
      <c r="A36" s="72" t="s">
        <v>121</v>
      </c>
      <c r="B36" s="72">
        <v>3</v>
      </c>
      <c r="C36" s="72">
        <v>1</v>
      </c>
      <c r="D36" s="72">
        <v>1</v>
      </c>
      <c r="E36" s="72">
        <v>1</v>
      </c>
    </row>
  </sheetData>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G43"/>
  <sheetViews>
    <sheetView showGridLines="0" showRowColHeaders="0" workbookViewId="0">
      <pane ySplit="1" topLeftCell="A2" activePane="bottomLeft" state="frozen"/>
      <selection activeCell="I1" sqref="I1"/>
      <selection pane="bottomLeft" activeCell="J1" sqref="J1"/>
    </sheetView>
  </sheetViews>
  <sheetFormatPr defaultRowHeight="12.75" x14ac:dyDescent="0.2"/>
  <cols>
    <col min="1" max="1" width="3" customWidth="1"/>
    <col min="2" max="2" width="18.28515625" customWidth="1"/>
    <col min="3" max="3" width="5.5703125" bestFit="1" customWidth="1"/>
    <col min="4" max="4" width="7.140625" customWidth="1"/>
    <col min="5" max="5" width="3.28515625" customWidth="1"/>
    <col min="6" max="6" width="20.140625" bestFit="1" customWidth="1"/>
    <col min="7" max="7" width="5.5703125" bestFit="1" customWidth="1"/>
  </cols>
  <sheetData>
    <row r="1" spans="1:7" x14ac:dyDescent="0.2">
      <c r="A1" s="41" t="s">
        <v>401</v>
      </c>
      <c r="F1" s="85" t="str">
        <f>HYPERLINK("http://www.petanque.ee/litsentsid/litsentsid-2017/","Jooksvalt näeb siit")</f>
        <v>Jooksvalt näeb siit</v>
      </c>
      <c r="G1" t="s">
        <v>725</v>
      </c>
    </row>
    <row r="2" spans="1:7" x14ac:dyDescent="0.2">
      <c r="A2" s="41"/>
    </row>
    <row r="3" spans="1:7" x14ac:dyDescent="0.2">
      <c r="A3" s="41" t="s">
        <v>202</v>
      </c>
      <c r="E3" s="41" t="s">
        <v>204</v>
      </c>
    </row>
    <row r="4" spans="1:7" x14ac:dyDescent="0.2">
      <c r="A4" s="314">
        <v>1</v>
      </c>
      <c r="B4" s="677" t="s">
        <v>348</v>
      </c>
      <c r="C4" t="s">
        <v>203</v>
      </c>
      <c r="E4" s="314">
        <v>1</v>
      </c>
      <c r="F4" t="s">
        <v>349</v>
      </c>
      <c r="G4" t="s">
        <v>203</v>
      </c>
    </row>
    <row r="5" spans="1:7" x14ac:dyDescent="0.2">
      <c r="A5" s="314">
        <v>2</v>
      </c>
      <c r="B5" s="677" t="s">
        <v>350</v>
      </c>
      <c r="C5" t="s">
        <v>203</v>
      </c>
      <c r="E5" s="314">
        <v>2</v>
      </c>
      <c r="F5" t="s">
        <v>351</v>
      </c>
      <c r="G5" t="s">
        <v>203</v>
      </c>
    </row>
    <row r="6" spans="1:7" x14ac:dyDescent="0.2">
      <c r="A6" s="314">
        <v>3</v>
      </c>
      <c r="B6" s="677" t="s">
        <v>352</v>
      </c>
      <c r="C6" t="s">
        <v>203</v>
      </c>
      <c r="E6" s="314">
        <v>3</v>
      </c>
      <c r="F6" t="s">
        <v>353</v>
      </c>
      <c r="G6" t="s">
        <v>203</v>
      </c>
    </row>
    <row r="7" spans="1:7" x14ac:dyDescent="0.2">
      <c r="A7" s="314">
        <v>4</v>
      </c>
      <c r="B7" s="677" t="s">
        <v>354</v>
      </c>
      <c r="C7" t="s">
        <v>203</v>
      </c>
      <c r="E7" s="314">
        <v>4</v>
      </c>
      <c r="F7" t="s">
        <v>355</v>
      </c>
      <c r="G7" t="s">
        <v>203</v>
      </c>
    </row>
    <row r="8" spans="1:7" x14ac:dyDescent="0.2">
      <c r="A8" s="314">
        <v>5</v>
      </c>
      <c r="B8" s="677" t="s">
        <v>356</v>
      </c>
      <c r="C8" t="s">
        <v>203</v>
      </c>
      <c r="E8" s="314">
        <v>5</v>
      </c>
      <c r="F8" t="s">
        <v>357</v>
      </c>
      <c r="G8" t="s">
        <v>203</v>
      </c>
    </row>
    <row r="9" spans="1:7" x14ac:dyDescent="0.2">
      <c r="A9" s="314">
        <v>6</v>
      </c>
      <c r="B9" s="677" t="s">
        <v>358</v>
      </c>
      <c r="C9" t="s">
        <v>203</v>
      </c>
      <c r="E9" s="314">
        <v>6</v>
      </c>
      <c r="F9" t="s">
        <v>359</v>
      </c>
      <c r="G9" t="s">
        <v>203</v>
      </c>
    </row>
    <row r="10" spans="1:7" x14ac:dyDescent="0.2">
      <c r="A10" s="314">
        <v>7</v>
      </c>
      <c r="B10" s="677" t="s">
        <v>360</v>
      </c>
      <c r="C10" t="s">
        <v>203</v>
      </c>
    </row>
    <row r="11" spans="1:7" x14ac:dyDescent="0.2">
      <c r="A11" s="314">
        <v>8</v>
      </c>
      <c r="B11" s="677" t="s">
        <v>361</v>
      </c>
      <c r="C11" t="s">
        <v>203</v>
      </c>
      <c r="E11" s="41" t="s">
        <v>205</v>
      </c>
    </row>
    <row r="12" spans="1:7" x14ac:dyDescent="0.2">
      <c r="A12" s="314">
        <v>9</v>
      </c>
      <c r="B12" s="677" t="s">
        <v>362</v>
      </c>
      <c r="C12" t="s">
        <v>203</v>
      </c>
      <c r="E12" s="314">
        <v>1</v>
      </c>
      <c r="F12" t="s">
        <v>363</v>
      </c>
      <c r="G12" t="s">
        <v>203</v>
      </c>
    </row>
    <row r="13" spans="1:7" x14ac:dyDescent="0.2">
      <c r="A13" s="314">
        <v>10</v>
      </c>
      <c r="B13" s="677" t="s">
        <v>687</v>
      </c>
      <c r="C13" t="s">
        <v>203</v>
      </c>
      <c r="E13" s="314">
        <v>2</v>
      </c>
      <c r="F13" t="s">
        <v>364</v>
      </c>
      <c r="G13" t="s">
        <v>203</v>
      </c>
    </row>
    <row r="14" spans="1:7" x14ac:dyDescent="0.2">
      <c r="A14" s="314">
        <v>11</v>
      </c>
      <c r="B14" s="677" t="s">
        <v>688</v>
      </c>
      <c r="C14" t="s">
        <v>203</v>
      </c>
      <c r="E14" s="314">
        <v>3</v>
      </c>
      <c r="F14" t="s">
        <v>366</v>
      </c>
      <c r="G14" t="s">
        <v>203</v>
      </c>
    </row>
    <row r="15" spans="1:7" x14ac:dyDescent="0.2">
      <c r="A15" s="314">
        <v>12</v>
      </c>
      <c r="B15" s="677" t="s">
        <v>689</v>
      </c>
      <c r="C15" t="s">
        <v>203</v>
      </c>
      <c r="E15" s="314">
        <v>4</v>
      </c>
      <c r="F15" t="s">
        <v>368</v>
      </c>
      <c r="G15" t="s">
        <v>203</v>
      </c>
    </row>
    <row r="16" spans="1:7" x14ac:dyDescent="0.2">
      <c r="A16" s="314">
        <v>13</v>
      </c>
      <c r="B16" s="677" t="s">
        <v>727</v>
      </c>
      <c r="C16" t="s">
        <v>203</v>
      </c>
      <c r="E16" s="314">
        <v>5</v>
      </c>
      <c r="F16" t="s">
        <v>370</v>
      </c>
      <c r="G16" t="s">
        <v>203</v>
      </c>
    </row>
    <row r="17" spans="1:7" x14ac:dyDescent="0.2">
      <c r="A17" s="314"/>
      <c r="E17" s="314">
        <v>6</v>
      </c>
      <c r="F17" t="s">
        <v>372</v>
      </c>
      <c r="G17" t="s">
        <v>203</v>
      </c>
    </row>
    <row r="18" spans="1:7" x14ac:dyDescent="0.2">
      <c r="A18" s="41" t="s">
        <v>365</v>
      </c>
      <c r="E18" s="314">
        <v>7</v>
      </c>
      <c r="F18" t="s">
        <v>374</v>
      </c>
      <c r="G18" t="s">
        <v>203</v>
      </c>
    </row>
    <row r="19" spans="1:7" x14ac:dyDescent="0.2">
      <c r="A19" s="314">
        <v>1</v>
      </c>
      <c r="B19" t="s">
        <v>367</v>
      </c>
      <c r="C19" t="s">
        <v>203</v>
      </c>
      <c r="E19" s="314">
        <v>8</v>
      </c>
      <c r="F19" t="s">
        <v>376</v>
      </c>
      <c r="G19" t="s">
        <v>203</v>
      </c>
    </row>
    <row r="20" spans="1:7" x14ac:dyDescent="0.2">
      <c r="A20" s="314">
        <v>2</v>
      </c>
      <c r="B20" t="s">
        <v>369</v>
      </c>
      <c r="C20" t="s">
        <v>203</v>
      </c>
      <c r="E20" s="314">
        <v>9</v>
      </c>
      <c r="F20" t="s">
        <v>378</v>
      </c>
      <c r="G20" t="s">
        <v>203</v>
      </c>
    </row>
    <row r="21" spans="1:7" x14ac:dyDescent="0.2">
      <c r="A21" s="314">
        <v>3</v>
      </c>
      <c r="B21" t="s">
        <v>371</v>
      </c>
      <c r="C21" t="s">
        <v>203</v>
      </c>
      <c r="E21" s="314">
        <v>10</v>
      </c>
      <c r="F21" t="s">
        <v>380</v>
      </c>
      <c r="G21" t="s">
        <v>203</v>
      </c>
    </row>
    <row r="22" spans="1:7" x14ac:dyDescent="0.2">
      <c r="A22" s="314">
        <v>4</v>
      </c>
      <c r="B22" t="s">
        <v>373</v>
      </c>
      <c r="C22" t="s">
        <v>203</v>
      </c>
      <c r="E22" s="314">
        <v>11</v>
      </c>
      <c r="F22" t="s">
        <v>382</v>
      </c>
      <c r="G22" t="s">
        <v>203</v>
      </c>
    </row>
    <row r="23" spans="1:7" x14ac:dyDescent="0.2">
      <c r="A23" s="314">
        <v>5</v>
      </c>
      <c r="B23" t="s">
        <v>375</v>
      </c>
      <c r="C23" t="s">
        <v>203</v>
      </c>
      <c r="E23" s="314">
        <v>12</v>
      </c>
      <c r="F23" t="s">
        <v>384</v>
      </c>
      <c r="G23" t="s">
        <v>203</v>
      </c>
    </row>
    <row r="24" spans="1:7" ht="12.75" customHeight="1" x14ac:dyDescent="0.2">
      <c r="A24" s="314">
        <v>6</v>
      </c>
      <c r="B24" t="s">
        <v>377</v>
      </c>
      <c r="C24" t="s">
        <v>203</v>
      </c>
      <c r="E24" s="314">
        <v>13</v>
      </c>
      <c r="F24" t="s">
        <v>386</v>
      </c>
      <c r="G24" t="s">
        <v>203</v>
      </c>
    </row>
    <row r="25" spans="1:7" ht="12.75" customHeight="1" x14ac:dyDescent="0.2">
      <c r="A25" s="314">
        <v>7</v>
      </c>
      <c r="B25" t="s">
        <v>379</v>
      </c>
      <c r="C25" t="s">
        <v>203</v>
      </c>
      <c r="E25" s="314">
        <v>14</v>
      </c>
      <c r="F25" t="s">
        <v>388</v>
      </c>
      <c r="G25" t="s">
        <v>203</v>
      </c>
    </row>
    <row r="26" spans="1:7" ht="12.75" customHeight="1" x14ac:dyDescent="0.2">
      <c r="A26" s="314">
        <v>8</v>
      </c>
      <c r="B26" t="s">
        <v>381</v>
      </c>
      <c r="C26" t="s">
        <v>203</v>
      </c>
    </row>
    <row r="27" spans="1:7" x14ac:dyDescent="0.2">
      <c r="A27" s="314">
        <v>9</v>
      </c>
      <c r="B27" t="s">
        <v>383</v>
      </c>
      <c r="C27" t="s">
        <v>203</v>
      </c>
      <c r="E27" s="41" t="s">
        <v>206</v>
      </c>
    </row>
    <row r="28" spans="1:7" ht="12.75" customHeight="1" x14ac:dyDescent="0.2">
      <c r="A28" s="314">
        <v>10</v>
      </c>
      <c r="B28" t="s">
        <v>385</v>
      </c>
      <c r="C28" t="s">
        <v>203</v>
      </c>
      <c r="E28" s="314">
        <v>1</v>
      </c>
      <c r="F28" t="s">
        <v>391</v>
      </c>
      <c r="G28" t="s">
        <v>203</v>
      </c>
    </row>
    <row r="29" spans="1:7" ht="12.75" customHeight="1" x14ac:dyDescent="0.2">
      <c r="A29" s="314">
        <v>11</v>
      </c>
      <c r="B29" t="s">
        <v>387</v>
      </c>
      <c r="C29" t="s">
        <v>203</v>
      </c>
      <c r="E29" s="314">
        <v>2</v>
      </c>
      <c r="F29" t="s">
        <v>393</v>
      </c>
      <c r="G29" t="s">
        <v>203</v>
      </c>
    </row>
    <row r="30" spans="1:7" ht="12.75" customHeight="1" x14ac:dyDescent="0.2">
      <c r="A30" s="314">
        <v>12</v>
      </c>
      <c r="B30" t="s">
        <v>389</v>
      </c>
      <c r="C30" t="s">
        <v>203</v>
      </c>
      <c r="E30" s="314">
        <v>3</v>
      </c>
      <c r="F30" t="s">
        <v>54</v>
      </c>
      <c r="G30" t="s">
        <v>203</v>
      </c>
    </row>
    <row r="31" spans="1:7" ht="12.75" customHeight="1" x14ac:dyDescent="0.2">
      <c r="A31" s="314">
        <v>13</v>
      </c>
      <c r="B31" t="s">
        <v>390</v>
      </c>
      <c r="C31" t="s">
        <v>203</v>
      </c>
    </row>
    <row r="32" spans="1:7" x14ac:dyDescent="0.2">
      <c r="E32" s="41" t="s">
        <v>396</v>
      </c>
    </row>
    <row r="33" spans="1:7" x14ac:dyDescent="0.2">
      <c r="A33" s="41" t="s">
        <v>392</v>
      </c>
      <c r="E33" s="314">
        <v>1</v>
      </c>
      <c r="F33" t="s">
        <v>398</v>
      </c>
      <c r="G33" t="s">
        <v>203</v>
      </c>
    </row>
    <row r="34" spans="1:7" x14ac:dyDescent="0.2">
      <c r="A34" s="314">
        <v>1</v>
      </c>
      <c r="B34" t="s">
        <v>394</v>
      </c>
      <c r="C34" t="s">
        <v>203</v>
      </c>
      <c r="E34" s="314">
        <v>2</v>
      </c>
      <c r="F34" t="s">
        <v>400</v>
      </c>
      <c r="G34" t="s">
        <v>203</v>
      </c>
    </row>
    <row r="35" spans="1:7" x14ac:dyDescent="0.2">
      <c r="A35" s="314">
        <v>2</v>
      </c>
      <c r="B35" t="s">
        <v>395</v>
      </c>
      <c r="C35" t="s">
        <v>203</v>
      </c>
      <c r="E35" s="314">
        <v>3</v>
      </c>
      <c r="F35" t="s">
        <v>690</v>
      </c>
      <c r="G35" t="s">
        <v>203</v>
      </c>
    </row>
    <row r="36" spans="1:7" x14ac:dyDescent="0.2">
      <c r="A36" s="314">
        <v>3</v>
      </c>
      <c r="B36" t="s">
        <v>397</v>
      </c>
      <c r="C36" t="s">
        <v>203</v>
      </c>
      <c r="E36" s="314">
        <v>4</v>
      </c>
      <c r="F36" t="s">
        <v>691</v>
      </c>
      <c r="G36" t="s">
        <v>203</v>
      </c>
    </row>
    <row r="37" spans="1:7" x14ac:dyDescent="0.2">
      <c r="A37" s="314">
        <v>4</v>
      </c>
      <c r="B37" t="s">
        <v>399</v>
      </c>
      <c r="C37" t="s">
        <v>203</v>
      </c>
      <c r="E37" s="314">
        <v>5</v>
      </c>
      <c r="F37" t="s">
        <v>692</v>
      </c>
      <c r="G37" t="s">
        <v>203</v>
      </c>
    </row>
    <row r="38" spans="1:7" x14ac:dyDescent="0.2">
      <c r="A38" s="314">
        <v>5</v>
      </c>
      <c r="B38" t="s">
        <v>57</v>
      </c>
      <c r="C38" t="s">
        <v>203</v>
      </c>
      <c r="E38" s="314">
        <v>6</v>
      </c>
      <c r="F38" t="s">
        <v>693</v>
      </c>
      <c r="G38" t="s">
        <v>203</v>
      </c>
    </row>
    <row r="39" spans="1:7" x14ac:dyDescent="0.2">
      <c r="A39" s="314">
        <v>6</v>
      </c>
      <c r="B39" t="s">
        <v>50</v>
      </c>
      <c r="C39" t="s">
        <v>203</v>
      </c>
      <c r="E39" s="314">
        <v>7</v>
      </c>
      <c r="F39" t="s">
        <v>694</v>
      </c>
      <c r="G39" t="s">
        <v>203</v>
      </c>
    </row>
    <row r="40" spans="1:7" x14ac:dyDescent="0.2">
      <c r="E40" s="314">
        <v>8</v>
      </c>
      <c r="F40" t="s">
        <v>695</v>
      </c>
      <c r="G40" t="s">
        <v>203</v>
      </c>
    </row>
    <row r="41" spans="1:7" x14ac:dyDescent="0.2">
      <c r="E41" s="314">
        <v>9</v>
      </c>
      <c r="F41" t="s">
        <v>209</v>
      </c>
      <c r="G41" t="s">
        <v>203</v>
      </c>
    </row>
    <row r="42" spans="1:7" x14ac:dyDescent="0.2">
      <c r="E42" s="314">
        <v>10</v>
      </c>
      <c r="F42" t="s">
        <v>638</v>
      </c>
      <c r="G42" t="s">
        <v>203</v>
      </c>
    </row>
    <row r="43" spans="1:7" x14ac:dyDescent="0.2">
      <c r="E43" s="314">
        <v>11</v>
      </c>
      <c r="F43" t="s">
        <v>207</v>
      </c>
      <c r="G43" t="s">
        <v>726</v>
      </c>
    </row>
  </sheetData>
  <pageMargins left="0.70866141732283472" right="0.70866141732283472" top="0.74803149606299213" bottom="0.74803149606299213" header="0.31496062992125984" footer="0.31496062992125984"/>
  <pageSetup paperSize="9" fitToHeight="0"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77"/>
  <sheetViews>
    <sheetView showGridLines="0" showRowColHeaders="0" workbookViewId="0">
      <pane ySplit="1" topLeftCell="A2" activePane="bottomLeft" state="frozen"/>
      <selection pane="bottomLeft" activeCell="B1" sqref="B1"/>
    </sheetView>
  </sheetViews>
  <sheetFormatPr defaultRowHeight="12.75" x14ac:dyDescent="0.2"/>
  <cols>
    <col min="1" max="1" width="85.85546875" customWidth="1"/>
  </cols>
  <sheetData>
    <row r="1" spans="1:1" x14ac:dyDescent="0.2">
      <c r="A1" s="42" t="s">
        <v>285</v>
      </c>
    </row>
    <row r="2" spans="1:1" x14ac:dyDescent="0.2">
      <c r="A2" s="270"/>
    </row>
    <row r="3" spans="1:1" x14ac:dyDescent="0.2">
      <c r="A3" s="270" t="s">
        <v>231</v>
      </c>
    </row>
    <row r="4" spans="1:1" x14ac:dyDescent="0.2">
      <c r="A4" s="270"/>
    </row>
    <row r="5" spans="1:1" x14ac:dyDescent="0.2">
      <c r="A5" s="270" t="s">
        <v>232</v>
      </c>
    </row>
    <row r="6" spans="1:1" ht="51" x14ac:dyDescent="0.2">
      <c r="A6" s="270" t="s">
        <v>233</v>
      </c>
    </row>
    <row r="7" spans="1:1" ht="38.25" x14ac:dyDescent="0.2">
      <c r="A7" s="270" t="s">
        <v>234</v>
      </c>
    </row>
    <row r="8" spans="1:1" x14ac:dyDescent="0.2">
      <c r="A8" s="270"/>
    </row>
    <row r="9" spans="1:1" x14ac:dyDescent="0.2">
      <c r="A9" s="270" t="s">
        <v>235</v>
      </c>
    </row>
    <row r="10" spans="1:1" ht="25.5" x14ac:dyDescent="0.2">
      <c r="A10" s="270" t="s">
        <v>236</v>
      </c>
    </row>
    <row r="11" spans="1:1" ht="25.5" x14ac:dyDescent="0.2">
      <c r="A11" s="270" t="s">
        <v>237</v>
      </c>
    </row>
    <row r="12" spans="1:1" ht="38.25" x14ac:dyDescent="0.2">
      <c r="A12" s="270" t="s">
        <v>238</v>
      </c>
    </row>
    <row r="13" spans="1:1" ht="51" x14ac:dyDescent="0.2">
      <c r="A13" s="270" t="s">
        <v>239</v>
      </c>
    </row>
    <row r="14" spans="1:1" ht="25.5" x14ac:dyDescent="0.2">
      <c r="A14" s="270" t="s">
        <v>240</v>
      </c>
    </row>
    <row r="15" spans="1:1" x14ac:dyDescent="0.2">
      <c r="A15" s="270" t="s">
        <v>241</v>
      </c>
    </row>
    <row r="16" spans="1:1" ht="25.5" x14ac:dyDescent="0.2">
      <c r="A16" s="270" t="s">
        <v>242</v>
      </c>
    </row>
    <row r="17" spans="1:1" x14ac:dyDescent="0.2">
      <c r="A17" s="270"/>
    </row>
    <row r="18" spans="1:1" x14ac:dyDescent="0.2">
      <c r="A18" s="270" t="s">
        <v>243</v>
      </c>
    </row>
    <row r="19" spans="1:1" ht="25.5" x14ac:dyDescent="0.2">
      <c r="A19" s="270" t="s">
        <v>244</v>
      </c>
    </row>
    <row r="20" spans="1:1" ht="25.5" x14ac:dyDescent="0.2">
      <c r="A20" s="270" t="s">
        <v>245</v>
      </c>
    </row>
    <row r="21" spans="1:1" x14ac:dyDescent="0.2">
      <c r="A21" s="270" t="s">
        <v>246</v>
      </c>
    </row>
    <row r="22" spans="1:1" x14ac:dyDescent="0.2">
      <c r="A22" s="270" t="s">
        <v>247</v>
      </c>
    </row>
    <row r="23" spans="1:1" x14ac:dyDescent="0.2">
      <c r="A23" s="270"/>
    </row>
    <row r="24" spans="1:1" x14ac:dyDescent="0.2">
      <c r="A24" s="270" t="s">
        <v>248</v>
      </c>
    </row>
    <row r="25" spans="1:1" x14ac:dyDescent="0.2">
      <c r="A25" s="270" t="s">
        <v>289</v>
      </c>
    </row>
    <row r="26" spans="1:1" x14ac:dyDescent="0.2">
      <c r="A26" s="270" t="s">
        <v>249</v>
      </c>
    </row>
    <row r="27" spans="1:1" x14ac:dyDescent="0.2">
      <c r="A27" s="270" t="s">
        <v>290</v>
      </c>
    </row>
    <row r="28" spans="1:1" x14ac:dyDescent="0.2">
      <c r="A28" s="270" t="s">
        <v>291</v>
      </c>
    </row>
    <row r="29" spans="1:1" x14ac:dyDescent="0.2">
      <c r="A29" s="270" t="s">
        <v>292</v>
      </c>
    </row>
    <row r="30" spans="1:1" x14ac:dyDescent="0.2">
      <c r="A30" s="270"/>
    </row>
    <row r="31" spans="1:1" x14ac:dyDescent="0.2">
      <c r="A31" s="270" t="s">
        <v>250</v>
      </c>
    </row>
    <row r="32" spans="1:1" x14ac:dyDescent="0.2">
      <c r="A32" s="270" t="s">
        <v>293</v>
      </c>
    </row>
    <row r="33" spans="1:1" x14ac:dyDescent="0.2">
      <c r="A33" s="270" t="s">
        <v>251</v>
      </c>
    </row>
    <row r="34" spans="1:1" x14ac:dyDescent="0.2">
      <c r="A34" s="270" t="s">
        <v>294</v>
      </c>
    </row>
    <row r="35" spans="1:1" x14ac:dyDescent="0.2">
      <c r="A35" s="270" t="s">
        <v>295</v>
      </c>
    </row>
    <row r="36" spans="1:1" x14ac:dyDescent="0.2">
      <c r="A36" s="270" t="s">
        <v>252</v>
      </c>
    </row>
    <row r="37" spans="1:1" ht="25.5" x14ac:dyDescent="0.2">
      <c r="A37" s="270" t="s">
        <v>253</v>
      </c>
    </row>
    <row r="38" spans="1:1" x14ac:dyDescent="0.2">
      <c r="A38" s="270"/>
    </row>
    <row r="39" spans="1:1" x14ac:dyDescent="0.2">
      <c r="A39" s="270" t="s">
        <v>254</v>
      </c>
    </row>
    <row r="40" spans="1:1" ht="38.25" x14ac:dyDescent="0.2">
      <c r="A40" s="270" t="s">
        <v>255</v>
      </c>
    </row>
    <row r="41" spans="1:1" ht="51" x14ac:dyDescent="0.2">
      <c r="A41" s="270" t="s">
        <v>256</v>
      </c>
    </row>
    <row r="42" spans="1:1" x14ac:dyDescent="0.2">
      <c r="A42" s="270"/>
    </row>
    <row r="43" spans="1:1" x14ac:dyDescent="0.2">
      <c r="A43" s="270" t="s">
        <v>257</v>
      </c>
    </row>
    <row r="44" spans="1:1" ht="63.75" x14ac:dyDescent="0.2">
      <c r="A44" s="270" t="s">
        <v>258</v>
      </c>
    </row>
    <row r="45" spans="1:1" ht="25.5" x14ac:dyDescent="0.2">
      <c r="A45" s="270" t="s">
        <v>259</v>
      </c>
    </row>
    <row r="46" spans="1:1" x14ac:dyDescent="0.2">
      <c r="A46" s="270"/>
    </row>
    <row r="47" spans="1:1" x14ac:dyDescent="0.2">
      <c r="A47" s="270" t="s">
        <v>260</v>
      </c>
    </row>
    <row r="48" spans="1:1" x14ac:dyDescent="0.2">
      <c r="A48" s="270" t="s">
        <v>261</v>
      </c>
    </row>
    <row r="49" spans="1:1" ht="38.25" x14ac:dyDescent="0.2">
      <c r="A49" s="270" t="s">
        <v>262</v>
      </c>
    </row>
    <row r="50" spans="1:1" x14ac:dyDescent="0.2">
      <c r="A50" s="270" t="s">
        <v>263</v>
      </c>
    </row>
    <row r="51" spans="1:1" x14ac:dyDescent="0.2">
      <c r="A51" s="270" t="s">
        <v>264</v>
      </c>
    </row>
    <row r="52" spans="1:1" x14ac:dyDescent="0.2">
      <c r="A52" s="270" t="s">
        <v>265</v>
      </c>
    </row>
    <row r="53" spans="1:1" ht="25.5" x14ac:dyDescent="0.2">
      <c r="A53" s="270" t="s">
        <v>266</v>
      </c>
    </row>
    <row r="54" spans="1:1" x14ac:dyDescent="0.2">
      <c r="A54" s="270" t="s">
        <v>267</v>
      </c>
    </row>
    <row r="55" spans="1:1" x14ac:dyDescent="0.2">
      <c r="A55" s="270" t="s">
        <v>268</v>
      </c>
    </row>
    <row r="56" spans="1:1" x14ac:dyDescent="0.2">
      <c r="A56" s="270" t="s">
        <v>269</v>
      </c>
    </row>
    <row r="57" spans="1:1" x14ac:dyDescent="0.2">
      <c r="A57" s="270" t="s">
        <v>270</v>
      </c>
    </row>
    <row r="58" spans="1:1" x14ac:dyDescent="0.2">
      <c r="A58" s="270" t="s">
        <v>287</v>
      </c>
    </row>
    <row r="59" spans="1:1" x14ac:dyDescent="0.2">
      <c r="A59" s="270" t="s">
        <v>271</v>
      </c>
    </row>
    <row r="60" spans="1:1" x14ac:dyDescent="0.2">
      <c r="A60" s="270" t="s">
        <v>272</v>
      </c>
    </row>
    <row r="61" spans="1:1" x14ac:dyDescent="0.2">
      <c r="A61" s="270" t="s">
        <v>273</v>
      </c>
    </row>
    <row r="62" spans="1:1" x14ac:dyDescent="0.2">
      <c r="A62" s="270" t="s">
        <v>288</v>
      </c>
    </row>
    <row r="63" spans="1:1" ht="38.25" x14ac:dyDescent="0.2">
      <c r="A63" s="270" t="s">
        <v>274</v>
      </c>
    </row>
    <row r="64" spans="1:1" ht="25.5" x14ac:dyDescent="0.2">
      <c r="A64" s="270" t="s">
        <v>275</v>
      </c>
    </row>
    <row r="65" spans="1:1" ht="25.5" x14ac:dyDescent="0.2">
      <c r="A65" s="270" t="s">
        <v>276</v>
      </c>
    </row>
    <row r="66" spans="1:1" ht="38.25" x14ac:dyDescent="0.2">
      <c r="A66" s="270" t="s">
        <v>277</v>
      </c>
    </row>
    <row r="67" spans="1:1" ht="25.5" x14ac:dyDescent="0.2">
      <c r="A67" s="270" t="s">
        <v>278</v>
      </c>
    </row>
    <row r="68" spans="1:1" x14ac:dyDescent="0.2">
      <c r="A68" s="270"/>
    </row>
    <row r="69" spans="1:1" x14ac:dyDescent="0.2">
      <c r="A69" s="270" t="s">
        <v>279</v>
      </c>
    </row>
    <row r="70" spans="1:1" x14ac:dyDescent="0.2">
      <c r="A70" s="270" t="s">
        <v>280</v>
      </c>
    </row>
    <row r="71" spans="1:1" ht="25.5" x14ac:dyDescent="0.2">
      <c r="A71" s="270" t="s">
        <v>281</v>
      </c>
    </row>
    <row r="72" spans="1:1" ht="25.5" x14ac:dyDescent="0.2">
      <c r="A72" s="270" t="s">
        <v>282</v>
      </c>
    </row>
    <row r="73" spans="1:1" ht="25.5" x14ac:dyDescent="0.2">
      <c r="A73" s="270" t="s">
        <v>283</v>
      </c>
    </row>
    <row r="74" spans="1:1" ht="25.5" x14ac:dyDescent="0.2">
      <c r="A74" s="270" t="s">
        <v>286</v>
      </c>
    </row>
    <row r="75" spans="1:1" x14ac:dyDescent="0.2">
      <c r="A75" s="270"/>
    </row>
    <row r="76" spans="1:1" x14ac:dyDescent="0.2">
      <c r="A76" s="270" t="s">
        <v>170</v>
      </c>
    </row>
    <row r="77" spans="1:1" x14ac:dyDescent="0.2">
      <c r="A77" s="270" t="s">
        <v>284</v>
      </c>
    </row>
  </sheetData>
  <pageMargins left="0.78740157480314965" right="0.78740157480314965" top="0.78740157480314965" bottom="0.39370078740157483" header="0.59055118110236227" footer="0.31496062992125984"/>
  <pageSetup paperSize="9" fitToHeight="0" orientation="portrait" verticalDpi="0" r:id="rId1"/>
  <headerFooter>
    <oddHeader>&amp;RPage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28</vt:i4>
      </vt:variant>
    </vt:vector>
  </HeadingPairs>
  <TitlesOfParts>
    <vt:vector size="60" baseType="lpstr">
      <vt:lpstr>Kalend</vt:lpstr>
      <vt:lpstr>Üldreiting</vt:lpstr>
      <vt:lpstr>1</vt:lpstr>
      <vt:lpstr>KV-1</vt:lpstr>
      <vt:lpstr>2</vt:lpstr>
      <vt:lpstr>3</vt:lpstr>
      <vt:lpstr>4M</vt:lpstr>
      <vt:lpstr>4N</vt:lpstr>
      <vt:lpstr>4J</vt:lpstr>
      <vt:lpstr>5M</vt:lpstr>
      <vt:lpstr>5Ma</vt:lpstr>
      <vt:lpstr>5Mb</vt:lpstr>
      <vt:lpstr>5N</vt:lpstr>
      <vt:lpstr>5Na</vt:lpstr>
      <vt:lpstr>5J</vt:lpstr>
      <vt:lpstr>5Ja</vt:lpstr>
      <vt:lpstr>KV-2</vt:lpstr>
      <vt:lpstr>KV-F</vt:lpstr>
      <vt:lpstr>6</vt:lpstr>
      <vt:lpstr>7</vt:lpstr>
      <vt:lpstr>8</vt:lpstr>
      <vt:lpstr>9</vt:lpstr>
      <vt:lpstr>10</vt:lpstr>
      <vt:lpstr>11</vt:lpstr>
      <vt:lpstr>12</vt:lpstr>
      <vt:lpstr>3 (2)</vt:lpstr>
      <vt:lpstr>Ee-So</vt:lpstr>
      <vt:lpstr>Juhend</vt:lpstr>
      <vt:lpstr>Arvestus</vt:lpstr>
      <vt:lpstr>Punktid</vt:lpstr>
      <vt:lpstr>Litsentsid</vt:lpstr>
      <vt:lpstr>KV juhend</vt:lpstr>
      <vt:lpstr>'Ee-So'!Print_Area</vt:lpstr>
      <vt:lpstr>'1'!Print_Titles</vt:lpstr>
      <vt:lpstr>'10'!Print_Titles</vt:lpstr>
      <vt:lpstr>'11'!Print_Titles</vt:lpstr>
      <vt:lpstr>'12'!Print_Titles</vt:lpstr>
      <vt:lpstr>'2'!Print_Titles</vt:lpstr>
      <vt:lpstr>'3'!Print_Titles</vt:lpstr>
      <vt:lpstr>'3 (2)'!Print_Titles</vt:lpstr>
      <vt:lpstr>'4J'!Print_Titles</vt:lpstr>
      <vt:lpstr>'4M'!Print_Titles</vt:lpstr>
      <vt:lpstr>'4N'!Print_Titles</vt:lpstr>
      <vt:lpstr>'5J'!Print_Titles</vt:lpstr>
      <vt:lpstr>'5Ja'!Print_Titles</vt:lpstr>
      <vt:lpstr>'5M'!Print_Titles</vt:lpstr>
      <vt:lpstr>'5Ma'!Print_Titles</vt:lpstr>
      <vt:lpstr>'5Mb'!Print_Titles</vt:lpstr>
      <vt:lpstr>'5N'!Print_Titles</vt:lpstr>
      <vt:lpstr>'5Na'!Print_Titles</vt:lpstr>
      <vt:lpstr>'6'!Print_Titles</vt:lpstr>
      <vt:lpstr>'7'!Print_Titles</vt:lpstr>
      <vt:lpstr>'8'!Print_Titles</vt:lpstr>
      <vt:lpstr>'9'!Print_Titles</vt:lpstr>
      <vt:lpstr>'Ee-So'!Print_Titles</vt:lpstr>
      <vt:lpstr>Kalend!Print_Titles</vt:lpstr>
      <vt:lpstr>'KV-1'!Print_Titles</vt:lpstr>
      <vt:lpstr>'KV-2'!Print_Titles</vt:lpstr>
      <vt:lpstr>'KV-F'!Print_Titles</vt:lpstr>
      <vt:lpstr>Üldreiting!Print_Titles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2016-05-19T09:19:44Z</dcterms:created>
  <dcterms:modified xsi:type="dcterms:W3CDTF">2022-07-03T16:19:51Z</dcterms:modified>
</cp:coreProperties>
</file>